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00" yWindow="460" windowWidth="3270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'SegEnds_Xtal_Prot#'!$A$1:$CT$220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'SegEnds_Xtal_Prot#'!$A$1:$CT$220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16" i="1" l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Z36" i="1"/>
  <c r="BA36" i="1"/>
  <c r="BB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BC36" i="1"/>
  <c r="CT3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BB12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A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Z37" i="1"/>
  <c r="BA37" i="1"/>
  <c r="BB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BC37" i="1"/>
  <c r="CT3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E223" i="1"/>
  <c r="V45" i="2"/>
  <c r="B299" i="4"/>
  <c r="V299" i="4"/>
  <c r="B296" i="4"/>
  <c r="V296" i="4"/>
  <c r="Q26" i="2"/>
  <c r="B185" i="4"/>
  <c r="Q185" i="4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AZ97" i="1"/>
  <c r="BA97" i="1"/>
  <c r="BB97" i="1"/>
  <c r="CT97" i="1"/>
  <c r="AH297" i="4"/>
  <c r="AH28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7" i="4"/>
  <c r="T307" i="4"/>
  <c r="AH30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80" i="4" a="1"/>
  <c r="U280" i="4"/>
  <c r="AH284" i="4"/>
  <c r="T284" i="4" a="1"/>
  <c r="T284" i="4"/>
  <c r="U46" i="2"/>
  <c r="B306" i="4"/>
  <c r="U306" i="4"/>
  <c r="U44" i="2"/>
  <c r="B310" i="4"/>
  <c r="U310" i="4"/>
  <c r="T46" i="2"/>
  <c r="T306" i="4"/>
  <c r="T310" i="4"/>
  <c r="A18" i="3"/>
  <c r="B18" i="3"/>
  <c r="C18" i="3"/>
  <c r="AD300" i="5"/>
  <c r="AC300" i="5"/>
  <c r="E18" i="3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M46" i="2"/>
  <c r="M45" i="2"/>
  <c r="B308" i="4"/>
  <c r="M44" i="2"/>
  <c r="M308" i="4"/>
  <c r="R303" i="5"/>
  <c r="L45" i="2"/>
  <c r="L44" i="2"/>
  <c r="L308" i="4"/>
  <c r="Q303" i="5"/>
  <c r="M46" i="2"/>
  <c r="M306" i="4"/>
  <c r="R300" i="5"/>
  <c r="L46" i="2"/>
  <c r="L306" i="4"/>
  <c r="Q300" i="5"/>
  <c r="AL46" i="2"/>
  <c r="O303" i="5"/>
  <c r="J45" i="2"/>
  <c r="J44" i="2"/>
  <c r="J308" i="4"/>
  <c r="N303" i="5"/>
  <c r="O300" i="5"/>
  <c r="J46" i="2"/>
  <c r="J306" i="4"/>
  <c r="N300" i="5"/>
  <c r="AK46" i="2"/>
  <c r="AJ46" i="2"/>
  <c r="K303" i="5"/>
  <c r="K300" i="5"/>
  <c r="AI46" i="2"/>
  <c r="AH46" i="2"/>
  <c r="AG46" i="2"/>
  <c r="I45" i="2"/>
  <c r="I44" i="2"/>
  <c r="I308" i="4"/>
  <c r="L303" i="5"/>
  <c r="I46" i="2"/>
  <c r="I306" i="4"/>
  <c r="L300" i="5"/>
  <c r="AF46" i="2"/>
  <c r="AE46" i="2"/>
  <c r="H300" i="5"/>
  <c r="I300" i="5"/>
  <c r="AD46" i="2"/>
  <c r="D45" i="2"/>
  <c r="D44" i="2"/>
  <c r="D308" i="4"/>
  <c r="E303" i="5"/>
  <c r="D46" i="2"/>
  <c r="D306" i="4"/>
  <c r="E300" i="5"/>
  <c r="F300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06" i="4"/>
  <c r="E44" i="2"/>
  <c r="E306" i="4"/>
  <c r="F44" i="2"/>
  <c r="F306" i="4"/>
  <c r="N44" i="2"/>
  <c r="N306" i="4"/>
  <c r="O44" i="2"/>
  <c r="O306" i="4"/>
  <c r="P44" i="2"/>
  <c r="P306" i="4"/>
  <c r="Q44" i="2"/>
  <c r="Q306" i="4"/>
  <c r="R44" i="2"/>
  <c r="R306" i="4"/>
  <c r="V44" i="2"/>
  <c r="V306" i="4"/>
  <c r="X44" i="2"/>
  <c r="X306" i="4"/>
  <c r="Y44" i="2"/>
  <c r="Y306" i="4"/>
  <c r="Z44" i="2"/>
  <c r="Z306" i="4"/>
  <c r="AA306" i="4"/>
  <c r="AB306" i="4"/>
  <c r="AC306" i="4"/>
  <c r="AD306" i="4"/>
  <c r="AE306" i="4"/>
  <c r="AF306" i="4"/>
  <c r="AG306" i="4"/>
  <c r="AH306" i="4"/>
  <c r="AI306" i="4"/>
  <c r="AJ306" i="4"/>
  <c r="B300" i="5"/>
  <c r="B300" i="4"/>
  <c r="C300" i="4"/>
  <c r="C300" i="5"/>
  <c r="D300" i="4"/>
  <c r="I300" i="4"/>
  <c r="J300" i="4"/>
  <c r="L300" i="4"/>
  <c r="M300" i="4"/>
  <c r="N300" i="4"/>
  <c r="T300" i="5"/>
  <c r="O300" i="4"/>
  <c r="U300" i="5"/>
  <c r="P300" i="4"/>
  <c r="W300" i="5"/>
  <c r="Q300" i="4"/>
  <c r="X300" i="5"/>
  <c r="Z300" i="5"/>
  <c r="AA300" i="5"/>
  <c r="V300" i="4"/>
  <c r="AF300" i="5"/>
  <c r="AG300" i="5"/>
  <c r="X300" i="4"/>
  <c r="AI300" i="5"/>
  <c r="Y300" i="4"/>
  <c r="AJ300" i="5"/>
  <c r="Z300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77" i="5"/>
  <c r="T49" i="2"/>
  <c r="T20" i="2"/>
  <c r="T377" i="4"/>
  <c r="AC377" i="5"/>
  <c r="E28" i="3"/>
  <c r="A17" i="3"/>
  <c r="B17" i="3"/>
  <c r="C17" i="3"/>
  <c r="AD305" i="5"/>
  <c r="AC305" i="5"/>
  <c r="E17" i="3"/>
  <c r="L34" i="5"/>
  <c r="L35" i="5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120" i="1"/>
  <c r="BA120" i="1"/>
  <c r="BB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CT120" i="1"/>
  <c r="AZ119" i="1"/>
  <c r="BA119" i="1"/>
  <c r="BB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BC119" i="1"/>
  <c r="CT119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234" i="4"/>
  <c r="E15" i="2"/>
  <c r="E234" i="4"/>
  <c r="F9" i="5"/>
  <c r="D16" i="2"/>
  <c r="D15" i="2"/>
  <c r="D234" i="4"/>
  <c r="E9" i="5"/>
  <c r="B219" i="4"/>
  <c r="E219" i="4"/>
  <c r="F71" i="5"/>
  <c r="D219" i="4"/>
  <c r="E71" i="5"/>
  <c r="AC17" i="2"/>
  <c r="I9" i="5"/>
  <c r="F16" i="2"/>
  <c r="F15" i="2"/>
  <c r="F234" i="4"/>
  <c r="H9" i="5"/>
  <c r="I71" i="5"/>
  <c r="F219" i="4"/>
  <c r="H71" i="5"/>
  <c r="AD17" i="2"/>
  <c r="AE17" i="2"/>
  <c r="H16" i="2"/>
  <c r="H15" i="2"/>
  <c r="H234" i="4"/>
  <c r="K9" i="5"/>
  <c r="H219" i="4"/>
  <c r="K71" i="5"/>
  <c r="L71" i="5"/>
  <c r="AF17" i="2"/>
  <c r="AG17" i="2"/>
  <c r="AH17" i="2"/>
  <c r="AI17" i="2"/>
  <c r="AJ17" i="2"/>
  <c r="N71" i="5"/>
  <c r="O71" i="5"/>
  <c r="AK17" i="2"/>
  <c r="M16" i="2"/>
  <c r="M15" i="2"/>
  <c r="M234" i="4"/>
  <c r="R9" i="5"/>
  <c r="L16" i="2"/>
  <c r="L15" i="2"/>
  <c r="L234" i="4"/>
  <c r="Q9" i="5"/>
  <c r="M219" i="4"/>
  <c r="R71" i="5"/>
  <c r="L219" i="4"/>
  <c r="Q71" i="5"/>
  <c r="AL17" i="2"/>
  <c r="AM17" i="2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S29" i="2"/>
  <c r="P29" i="2"/>
  <c r="O12" i="2"/>
  <c r="B68" i="4"/>
  <c r="O24" i="2"/>
  <c r="O68" i="4"/>
  <c r="B100" i="4"/>
  <c r="O100" i="4"/>
  <c r="B83" i="4"/>
  <c r="O83" i="4"/>
  <c r="O13" i="2"/>
  <c r="B84" i="4"/>
  <c r="O33" i="2"/>
  <c r="O84" i="4"/>
  <c r="O15" i="2"/>
  <c r="B82" i="4"/>
  <c r="O2" i="2"/>
  <c r="O82" i="4"/>
  <c r="O34" i="2"/>
  <c r="B87" i="4"/>
  <c r="O87" i="4"/>
  <c r="O14" i="2"/>
  <c r="B126" i="4"/>
  <c r="O37" i="2"/>
  <c r="O126" i="4"/>
  <c r="B22" i="4"/>
  <c r="O4" i="2"/>
  <c r="O22" i="4"/>
  <c r="O26" i="2"/>
  <c r="B17" i="4"/>
  <c r="O17" i="4"/>
  <c r="B149" i="4"/>
  <c r="O25" i="2"/>
  <c r="O149" i="4"/>
  <c r="B163" i="4"/>
  <c r="O11" i="2"/>
  <c r="O163" i="4"/>
  <c r="B161" i="4"/>
  <c r="O161" i="4"/>
  <c r="B198" i="4"/>
  <c r="O27" i="2"/>
  <c r="O198" i="4"/>
  <c r="B164" i="4"/>
  <c r="O164" i="4"/>
  <c r="B50" i="4"/>
  <c r="O50" i="4"/>
  <c r="B49" i="4"/>
  <c r="O49" i="4"/>
  <c r="B114" i="4"/>
  <c r="O40" i="2"/>
  <c r="O114" i="4"/>
  <c r="O32" i="2"/>
  <c r="B214" i="4"/>
  <c r="O31" i="2"/>
  <c r="O214" i="4"/>
  <c r="B76" i="4"/>
  <c r="O6" i="2"/>
  <c r="O76" i="4"/>
  <c r="B290" i="4"/>
  <c r="O18" i="2"/>
  <c r="O290" i="4"/>
  <c r="O16" i="2"/>
  <c r="B48" i="4"/>
  <c r="O36" i="2"/>
  <c r="O48" i="4"/>
  <c r="O22" i="2"/>
  <c r="B273" i="4"/>
  <c r="O273" i="4"/>
  <c r="B162" i="4"/>
  <c r="O162" i="4"/>
  <c r="Q25" i="2"/>
  <c r="B3" i="4"/>
  <c r="O3" i="4"/>
  <c r="B72" i="4"/>
  <c r="O72" i="4"/>
  <c r="B18" i="4"/>
  <c r="O18" i="4"/>
  <c r="B283" i="4"/>
  <c r="O283" i="4"/>
  <c r="B19" i="4"/>
  <c r="O5" i="2"/>
  <c r="O19" i="4"/>
  <c r="B12" i="4"/>
  <c r="O12" i="4"/>
  <c r="B225" i="4"/>
  <c r="O225" i="4"/>
  <c r="B226" i="4"/>
  <c r="O226" i="4"/>
  <c r="B227" i="4"/>
  <c r="O227" i="4"/>
  <c r="B224" i="4"/>
  <c r="O224" i="4"/>
  <c r="B200" i="4"/>
  <c r="O200" i="4"/>
  <c r="B78" i="4"/>
  <c r="O78" i="4"/>
  <c r="B201" i="4"/>
  <c r="O201" i="4"/>
  <c r="O39" i="2"/>
  <c r="B42" i="4"/>
  <c r="O42" i="4"/>
  <c r="B206" i="4"/>
  <c r="O206" i="4"/>
  <c r="B205" i="4"/>
  <c r="O205" i="4"/>
  <c r="B71" i="4"/>
  <c r="O71" i="4"/>
  <c r="B94" i="4"/>
  <c r="O94" i="4"/>
  <c r="B79" i="4"/>
  <c r="O79" i="4"/>
  <c r="B182" i="4"/>
  <c r="O182" i="4"/>
  <c r="O19" i="2"/>
  <c r="B157" i="4"/>
  <c r="O157" i="4"/>
  <c r="B146" i="4"/>
  <c r="O146" i="4"/>
  <c r="B147" i="4"/>
  <c r="O147" i="4"/>
  <c r="B23" i="4"/>
  <c r="O38" i="2"/>
  <c r="O23" i="4"/>
  <c r="B66" i="4"/>
  <c r="O66" i="4"/>
  <c r="B67" i="4"/>
  <c r="O67" i="4"/>
  <c r="B155" i="4"/>
  <c r="O155" i="4"/>
  <c r="O20" i="2"/>
  <c r="B236" i="4"/>
  <c r="O236" i="4"/>
  <c r="B31" i="4"/>
  <c r="O31" i="4"/>
  <c r="B148" i="4"/>
  <c r="O148" i="4"/>
  <c r="B109" i="4"/>
  <c r="O109" i="4"/>
  <c r="B119" i="4"/>
  <c r="O119" i="4"/>
  <c r="B156" i="4"/>
  <c r="O30" i="2"/>
  <c r="O156" i="4"/>
  <c r="M20" i="2"/>
  <c r="O41" i="2"/>
  <c r="B178" i="4"/>
  <c r="O178" i="4"/>
  <c r="B179" i="4"/>
  <c r="O29" i="2"/>
  <c r="O179" i="4"/>
  <c r="B251" i="4"/>
  <c r="O251" i="4"/>
  <c r="B293" i="4"/>
  <c r="O293" i="4"/>
  <c r="B10" i="4"/>
  <c r="O10" i="4"/>
  <c r="B141" i="4"/>
  <c r="O141" i="4"/>
  <c r="B197" i="4"/>
  <c r="O197" i="4"/>
  <c r="B223" i="4"/>
  <c r="O223" i="4"/>
  <c r="B8" i="4"/>
  <c r="O8" i="4"/>
  <c r="B131" i="4"/>
  <c r="O131" i="4"/>
  <c r="B180" i="4"/>
  <c r="O180" i="4"/>
  <c r="B247" i="4"/>
  <c r="O247" i="4"/>
  <c r="B253" i="4"/>
  <c r="O253" i="4"/>
  <c r="B258" i="4"/>
  <c r="O258" i="4"/>
  <c r="B260" i="4"/>
  <c r="O260" i="4"/>
  <c r="B259" i="4"/>
  <c r="O259" i="4"/>
  <c r="B9" i="4"/>
  <c r="O9" i="4"/>
  <c r="B169" i="4"/>
  <c r="O169" i="4"/>
  <c r="B175" i="4"/>
  <c r="O175" i="4"/>
  <c r="B174" i="4"/>
  <c r="O174" i="4"/>
  <c r="B209" i="4"/>
  <c r="O209" i="4"/>
  <c r="B208" i="4"/>
  <c r="O208" i="4"/>
  <c r="B217" i="4"/>
  <c r="O217" i="4"/>
  <c r="B295" i="4"/>
  <c r="O295" i="4"/>
  <c r="B194" i="4"/>
  <c r="O194" i="4"/>
  <c r="B189" i="4"/>
  <c r="O189" i="4"/>
  <c r="B228" i="4"/>
  <c r="O228" i="4"/>
  <c r="B230" i="4"/>
  <c r="O230" i="4"/>
  <c r="B229" i="4"/>
  <c r="O229" i="4"/>
  <c r="B250" i="4"/>
  <c r="O250" i="4"/>
  <c r="B256" i="4"/>
  <c r="O256" i="4"/>
  <c r="B289" i="4"/>
  <c r="O289" i="4"/>
  <c r="B291" i="4"/>
  <c r="O291" i="4"/>
  <c r="B294" i="4"/>
  <c r="O294" i="4"/>
  <c r="B122" i="4"/>
  <c r="O122" i="4"/>
  <c r="B170" i="4"/>
  <c r="O170" i="4"/>
  <c r="B173" i="4"/>
  <c r="O173" i="4"/>
  <c r="B172" i="4"/>
  <c r="O172" i="4"/>
  <c r="B150" i="4"/>
  <c r="O150" i="4"/>
  <c r="B207" i="4"/>
  <c r="O207" i="4"/>
  <c r="B216" i="4"/>
  <c r="O216" i="4"/>
  <c r="B45" i="4"/>
  <c r="O45" i="4"/>
  <c r="B74" i="4"/>
  <c r="O74" i="4"/>
  <c r="B166" i="4"/>
  <c r="O166" i="4"/>
  <c r="B168" i="4"/>
  <c r="O168" i="4"/>
  <c r="B167" i="4"/>
  <c r="O167" i="4"/>
  <c r="B171" i="4"/>
  <c r="O171" i="4"/>
  <c r="B154" i="4"/>
  <c r="O154" i="4"/>
  <c r="B184" i="4"/>
  <c r="O184" i="4"/>
  <c r="B81" i="4"/>
  <c r="O8" i="2"/>
  <c r="O81" i="4"/>
  <c r="B75" i="4"/>
  <c r="O75" i="4"/>
  <c r="B101" i="4"/>
  <c r="O101" i="4"/>
  <c r="B165" i="4"/>
  <c r="O165" i="4"/>
  <c r="B191" i="4"/>
  <c r="O191" i="4"/>
  <c r="B211" i="4"/>
  <c r="O211" i="4"/>
  <c r="B112" i="4"/>
  <c r="O112" i="4"/>
  <c r="O28" i="2"/>
  <c r="B212" i="4"/>
  <c r="O212" i="4"/>
  <c r="B123" i="4"/>
  <c r="O123" i="4"/>
  <c r="B124" i="4"/>
  <c r="O124" i="4"/>
  <c r="B218" i="4"/>
  <c r="O218" i="4"/>
  <c r="B215" i="4"/>
  <c r="O215" i="4"/>
  <c r="B277" i="4"/>
  <c r="O277" i="4"/>
  <c r="B278" i="4"/>
  <c r="O278" i="4"/>
  <c r="B286" i="4"/>
  <c r="O286" i="4"/>
  <c r="B99" i="4"/>
  <c r="O99" i="4"/>
  <c r="B88" i="4"/>
  <c r="O35" i="2"/>
  <c r="O88" i="4"/>
  <c r="B92" i="4"/>
  <c r="O92" i="4"/>
  <c r="B91" i="4"/>
  <c r="O91" i="4"/>
  <c r="B96" i="4"/>
  <c r="O96" i="4"/>
  <c r="B95" i="4"/>
  <c r="O95" i="4"/>
  <c r="B93" i="4"/>
  <c r="O93" i="4"/>
  <c r="B89" i="4"/>
  <c r="O89" i="4"/>
  <c r="B90" i="4"/>
  <c r="O90" i="4"/>
  <c r="H27" i="2"/>
  <c r="B245" i="4"/>
  <c r="O245" i="4"/>
  <c r="B276" i="4"/>
  <c r="O276" i="4"/>
  <c r="B281" i="4"/>
  <c r="O281" i="4"/>
  <c r="B262" i="4"/>
  <c r="O262" i="4"/>
  <c r="B280" i="4"/>
  <c r="O280" i="4"/>
  <c r="B127" i="4"/>
  <c r="O127" i="4"/>
  <c r="B196" i="4"/>
  <c r="O196" i="4"/>
  <c r="B199" i="4"/>
  <c r="O199" i="4"/>
  <c r="O234" i="4"/>
  <c r="E36" i="2"/>
  <c r="E127" i="4"/>
  <c r="O185" i="4"/>
  <c r="B53" i="4"/>
  <c r="O53" i="4"/>
  <c r="B52" i="4"/>
  <c r="O52" i="4"/>
  <c r="H14" i="2"/>
  <c r="H26" i="2"/>
  <c r="H29" i="2"/>
  <c r="H185" i="4"/>
  <c r="H6" i="2"/>
  <c r="H11" i="2"/>
  <c r="B98" i="4"/>
  <c r="O98" i="4"/>
  <c r="B116" i="4"/>
  <c r="O116" i="4"/>
  <c r="B117" i="4"/>
  <c r="O117" i="4"/>
  <c r="B115" i="4"/>
  <c r="O115" i="4"/>
  <c r="B118" i="4"/>
  <c r="O49" i="2"/>
  <c r="O118" i="4"/>
  <c r="Q18" i="2"/>
  <c r="B153" i="4"/>
  <c r="O153" i="4"/>
  <c r="B248" i="4"/>
  <c r="O248" i="4"/>
  <c r="B282" i="4"/>
  <c r="O282" i="4"/>
  <c r="B257" i="4"/>
  <c r="O257" i="4"/>
  <c r="B85" i="4"/>
  <c r="O85" i="4"/>
  <c r="B86" i="4"/>
  <c r="O86" i="4"/>
  <c r="B65" i="4"/>
  <c r="O65" i="4"/>
  <c r="O21" i="2"/>
  <c r="B239" i="4"/>
  <c r="O239" i="4"/>
  <c r="B237" i="4"/>
  <c r="O237" i="4"/>
  <c r="B255" i="4"/>
  <c r="O255" i="4"/>
  <c r="B183" i="4"/>
  <c r="O183" i="4"/>
  <c r="M41" i="2"/>
  <c r="B279" i="4"/>
  <c r="M279" i="4"/>
  <c r="B292" i="4"/>
  <c r="O292" i="4"/>
  <c r="O3" i="2"/>
  <c r="B267" i="4"/>
  <c r="O267" i="4"/>
  <c r="N3" i="2"/>
  <c r="X12" i="2"/>
  <c r="B120" i="4"/>
  <c r="X18" i="2"/>
  <c r="X120" i="4"/>
  <c r="R166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S15" i="2"/>
  <c r="P15" i="2"/>
  <c r="B378" i="4"/>
  <c r="P378" i="4"/>
  <c r="H25" i="2"/>
  <c r="H18" i="2"/>
  <c r="H86" i="4"/>
  <c r="H85" i="4"/>
  <c r="S8" i="2"/>
  <c r="D20" i="2"/>
  <c r="D41" i="2"/>
  <c r="D279" i="4"/>
  <c r="U42" i="2"/>
  <c r="B302" i="4"/>
  <c r="U43" i="2"/>
  <c r="U302" i="4"/>
  <c r="A16" i="3"/>
  <c r="B16" i="3"/>
  <c r="C16" i="3"/>
  <c r="AH258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58" i="4" a="1"/>
  <c r="U258" i="4"/>
  <c r="AD213" i="5"/>
  <c r="T258" i="4" a="1"/>
  <c r="T258" i="4"/>
  <c r="AC213" i="5"/>
  <c r="U45" i="2"/>
  <c r="U308" i="4"/>
  <c r="AD303" i="5"/>
  <c r="T45" i="2"/>
  <c r="T308" i="4"/>
  <c r="AC303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W45" i="2"/>
  <c r="X45" i="2"/>
  <c r="Y45" i="2"/>
  <c r="Z45" i="2"/>
  <c r="AA45" i="2"/>
  <c r="AB45" i="2"/>
  <c r="D310" i="4"/>
  <c r="E305" i="5"/>
  <c r="F303" i="5"/>
  <c r="AC45" i="2"/>
  <c r="H303" i="5"/>
  <c r="I303" i="5"/>
  <c r="AD45" i="2"/>
  <c r="AE45" i="2"/>
  <c r="I310" i="4"/>
  <c r="L305" i="5"/>
  <c r="K305" i="5"/>
  <c r="AF45" i="2"/>
  <c r="AG45" i="2"/>
  <c r="AH45" i="2"/>
  <c r="AI45" i="2"/>
  <c r="AJ45" i="2"/>
  <c r="O305" i="5"/>
  <c r="J310" i="4"/>
  <c r="N305" i="5"/>
  <c r="AK45" i="2"/>
  <c r="M310" i="4"/>
  <c r="R305" i="5"/>
  <c r="L310" i="4"/>
  <c r="Q305" i="5"/>
  <c r="AL45" i="2"/>
  <c r="AM45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I26" i="5"/>
  <c r="F41" i="2"/>
  <c r="F40" i="2"/>
  <c r="F178" i="4"/>
  <c r="H26" i="5"/>
  <c r="E41" i="2"/>
  <c r="E40" i="2"/>
  <c r="E178" i="4"/>
  <c r="F26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178" i="4"/>
  <c r="E26" i="5"/>
  <c r="B301" i="4"/>
  <c r="D301" i="4"/>
  <c r="E296" i="5"/>
  <c r="F296" i="5"/>
  <c r="AC42" i="2"/>
  <c r="H296" i="5"/>
  <c r="I296" i="5"/>
  <c r="AD42" i="2"/>
  <c r="AE42" i="2"/>
  <c r="H41" i="2"/>
  <c r="H40" i="2"/>
  <c r="H178" i="4"/>
  <c r="K26" i="5"/>
  <c r="I15" i="2"/>
  <c r="I301" i="4"/>
  <c r="L296" i="5"/>
  <c r="K296" i="5"/>
  <c r="AF42" i="2"/>
  <c r="AG42" i="2"/>
  <c r="AH42" i="2"/>
  <c r="AI42" i="2"/>
  <c r="AJ42" i="2"/>
  <c r="O296" i="5"/>
  <c r="J15" i="2"/>
  <c r="J301" i="4"/>
  <c r="N296" i="5"/>
  <c r="AK42" i="2"/>
  <c r="M40" i="2"/>
  <c r="M178" i="4"/>
  <c r="R26" i="5"/>
  <c r="L41" i="2"/>
  <c r="L40" i="2"/>
  <c r="L178" i="4"/>
  <c r="Q26" i="5"/>
  <c r="M301" i="4"/>
  <c r="R296" i="5"/>
  <c r="L301" i="4"/>
  <c r="Q296" i="5"/>
  <c r="AL42" i="2"/>
  <c r="AM42" i="2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N41" i="2"/>
  <c r="N40" i="2"/>
  <c r="N178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197" i="4"/>
  <c r="E216" i="5"/>
  <c r="AC41" i="2"/>
  <c r="AD41" i="2"/>
  <c r="AE41" i="2"/>
  <c r="H197" i="4"/>
  <c r="K216" i="5"/>
  <c r="L26" i="5"/>
  <c r="AF41" i="2"/>
  <c r="AG41" i="2"/>
  <c r="AH41" i="2"/>
  <c r="AI41" i="2"/>
  <c r="AJ41" i="2"/>
  <c r="N26" i="5"/>
  <c r="O26" i="5"/>
  <c r="AK41" i="2"/>
  <c r="M29" i="2"/>
  <c r="M197" i="4"/>
  <c r="R216" i="5"/>
  <c r="L29" i="2"/>
  <c r="L197" i="4"/>
  <c r="Q216" i="5"/>
  <c r="AL41" i="2"/>
  <c r="AM41" i="2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H163" i="4"/>
  <c r="AH149" i="4"/>
  <c r="U149" i="4" a="1"/>
  <c r="U149" i="4"/>
  <c r="AH162" i="4"/>
  <c r="AH164" i="4"/>
  <c r="AH161" i="4"/>
  <c r="T163" i="4" a="1"/>
  <c r="T163" i="4"/>
  <c r="T149" i="4" a="1"/>
  <c r="T149" i="4"/>
  <c r="T162" i="4" a="1"/>
  <c r="T162" i="4"/>
  <c r="T164" i="4" a="1"/>
  <c r="T164" i="4"/>
  <c r="T161" i="4" a="1"/>
  <c r="T161" i="4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B13" i="3"/>
  <c r="C13" i="3"/>
  <c r="AD208" i="5"/>
  <c r="AC208" i="5"/>
  <c r="AH234" i="4"/>
  <c r="U234" i="4" a="1"/>
  <c r="U234" i="4"/>
  <c r="AD9" i="5"/>
  <c r="T234" i="4" a="1"/>
  <c r="T234" i="4"/>
  <c r="AC9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233" i="4"/>
  <c r="D233" i="4"/>
  <c r="E70" i="5"/>
  <c r="AC16" i="2"/>
  <c r="AD16" i="2"/>
  <c r="AE16" i="2"/>
  <c r="H233" i="4"/>
  <c r="K70" i="5"/>
  <c r="L9" i="5"/>
  <c r="AF16" i="2"/>
  <c r="AG16" i="2"/>
  <c r="AH16" i="2"/>
  <c r="AI16" i="2"/>
  <c r="AJ16" i="2"/>
  <c r="N9" i="5"/>
  <c r="O9" i="5"/>
  <c r="AK16" i="2"/>
  <c r="M233" i="4"/>
  <c r="R70" i="5"/>
  <c r="L233" i="4"/>
  <c r="Q70" i="5"/>
  <c r="AL16" i="2"/>
  <c r="AM16" i="2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C15" i="2"/>
  <c r="C234" i="4"/>
  <c r="C9" i="5"/>
  <c r="T9" i="5"/>
  <c r="U9" i="5"/>
  <c r="P234" i="4"/>
  <c r="W9" i="5"/>
  <c r="Q15" i="2"/>
  <c r="Q234" i="4"/>
  <c r="X9" i="5"/>
  <c r="S234" i="4"/>
  <c r="AA9" i="5"/>
  <c r="AF9" i="5"/>
  <c r="AG9" i="5"/>
  <c r="X15" i="2"/>
  <c r="X234" i="4"/>
  <c r="AI9" i="5"/>
  <c r="Y15" i="2"/>
  <c r="Y234" i="4"/>
  <c r="AJ9" i="5"/>
  <c r="Z15" i="2"/>
  <c r="Z234" i="4"/>
  <c r="AL9" i="5"/>
  <c r="Z9" i="5"/>
  <c r="AN9" i="5"/>
  <c r="C21" i="2"/>
  <c r="C3" i="2"/>
  <c r="C267" i="4"/>
  <c r="C10" i="5"/>
  <c r="D21" i="2"/>
  <c r="D3" i="2"/>
  <c r="D267" i="4"/>
  <c r="E10" i="5"/>
  <c r="K10" i="5"/>
  <c r="L21" i="2"/>
  <c r="L3" i="2"/>
  <c r="L267" i="4"/>
  <c r="Q10" i="5"/>
  <c r="M21" i="2"/>
  <c r="M3" i="2"/>
  <c r="M267" i="4"/>
  <c r="R10" i="5"/>
  <c r="T10" i="5"/>
  <c r="U10" i="5"/>
  <c r="P21" i="2"/>
  <c r="P3" i="2"/>
  <c r="P267" i="4"/>
  <c r="W10" i="5"/>
  <c r="Q21" i="2"/>
  <c r="Q3" i="2"/>
  <c r="Q267" i="4"/>
  <c r="X10" i="5"/>
  <c r="S21" i="2"/>
  <c r="S3" i="2"/>
  <c r="S267" i="4"/>
  <c r="AA10" i="5"/>
  <c r="AH267" i="4"/>
  <c r="T267" i="4" a="1"/>
  <c r="T267" i="4"/>
  <c r="AC10" i="5"/>
  <c r="U267" i="4" a="1"/>
  <c r="U267" i="4"/>
  <c r="AD10" i="5"/>
  <c r="AF10" i="5"/>
  <c r="AG10" i="5"/>
  <c r="X21" i="2"/>
  <c r="X3" i="2"/>
  <c r="X267" i="4"/>
  <c r="AI10" i="5"/>
  <c r="Y21" i="2"/>
  <c r="Y3" i="2"/>
  <c r="Y267" i="4"/>
  <c r="AJ10" i="5"/>
  <c r="Z21" i="2"/>
  <c r="Z3" i="2"/>
  <c r="Z267" i="4"/>
  <c r="AL10" i="5"/>
  <c r="F10" i="5"/>
  <c r="H10" i="5"/>
  <c r="I10" i="5"/>
  <c r="L10" i="5"/>
  <c r="N10" i="5"/>
  <c r="O10" i="5"/>
  <c r="Z10" i="5"/>
  <c r="AN10" i="5"/>
  <c r="B268" i="4"/>
  <c r="C2" i="2"/>
  <c r="C268" i="4"/>
  <c r="C11" i="5"/>
  <c r="D2" i="2"/>
  <c r="D268" i="4"/>
  <c r="E11" i="5"/>
  <c r="K11" i="5"/>
  <c r="L2" i="2"/>
  <c r="L268" i="4"/>
  <c r="Q11" i="5"/>
  <c r="M2" i="2"/>
  <c r="M268" i="4"/>
  <c r="R11" i="5"/>
  <c r="T11" i="5"/>
  <c r="U11" i="5"/>
  <c r="P2" i="2"/>
  <c r="P268" i="4"/>
  <c r="W11" i="5"/>
  <c r="Q2" i="2"/>
  <c r="Q268" i="4"/>
  <c r="X11" i="5"/>
  <c r="S2" i="2"/>
  <c r="S268" i="4"/>
  <c r="AA11" i="5"/>
  <c r="AH268" i="4"/>
  <c r="T268" i="4" a="1"/>
  <c r="T268" i="4"/>
  <c r="AC11" i="5"/>
  <c r="U268" i="4" a="1"/>
  <c r="U268" i="4"/>
  <c r="AD11" i="5"/>
  <c r="AF11" i="5"/>
  <c r="AG11" i="5"/>
  <c r="X2" i="2"/>
  <c r="X268" i="4"/>
  <c r="AI11" i="5"/>
  <c r="Y2" i="2"/>
  <c r="Y268" i="4"/>
  <c r="AJ11" i="5"/>
  <c r="Z2" i="2"/>
  <c r="Z268" i="4"/>
  <c r="AL11" i="5"/>
  <c r="F11" i="5"/>
  <c r="H11" i="5"/>
  <c r="I11" i="5"/>
  <c r="L11" i="5"/>
  <c r="N11" i="5"/>
  <c r="O11" i="5"/>
  <c r="Z11" i="5"/>
  <c r="AN11" i="5"/>
  <c r="S27" i="2"/>
  <c r="S155" i="4"/>
  <c r="AA12" i="5"/>
  <c r="P27" i="2"/>
  <c r="P155" i="4"/>
  <c r="W12" i="5"/>
  <c r="O12" i="5"/>
  <c r="K12" i="5"/>
  <c r="C27" i="2"/>
  <c r="C155" i="4"/>
  <c r="C12" i="5"/>
  <c r="D27" i="2"/>
  <c r="D155" i="4"/>
  <c r="E12" i="5"/>
  <c r="E27" i="2"/>
  <c r="E155" i="4"/>
  <c r="F12" i="5"/>
  <c r="F27" i="2"/>
  <c r="F155" i="4"/>
  <c r="H12" i="5"/>
  <c r="I12" i="5"/>
  <c r="L27" i="2"/>
  <c r="L155" i="4"/>
  <c r="Q12" i="5"/>
  <c r="M27" i="2"/>
  <c r="M155" i="4"/>
  <c r="R12" i="5"/>
  <c r="T12" i="5"/>
  <c r="U12" i="5"/>
  <c r="Q27" i="2"/>
  <c r="Q155" i="4"/>
  <c r="X12" i="5"/>
  <c r="R27" i="2"/>
  <c r="R155" i="4"/>
  <c r="Z12" i="5"/>
  <c r="AH155" i="4"/>
  <c r="T155" i="4" a="1"/>
  <c r="T155" i="4"/>
  <c r="AC12" i="5"/>
  <c r="U155" i="4" a="1"/>
  <c r="U155" i="4"/>
  <c r="AD12" i="5"/>
  <c r="AF12" i="5"/>
  <c r="AG12" i="5"/>
  <c r="X27" i="2"/>
  <c r="X155" i="4"/>
  <c r="AI12" i="5"/>
  <c r="Y27" i="2"/>
  <c r="Y155" i="4"/>
  <c r="AJ12" i="5"/>
  <c r="Z27" i="2"/>
  <c r="Z155" i="4"/>
  <c r="AL12" i="5"/>
  <c r="AN12" i="5"/>
  <c r="S30" i="2"/>
  <c r="S6" i="2"/>
  <c r="S156" i="4"/>
  <c r="AA13" i="5"/>
  <c r="P30" i="2"/>
  <c r="P6" i="2"/>
  <c r="P156" i="4"/>
  <c r="W13" i="5"/>
  <c r="O13" i="5"/>
  <c r="K13" i="5"/>
  <c r="C30" i="2"/>
  <c r="C6" i="2"/>
  <c r="C156" i="4"/>
  <c r="C13" i="5"/>
  <c r="D30" i="2"/>
  <c r="D6" i="2"/>
  <c r="D156" i="4"/>
  <c r="E13" i="5"/>
  <c r="E30" i="2"/>
  <c r="E6" i="2"/>
  <c r="E156" i="4"/>
  <c r="F13" i="5"/>
  <c r="F30" i="2"/>
  <c r="F6" i="2"/>
  <c r="F156" i="4"/>
  <c r="H13" i="5"/>
  <c r="I13" i="5"/>
  <c r="I30" i="2"/>
  <c r="I6" i="2"/>
  <c r="I27" i="2"/>
  <c r="I156" i="4"/>
  <c r="L13" i="5"/>
  <c r="J30" i="2"/>
  <c r="J6" i="2"/>
  <c r="J27" i="2"/>
  <c r="J156" i="4"/>
  <c r="N13" i="5"/>
  <c r="L30" i="2"/>
  <c r="L6" i="2"/>
  <c r="L156" i="4"/>
  <c r="Q13" i="5"/>
  <c r="M30" i="2"/>
  <c r="M6" i="2"/>
  <c r="M156" i="4"/>
  <c r="R13" i="5"/>
  <c r="T13" i="5"/>
  <c r="U13" i="5"/>
  <c r="Q30" i="2"/>
  <c r="Q6" i="2"/>
  <c r="Q156" i="4"/>
  <c r="X13" i="5"/>
  <c r="R30" i="2"/>
  <c r="R6" i="2"/>
  <c r="R156" i="4"/>
  <c r="Z13" i="5"/>
  <c r="AH156" i="4"/>
  <c r="T156" i="4" a="1"/>
  <c r="T156" i="4"/>
  <c r="AC13" i="5"/>
  <c r="U156" i="4" a="1"/>
  <c r="U156" i="4"/>
  <c r="AD13" i="5"/>
  <c r="AF13" i="5"/>
  <c r="AG13" i="5"/>
  <c r="X30" i="2"/>
  <c r="X6" i="2"/>
  <c r="X156" i="4"/>
  <c r="AI13" i="5"/>
  <c r="Y30" i="2"/>
  <c r="Y6" i="2"/>
  <c r="Y156" i="4"/>
  <c r="AJ13" i="5"/>
  <c r="Z30" i="2"/>
  <c r="Z6" i="2"/>
  <c r="Z156" i="4"/>
  <c r="AL13" i="5"/>
  <c r="AN13" i="5"/>
  <c r="C36" i="2"/>
  <c r="C127" i="4"/>
  <c r="C14" i="5"/>
  <c r="D36" i="2"/>
  <c r="D127" i="4"/>
  <c r="E14" i="5"/>
  <c r="F14" i="5"/>
  <c r="F36" i="2"/>
  <c r="F127" i="4"/>
  <c r="H14" i="5"/>
  <c r="I14" i="5"/>
  <c r="H36" i="2"/>
  <c r="H127" i="4"/>
  <c r="K14" i="5"/>
  <c r="L36" i="2"/>
  <c r="L127" i="4"/>
  <c r="Q14" i="5"/>
  <c r="M36" i="2"/>
  <c r="M127" i="4"/>
  <c r="R14" i="5"/>
  <c r="T14" i="5"/>
  <c r="U14" i="5"/>
  <c r="P36" i="2"/>
  <c r="P127" i="4"/>
  <c r="W14" i="5"/>
  <c r="Q36" i="2"/>
  <c r="Q127" i="4"/>
  <c r="X14" i="5"/>
  <c r="S36" i="2"/>
  <c r="S127" i="4"/>
  <c r="AA14" i="5"/>
  <c r="AH127" i="4"/>
  <c r="T127" i="4" a="1"/>
  <c r="T127" i="4"/>
  <c r="AC14" i="5"/>
  <c r="U127" i="4" a="1"/>
  <c r="U127" i="4"/>
  <c r="AD14" i="5"/>
  <c r="AF14" i="5"/>
  <c r="AG14" i="5"/>
  <c r="X36" i="2"/>
  <c r="X127" i="4"/>
  <c r="AI14" i="5"/>
  <c r="Y36" i="2"/>
  <c r="Y127" i="4"/>
  <c r="AJ14" i="5"/>
  <c r="Z36" i="2"/>
  <c r="Z127" i="4"/>
  <c r="AL14" i="5"/>
  <c r="L14" i="5"/>
  <c r="N14" i="5"/>
  <c r="O14" i="5"/>
  <c r="Z14" i="5"/>
  <c r="AN14" i="5"/>
  <c r="C38" i="2"/>
  <c r="C248" i="4"/>
  <c r="C15" i="5"/>
  <c r="D38" i="2"/>
  <c r="D248" i="4"/>
  <c r="E15" i="5"/>
  <c r="E38" i="2"/>
  <c r="E248" i="4"/>
  <c r="F15" i="5"/>
  <c r="F38" i="2"/>
  <c r="F248" i="4"/>
  <c r="H15" i="5"/>
  <c r="I15" i="5"/>
  <c r="K15" i="5"/>
  <c r="L38" i="2"/>
  <c r="L248" i="4"/>
  <c r="Q15" i="5"/>
  <c r="M38" i="2"/>
  <c r="M248" i="4"/>
  <c r="R15" i="5"/>
  <c r="T15" i="5"/>
  <c r="U15" i="5"/>
  <c r="P38" i="2"/>
  <c r="P248" i="4"/>
  <c r="W15" i="5"/>
  <c r="Q38" i="2"/>
  <c r="Q248" i="4"/>
  <c r="X15" i="5"/>
  <c r="S38" i="2"/>
  <c r="S248" i="4"/>
  <c r="AA15" i="5"/>
  <c r="AH248" i="4"/>
  <c r="T248" i="4" a="1"/>
  <c r="T248" i="4"/>
  <c r="AC15" i="5"/>
  <c r="U248" i="4" a="1"/>
  <c r="U248" i="4"/>
  <c r="AD15" i="5"/>
  <c r="AF15" i="5"/>
  <c r="AG15" i="5"/>
  <c r="X38" i="2"/>
  <c r="X248" i="4"/>
  <c r="AI15" i="5"/>
  <c r="Y38" i="2"/>
  <c r="Y248" i="4"/>
  <c r="AJ15" i="5"/>
  <c r="Z38" i="2"/>
  <c r="Z248" i="4"/>
  <c r="AL15" i="5"/>
  <c r="L15" i="5"/>
  <c r="N15" i="5"/>
  <c r="O15" i="5"/>
  <c r="Z15" i="5"/>
  <c r="AN15" i="5"/>
  <c r="S25" i="2"/>
  <c r="B47" i="4"/>
  <c r="S47" i="4"/>
  <c r="AA16" i="5"/>
  <c r="P25" i="2"/>
  <c r="P47" i="4"/>
  <c r="W16" i="5"/>
  <c r="C25" i="2"/>
  <c r="C47" i="4"/>
  <c r="C16" i="5"/>
  <c r="D25" i="2"/>
  <c r="D47" i="4"/>
  <c r="E16" i="5"/>
  <c r="K16" i="5"/>
  <c r="L25" i="2"/>
  <c r="L47" i="4"/>
  <c r="Q16" i="5"/>
  <c r="M25" i="2"/>
  <c r="M47" i="4"/>
  <c r="R16" i="5"/>
  <c r="N25" i="2"/>
  <c r="N47" i="4"/>
  <c r="T16" i="5"/>
  <c r="O47" i="4"/>
  <c r="U16" i="5"/>
  <c r="Q47" i="4"/>
  <c r="X16" i="5"/>
  <c r="R25" i="2"/>
  <c r="R47" i="4"/>
  <c r="Z16" i="5"/>
  <c r="AH47" i="4"/>
  <c r="T47" i="4" a="1"/>
  <c r="T47" i="4"/>
  <c r="AC16" i="5"/>
  <c r="U47" i="4" a="1"/>
  <c r="U47" i="4"/>
  <c r="AD16" i="5"/>
  <c r="AF16" i="5"/>
  <c r="AG16" i="5"/>
  <c r="X25" i="2"/>
  <c r="X47" i="4"/>
  <c r="AI16" i="5"/>
  <c r="Y25" i="2"/>
  <c r="Y47" i="4"/>
  <c r="AJ16" i="5"/>
  <c r="Z25" i="2"/>
  <c r="Z47" i="4"/>
  <c r="AL16" i="5"/>
  <c r="L16" i="5"/>
  <c r="N16" i="5"/>
  <c r="O16" i="5"/>
  <c r="F16" i="5"/>
  <c r="H16" i="5"/>
  <c r="I16" i="5"/>
  <c r="AN16" i="5"/>
  <c r="S85" i="4"/>
  <c r="AA17" i="5"/>
  <c r="P85" i="4"/>
  <c r="W17" i="5"/>
  <c r="C85" i="4"/>
  <c r="C17" i="5"/>
  <c r="D85" i="4"/>
  <c r="E17" i="5"/>
  <c r="K17" i="5"/>
  <c r="L85" i="4"/>
  <c r="Q17" i="5"/>
  <c r="M85" i="4"/>
  <c r="R17" i="5"/>
  <c r="T17" i="5"/>
  <c r="U17" i="5"/>
  <c r="Q85" i="4"/>
  <c r="X17" i="5"/>
  <c r="R85" i="4"/>
  <c r="Z17" i="5"/>
  <c r="AH85" i="4"/>
  <c r="T85" i="4" a="1"/>
  <c r="T85" i="4"/>
  <c r="AC17" i="5"/>
  <c r="U85" i="4" a="1"/>
  <c r="U85" i="4"/>
  <c r="AD17" i="5"/>
  <c r="AF17" i="5"/>
  <c r="AG17" i="5"/>
  <c r="X85" i="4"/>
  <c r="AI17" i="5"/>
  <c r="Y85" i="4"/>
  <c r="AJ17" i="5"/>
  <c r="Z85" i="4"/>
  <c r="AL17" i="5"/>
  <c r="L17" i="5"/>
  <c r="N17" i="5"/>
  <c r="O17" i="5"/>
  <c r="F17" i="5"/>
  <c r="H17" i="5"/>
  <c r="I17" i="5"/>
  <c r="AN17" i="5"/>
  <c r="S18" i="2"/>
  <c r="S86" i="4"/>
  <c r="AA18" i="5"/>
  <c r="P18" i="2"/>
  <c r="P86" i="4"/>
  <c r="W18" i="5"/>
  <c r="C18" i="2"/>
  <c r="C86" i="4"/>
  <c r="C18" i="5"/>
  <c r="D18" i="2"/>
  <c r="D86" i="4"/>
  <c r="E18" i="5"/>
  <c r="K18" i="5"/>
  <c r="L18" i="2"/>
  <c r="L86" i="4"/>
  <c r="Q18" i="5"/>
  <c r="M18" i="2"/>
  <c r="M86" i="4"/>
  <c r="R18" i="5"/>
  <c r="T18" i="5"/>
  <c r="U18" i="5"/>
  <c r="Q86" i="4"/>
  <c r="X18" i="5"/>
  <c r="R18" i="2"/>
  <c r="R86" i="4"/>
  <c r="Z18" i="5"/>
  <c r="AH86" i="4"/>
  <c r="T86" i="4" a="1"/>
  <c r="T86" i="4"/>
  <c r="AC18" i="5"/>
  <c r="U86" i="4" a="1"/>
  <c r="U86" i="4"/>
  <c r="AD18" i="5"/>
  <c r="AF18" i="5"/>
  <c r="AG18" i="5"/>
  <c r="X86" i="4"/>
  <c r="AI18" i="5"/>
  <c r="Y18" i="2"/>
  <c r="Y86" i="4"/>
  <c r="AJ18" i="5"/>
  <c r="Z18" i="2"/>
  <c r="Z86" i="4"/>
  <c r="AL18" i="5"/>
  <c r="L18" i="5"/>
  <c r="N18" i="5"/>
  <c r="O18" i="5"/>
  <c r="F18" i="5"/>
  <c r="H18" i="5"/>
  <c r="I18" i="5"/>
  <c r="AN18" i="5"/>
  <c r="C34" i="2"/>
  <c r="C14" i="2"/>
  <c r="C33" i="2"/>
  <c r="C35" i="2"/>
  <c r="C90" i="4"/>
  <c r="C19" i="5"/>
  <c r="D34" i="2"/>
  <c r="D14" i="2"/>
  <c r="D33" i="2"/>
  <c r="D35" i="2"/>
  <c r="D90" i="4"/>
  <c r="E19" i="5"/>
  <c r="L34" i="2"/>
  <c r="L14" i="2"/>
  <c r="L33" i="2"/>
  <c r="L35" i="2"/>
  <c r="L90" i="4"/>
  <c r="Q19" i="5"/>
  <c r="M34" i="2"/>
  <c r="M14" i="2"/>
  <c r="M33" i="2"/>
  <c r="M35" i="2"/>
  <c r="M90" i="4"/>
  <c r="R19" i="5"/>
  <c r="T19" i="5"/>
  <c r="U19" i="5"/>
  <c r="P34" i="2"/>
  <c r="P14" i="2"/>
  <c r="P33" i="2"/>
  <c r="P35" i="2"/>
  <c r="P90" i="4"/>
  <c r="W19" i="5"/>
  <c r="Q34" i="2"/>
  <c r="Q14" i="2"/>
  <c r="Q33" i="2"/>
  <c r="Q35" i="2"/>
  <c r="Q90" i="4"/>
  <c r="X19" i="5"/>
  <c r="S34" i="2"/>
  <c r="S14" i="2"/>
  <c r="S33" i="2"/>
  <c r="S35" i="2"/>
  <c r="S90" i="4"/>
  <c r="AA19" i="5"/>
  <c r="AH90" i="4"/>
  <c r="T90" i="4" a="1"/>
  <c r="T90" i="4"/>
  <c r="AC19" i="5"/>
  <c r="U90" i="4" a="1"/>
  <c r="U90" i="4"/>
  <c r="AD19" i="5"/>
  <c r="AF19" i="5"/>
  <c r="AG19" i="5"/>
  <c r="X34" i="2"/>
  <c r="X14" i="2"/>
  <c r="X33" i="2"/>
  <c r="X35" i="2"/>
  <c r="X90" i="4"/>
  <c r="AI19" i="5"/>
  <c r="Y34" i="2"/>
  <c r="Y14" i="2"/>
  <c r="Y33" i="2"/>
  <c r="Y35" i="2"/>
  <c r="Y90" i="4"/>
  <c r="AJ19" i="5"/>
  <c r="Z34" i="2"/>
  <c r="Z14" i="2"/>
  <c r="Z33" i="2"/>
  <c r="Z35" i="2"/>
  <c r="Z90" i="4"/>
  <c r="AL19" i="5"/>
  <c r="L19" i="5"/>
  <c r="N19" i="5"/>
  <c r="O19" i="5"/>
  <c r="F19" i="5"/>
  <c r="H19" i="5"/>
  <c r="I19" i="5"/>
  <c r="Z19" i="5"/>
  <c r="AN19" i="5"/>
  <c r="C13" i="2"/>
  <c r="C91" i="4"/>
  <c r="C20" i="5"/>
  <c r="D13" i="2"/>
  <c r="D91" i="4"/>
  <c r="E20" i="5"/>
  <c r="H35" i="2"/>
  <c r="H33" i="2"/>
  <c r="H13" i="2"/>
  <c r="H91" i="4"/>
  <c r="K20" i="5"/>
  <c r="L13" i="2"/>
  <c r="L91" i="4"/>
  <c r="Q20" i="5"/>
  <c r="M13" i="2"/>
  <c r="M91" i="4"/>
  <c r="R20" i="5"/>
  <c r="T20" i="5"/>
  <c r="U20" i="5"/>
  <c r="P13" i="2"/>
  <c r="P91" i="4"/>
  <c r="W20" i="5"/>
  <c r="Q13" i="2"/>
  <c r="Q91" i="4"/>
  <c r="X20" i="5"/>
  <c r="S13" i="2"/>
  <c r="S91" i="4"/>
  <c r="AA20" i="5"/>
  <c r="AH91" i="4"/>
  <c r="T91" i="4" a="1"/>
  <c r="T91" i="4"/>
  <c r="AC20" i="5"/>
  <c r="U91" i="4" a="1"/>
  <c r="U91" i="4"/>
  <c r="AD20" i="5"/>
  <c r="AF20" i="5"/>
  <c r="AG20" i="5"/>
  <c r="X13" i="2"/>
  <c r="X91" i="4"/>
  <c r="AI20" i="5"/>
  <c r="Y13" i="2"/>
  <c r="Y91" i="4"/>
  <c r="AJ20" i="5"/>
  <c r="Z13" i="2"/>
  <c r="Z91" i="4"/>
  <c r="AL20" i="5"/>
  <c r="L20" i="5"/>
  <c r="N20" i="5"/>
  <c r="O20" i="5"/>
  <c r="F20" i="5"/>
  <c r="H20" i="5"/>
  <c r="I20" i="5"/>
  <c r="Z20" i="5"/>
  <c r="AN20" i="5"/>
  <c r="C29" i="2"/>
  <c r="C92" i="4"/>
  <c r="C21" i="5"/>
  <c r="D92" i="4"/>
  <c r="E21" i="5"/>
  <c r="H92" i="4"/>
  <c r="K21" i="5"/>
  <c r="I33" i="2"/>
  <c r="I29" i="2"/>
  <c r="I92" i="4"/>
  <c r="L21" i="5"/>
  <c r="J33" i="2"/>
  <c r="J29" i="2"/>
  <c r="J92" i="4"/>
  <c r="N21" i="5"/>
  <c r="O21" i="5"/>
  <c r="L92" i="4"/>
  <c r="Q21" i="5"/>
  <c r="M92" i="4"/>
  <c r="R21" i="5"/>
  <c r="N33" i="2"/>
  <c r="N29" i="2"/>
  <c r="N92" i="4"/>
  <c r="T21" i="5"/>
  <c r="U21" i="5"/>
  <c r="P92" i="4"/>
  <c r="W21" i="5"/>
  <c r="Q29" i="2"/>
  <c r="Q92" i="4"/>
  <c r="X21" i="5"/>
  <c r="S92" i="4"/>
  <c r="AA21" i="5"/>
  <c r="AH92" i="4"/>
  <c r="T92" i="4" a="1"/>
  <c r="T92" i="4"/>
  <c r="AC21" i="5"/>
  <c r="U92" i="4" a="1"/>
  <c r="U92" i="4"/>
  <c r="AD21" i="5"/>
  <c r="AF21" i="5"/>
  <c r="AG21" i="5"/>
  <c r="X29" i="2"/>
  <c r="X92" i="4"/>
  <c r="AI21" i="5"/>
  <c r="Y29" i="2"/>
  <c r="Y92" i="4"/>
  <c r="AJ21" i="5"/>
  <c r="Z29" i="2"/>
  <c r="Z92" i="4"/>
  <c r="AL21" i="5"/>
  <c r="F21" i="5"/>
  <c r="H21" i="5"/>
  <c r="I21" i="5"/>
  <c r="Z21" i="5"/>
  <c r="AN21" i="5"/>
  <c r="C93" i="4"/>
  <c r="C22" i="5"/>
  <c r="D93" i="4"/>
  <c r="E22" i="5"/>
  <c r="H93" i="4"/>
  <c r="K22" i="5"/>
  <c r="L93" i="4"/>
  <c r="Q22" i="5"/>
  <c r="M93" i="4"/>
  <c r="R22" i="5"/>
  <c r="N35" i="2"/>
  <c r="N93" i="4"/>
  <c r="T22" i="5"/>
  <c r="U22" i="5"/>
  <c r="P93" i="4"/>
  <c r="W22" i="5"/>
  <c r="Q93" i="4"/>
  <c r="X22" i="5"/>
  <c r="S93" i="4"/>
  <c r="AA22" i="5"/>
  <c r="AH93" i="4"/>
  <c r="T93" i="4" a="1"/>
  <c r="T93" i="4"/>
  <c r="AC22" i="5"/>
  <c r="U93" i="4" a="1"/>
  <c r="U93" i="4"/>
  <c r="AD22" i="5"/>
  <c r="AF22" i="5"/>
  <c r="AG22" i="5"/>
  <c r="X93" i="4"/>
  <c r="AI22" i="5"/>
  <c r="Y93" i="4"/>
  <c r="AJ22" i="5"/>
  <c r="Z93" i="4"/>
  <c r="AL22" i="5"/>
  <c r="L22" i="5"/>
  <c r="N22" i="5"/>
  <c r="O22" i="5"/>
  <c r="F22" i="5"/>
  <c r="H22" i="5"/>
  <c r="I22" i="5"/>
  <c r="Z22" i="5"/>
  <c r="AN22" i="5"/>
  <c r="C95" i="4"/>
  <c r="C23" i="5"/>
  <c r="D95" i="4"/>
  <c r="E23" i="5"/>
  <c r="H95" i="4"/>
  <c r="K23" i="5"/>
  <c r="L95" i="4"/>
  <c r="Q23" i="5"/>
  <c r="M95" i="4"/>
  <c r="R23" i="5"/>
  <c r="T23" i="5"/>
  <c r="U23" i="5"/>
  <c r="P95" i="4"/>
  <c r="W23" i="5"/>
  <c r="Q95" i="4"/>
  <c r="X23" i="5"/>
  <c r="S95" i="4"/>
  <c r="AA23" i="5"/>
  <c r="AH95" i="4"/>
  <c r="T95" i="4" a="1"/>
  <c r="T95" i="4"/>
  <c r="AC23" i="5"/>
  <c r="U95" i="4" a="1"/>
  <c r="U95" i="4"/>
  <c r="AD23" i="5"/>
  <c r="AF23" i="5"/>
  <c r="AG23" i="5"/>
  <c r="X95" i="4"/>
  <c r="AI23" i="5"/>
  <c r="Y95" i="4"/>
  <c r="AJ23" i="5"/>
  <c r="Z95" i="4"/>
  <c r="AL23" i="5"/>
  <c r="L23" i="5"/>
  <c r="N23" i="5"/>
  <c r="O23" i="5"/>
  <c r="F23" i="5"/>
  <c r="H23" i="5"/>
  <c r="I23" i="5"/>
  <c r="Z23" i="5"/>
  <c r="AN23" i="5"/>
  <c r="C96" i="4"/>
  <c r="C24" i="5"/>
  <c r="D96" i="4"/>
  <c r="E24" i="5"/>
  <c r="H96" i="4"/>
  <c r="K24" i="5"/>
  <c r="L96" i="4"/>
  <c r="Q24" i="5"/>
  <c r="M96" i="4"/>
  <c r="R24" i="5"/>
  <c r="T24" i="5"/>
  <c r="U24" i="5"/>
  <c r="P96" i="4"/>
  <c r="W24" i="5"/>
  <c r="Q96" i="4"/>
  <c r="X24" i="5"/>
  <c r="S96" i="4"/>
  <c r="AA24" i="5"/>
  <c r="AH96" i="4"/>
  <c r="T96" i="4" a="1"/>
  <c r="T96" i="4"/>
  <c r="AC24" i="5"/>
  <c r="U96" i="4" a="1"/>
  <c r="U96" i="4"/>
  <c r="AD24" i="5"/>
  <c r="AF24" i="5"/>
  <c r="AG24" i="5"/>
  <c r="X96" i="4"/>
  <c r="AI24" i="5"/>
  <c r="Y96" i="4"/>
  <c r="AJ24" i="5"/>
  <c r="Z96" i="4"/>
  <c r="AL24" i="5"/>
  <c r="L24" i="5"/>
  <c r="N24" i="5"/>
  <c r="O24" i="5"/>
  <c r="F24" i="5"/>
  <c r="H24" i="5"/>
  <c r="I24" i="5"/>
  <c r="Z24" i="5"/>
  <c r="AN24" i="5"/>
  <c r="C257" i="4"/>
  <c r="C25" i="5"/>
  <c r="D257" i="4"/>
  <c r="E25" i="5"/>
  <c r="E257" i="4"/>
  <c r="F25" i="5"/>
  <c r="F257" i="4"/>
  <c r="H25" i="5"/>
  <c r="I25" i="5"/>
  <c r="K25" i="5"/>
  <c r="L257" i="4"/>
  <c r="Q25" i="5"/>
  <c r="M257" i="4"/>
  <c r="R25" i="5"/>
  <c r="T25" i="5"/>
  <c r="U25" i="5"/>
  <c r="P257" i="4"/>
  <c r="W25" i="5"/>
  <c r="Q257" i="4"/>
  <c r="X25" i="5"/>
  <c r="S257" i="4"/>
  <c r="AA25" i="5"/>
  <c r="AH257" i="4"/>
  <c r="T257" i="4" a="1"/>
  <c r="T257" i="4"/>
  <c r="AC25" i="5"/>
  <c r="U257" i="4" a="1"/>
  <c r="U257" i="4"/>
  <c r="AD25" i="5"/>
  <c r="AF25" i="5"/>
  <c r="AG25" i="5"/>
  <c r="X257" i="4"/>
  <c r="AI25" i="5"/>
  <c r="Y257" i="4"/>
  <c r="AJ25" i="5"/>
  <c r="Z257" i="4"/>
  <c r="AL25" i="5"/>
  <c r="L25" i="5"/>
  <c r="N25" i="5"/>
  <c r="O25" i="5"/>
  <c r="Z25" i="5"/>
  <c r="AN25" i="5"/>
  <c r="C40" i="2"/>
  <c r="C178" i="4"/>
  <c r="C26" i="5"/>
  <c r="T26" i="5"/>
  <c r="U26" i="5"/>
  <c r="P40" i="2"/>
  <c r="P178" i="4"/>
  <c r="W26" i="5"/>
  <c r="Q40" i="2"/>
  <c r="Q178" i="4"/>
  <c r="X26" i="5"/>
  <c r="S40" i="2"/>
  <c r="S178" i="4"/>
  <c r="AA26" i="5"/>
  <c r="AH178" i="4"/>
  <c r="T178" i="4" a="1"/>
  <c r="T178" i="4"/>
  <c r="AC26" i="5"/>
  <c r="U178" i="4" a="1"/>
  <c r="U178" i="4"/>
  <c r="AD26" i="5"/>
  <c r="AF26" i="5"/>
  <c r="AG26" i="5"/>
  <c r="X40" i="2"/>
  <c r="X178" i="4"/>
  <c r="AI26" i="5"/>
  <c r="Y40" i="2"/>
  <c r="Y178" i="4"/>
  <c r="AJ26" i="5"/>
  <c r="Z40" i="2"/>
  <c r="Z178" i="4"/>
  <c r="AL26" i="5"/>
  <c r="Z26" i="5"/>
  <c r="AN26" i="5"/>
  <c r="O27" i="5"/>
  <c r="H49" i="4"/>
  <c r="K27" i="5"/>
  <c r="C11" i="2"/>
  <c r="C49" i="4"/>
  <c r="C27" i="5"/>
  <c r="D11" i="2"/>
  <c r="D49" i="4"/>
  <c r="E27" i="5"/>
  <c r="I13" i="2"/>
  <c r="I11" i="2"/>
  <c r="I49" i="4"/>
  <c r="L27" i="5"/>
  <c r="J13" i="2"/>
  <c r="J11" i="2"/>
  <c r="J49" i="4"/>
  <c r="N27" i="5"/>
  <c r="L11" i="2"/>
  <c r="L49" i="4"/>
  <c r="Q27" i="5"/>
  <c r="M11" i="2"/>
  <c r="M49" i="4"/>
  <c r="R27" i="5"/>
  <c r="T27" i="5"/>
  <c r="U27" i="5"/>
  <c r="P11" i="2"/>
  <c r="P49" i="4"/>
  <c r="W27" i="5"/>
  <c r="Q11" i="2"/>
  <c r="Q49" i="4"/>
  <c r="X27" i="5"/>
  <c r="AA27" i="5"/>
  <c r="AH49" i="4"/>
  <c r="T49" i="4" a="1"/>
  <c r="T49" i="4"/>
  <c r="AC27" i="5"/>
  <c r="U49" i="4" a="1"/>
  <c r="U49" i="4"/>
  <c r="AD27" i="5"/>
  <c r="AF27" i="5"/>
  <c r="AG27" i="5"/>
  <c r="Y11" i="2"/>
  <c r="Y49" i="4"/>
  <c r="AJ27" i="5"/>
  <c r="Z11" i="2"/>
  <c r="Z49" i="4"/>
  <c r="AL27" i="5"/>
  <c r="F27" i="5"/>
  <c r="H27" i="5"/>
  <c r="I27" i="5"/>
  <c r="Z27" i="5"/>
  <c r="AN27" i="5"/>
  <c r="C50" i="4"/>
  <c r="C28" i="5"/>
  <c r="D50" i="4"/>
  <c r="E28" i="5"/>
  <c r="H50" i="4"/>
  <c r="K28" i="5"/>
  <c r="L50" i="4"/>
  <c r="Q28" i="5"/>
  <c r="M50" i="4"/>
  <c r="R28" i="5"/>
  <c r="T28" i="5"/>
  <c r="U28" i="5"/>
  <c r="P50" i="4"/>
  <c r="W28" i="5"/>
  <c r="Q50" i="4"/>
  <c r="X28" i="5"/>
  <c r="AA28" i="5"/>
  <c r="AH50" i="4"/>
  <c r="T50" i="4" a="1"/>
  <c r="T50" i="4"/>
  <c r="AC28" i="5"/>
  <c r="U50" i="4" a="1"/>
  <c r="U50" i="4"/>
  <c r="AD28" i="5"/>
  <c r="AF28" i="5"/>
  <c r="AG28" i="5"/>
  <c r="Y50" i="4"/>
  <c r="AJ28" i="5"/>
  <c r="Z50" i="4"/>
  <c r="AL28" i="5"/>
  <c r="L28" i="5"/>
  <c r="N28" i="5"/>
  <c r="O28" i="5"/>
  <c r="F28" i="5"/>
  <c r="H28" i="5"/>
  <c r="I28" i="5"/>
  <c r="Z28" i="5"/>
  <c r="AN28" i="5"/>
  <c r="S26" i="2"/>
  <c r="S115" i="4"/>
  <c r="AA29" i="5"/>
  <c r="P26" i="2"/>
  <c r="P115" i="4"/>
  <c r="W29" i="5"/>
  <c r="C26" i="2"/>
  <c r="C115" i="4"/>
  <c r="C29" i="5"/>
  <c r="D26" i="2"/>
  <c r="D115" i="4"/>
  <c r="E29" i="5"/>
  <c r="K29" i="5"/>
  <c r="L26" i="2"/>
  <c r="L115" i="4"/>
  <c r="Q29" i="5"/>
  <c r="M26" i="2"/>
  <c r="M115" i="4"/>
  <c r="R29" i="5"/>
  <c r="N26" i="2"/>
  <c r="N115" i="4"/>
  <c r="T29" i="5"/>
  <c r="U29" i="5"/>
  <c r="Q115" i="4"/>
  <c r="X29" i="5"/>
  <c r="R26" i="2"/>
  <c r="R115" i="4"/>
  <c r="Z29" i="5"/>
  <c r="AH115" i="4"/>
  <c r="T115" i="4" a="1"/>
  <c r="T115" i="4"/>
  <c r="AC29" i="5"/>
  <c r="U115" i="4" a="1"/>
  <c r="U115" i="4"/>
  <c r="AD29" i="5"/>
  <c r="AF29" i="5"/>
  <c r="AG29" i="5"/>
  <c r="X26" i="2"/>
  <c r="X115" i="4"/>
  <c r="AI29" i="5"/>
  <c r="Y26" i="2"/>
  <c r="Y115" i="4"/>
  <c r="AJ29" i="5"/>
  <c r="Z26" i="2"/>
  <c r="Z115" i="4"/>
  <c r="AL29" i="5"/>
  <c r="L29" i="5"/>
  <c r="N29" i="5"/>
  <c r="O29" i="5"/>
  <c r="F29" i="5"/>
  <c r="H29" i="5"/>
  <c r="I29" i="5"/>
  <c r="AN29" i="5"/>
  <c r="S11" i="2"/>
  <c r="S116" i="4"/>
  <c r="AA30" i="5"/>
  <c r="P116" i="4"/>
  <c r="W30" i="5"/>
  <c r="C116" i="4"/>
  <c r="C30" i="5"/>
  <c r="D116" i="4"/>
  <c r="E30" i="5"/>
  <c r="K30" i="5"/>
  <c r="L116" i="4"/>
  <c r="Q30" i="5"/>
  <c r="M116" i="4"/>
  <c r="R30" i="5"/>
  <c r="T30" i="5"/>
  <c r="U30" i="5"/>
  <c r="Q116" i="4"/>
  <c r="X30" i="5"/>
  <c r="R11" i="2"/>
  <c r="R116" i="4"/>
  <c r="Z30" i="5"/>
  <c r="AH116" i="4"/>
  <c r="T116" i="4" a="1"/>
  <c r="T116" i="4"/>
  <c r="AC30" i="5"/>
  <c r="U116" i="4" a="1"/>
  <c r="U116" i="4"/>
  <c r="AD30" i="5"/>
  <c r="AF30" i="5"/>
  <c r="AG30" i="5"/>
  <c r="X11" i="2"/>
  <c r="X116" i="4"/>
  <c r="AI30" i="5"/>
  <c r="Y116" i="4"/>
  <c r="AJ30" i="5"/>
  <c r="Z116" i="4"/>
  <c r="AL30" i="5"/>
  <c r="L30" i="5"/>
  <c r="N30" i="5"/>
  <c r="O30" i="5"/>
  <c r="F30" i="5"/>
  <c r="H30" i="5"/>
  <c r="I30" i="5"/>
  <c r="AN30" i="5"/>
  <c r="S117" i="4"/>
  <c r="AA31" i="5"/>
  <c r="P117" i="4"/>
  <c r="W31" i="5"/>
  <c r="C117" i="4"/>
  <c r="C31" i="5"/>
  <c r="D117" i="4"/>
  <c r="E31" i="5"/>
  <c r="K31" i="5"/>
  <c r="L117" i="4"/>
  <c r="Q31" i="5"/>
  <c r="M117" i="4"/>
  <c r="R31" i="5"/>
  <c r="T31" i="5"/>
  <c r="U31" i="5"/>
  <c r="Q117" i="4"/>
  <c r="X31" i="5"/>
  <c r="R117" i="4"/>
  <c r="Z31" i="5"/>
  <c r="AH117" i="4"/>
  <c r="T117" i="4" a="1"/>
  <c r="T117" i="4"/>
  <c r="AC31" i="5"/>
  <c r="U117" i="4" a="1"/>
  <c r="U117" i="4"/>
  <c r="AD31" i="5"/>
  <c r="AF31" i="5"/>
  <c r="AG31" i="5"/>
  <c r="X117" i="4"/>
  <c r="AI31" i="5"/>
  <c r="Y117" i="4"/>
  <c r="AJ31" i="5"/>
  <c r="Z117" i="4"/>
  <c r="AL31" i="5"/>
  <c r="L31" i="5"/>
  <c r="N31" i="5"/>
  <c r="O31" i="5"/>
  <c r="F31" i="5"/>
  <c r="H31" i="5"/>
  <c r="I31" i="5"/>
  <c r="AN31" i="5"/>
  <c r="C183" i="4"/>
  <c r="C33" i="5"/>
  <c r="D183" i="4"/>
  <c r="E33" i="5"/>
  <c r="K33" i="5"/>
  <c r="L183" i="4"/>
  <c r="Q33" i="5"/>
  <c r="M183" i="4"/>
  <c r="R33" i="5"/>
  <c r="T33" i="5"/>
  <c r="U33" i="5"/>
  <c r="P183" i="4"/>
  <c r="W33" i="5"/>
  <c r="Q183" i="4"/>
  <c r="X33" i="5"/>
  <c r="S183" i="4"/>
  <c r="AA33" i="5"/>
  <c r="AH183" i="4"/>
  <c r="T183" i="4" a="1"/>
  <c r="T183" i="4"/>
  <c r="AC33" i="5"/>
  <c r="U183" i="4" a="1"/>
  <c r="U183" i="4"/>
  <c r="AD33" i="5"/>
  <c r="AF33" i="5"/>
  <c r="AG33" i="5"/>
  <c r="AI33" i="5"/>
  <c r="Y183" i="4"/>
  <c r="AJ33" i="5"/>
  <c r="Z183" i="4"/>
  <c r="AL33" i="5"/>
  <c r="Z33" i="5"/>
  <c r="F33" i="5"/>
  <c r="H33" i="5"/>
  <c r="I33" i="5"/>
  <c r="L33" i="5"/>
  <c r="N33" i="5"/>
  <c r="O33" i="5"/>
  <c r="AN33" i="5"/>
  <c r="C31" i="2"/>
  <c r="C184" i="4"/>
  <c r="C34" i="5"/>
  <c r="D31" i="2"/>
  <c r="D184" i="4"/>
  <c r="E34" i="5"/>
  <c r="H31" i="2"/>
  <c r="H184" i="4"/>
  <c r="K34" i="5"/>
  <c r="L31" i="2"/>
  <c r="L184" i="4"/>
  <c r="Q34" i="5"/>
  <c r="M31" i="2"/>
  <c r="M184" i="4"/>
  <c r="R34" i="5"/>
  <c r="T34" i="5"/>
  <c r="U34" i="5"/>
  <c r="P31" i="2"/>
  <c r="P184" i="4"/>
  <c r="W34" i="5"/>
  <c r="Q31" i="2"/>
  <c r="Q184" i="4"/>
  <c r="X34" i="5"/>
  <c r="S31" i="2"/>
  <c r="S184" i="4"/>
  <c r="AA34" i="5"/>
  <c r="AH184" i="4"/>
  <c r="T184" i="4" a="1"/>
  <c r="T184" i="4"/>
  <c r="AC34" i="5"/>
  <c r="U184" i="4" a="1"/>
  <c r="U184" i="4"/>
  <c r="AD34" i="5"/>
  <c r="AF34" i="5"/>
  <c r="AG34" i="5"/>
  <c r="X31" i="2"/>
  <c r="X184" i="4"/>
  <c r="AI34" i="5"/>
  <c r="Y31" i="2"/>
  <c r="Y184" i="4"/>
  <c r="AJ34" i="5"/>
  <c r="Z31" i="2"/>
  <c r="Z184" i="4"/>
  <c r="AL34" i="5"/>
  <c r="Z34" i="5"/>
  <c r="F34" i="5"/>
  <c r="H34" i="5"/>
  <c r="I34" i="5"/>
  <c r="N34" i="5"/>
  <c r="O34" i="5"/>
  <c r="AN34" i="5"/>
  <c r="C185" i="4"/>
  <c r="C35" i="5"/>
  <c r="D185" i="4"/>
  <c r="E35" i="5"/>
  <c r="H30" i="2"/>
  <c r="K35" i="5"/>
  <c r="L185" i="4"/>
  <c r="Q35" i="5"/>
  <c r="M185" i="4"/>
  <c r="R35" i="5"/>
  <c r="T35" i="5"/>
  <c r="U35" i="5"/>
  <c r="P185" i="4"/>
  <c r="W35" i="5"/>
  <c r="S185" i="4"/>
  <c r="AA35" i="5"/>
  <c r="AH185" i="4"/>
  <c r="T185" i="4" a="1"/>
  <c r="T185" i="4"/>
  <c r="AC35" i="5"/>
  <c r="U185" i="4" a="1"/>
  <c r="U185" i="4"/>
  <c r="AD35" i="5"/>
  <c r="AF35" i="5"/>
  <c r="AG35" i="5"/>
  <c r="X185" i="4"/>
  <c r="AI35" i="5"/>
  <c r="Y185" i="4"/>
  <c r="AJ35" i="5"/>
  <c r="Z185" i="4"/>
  <c r="AL35" i="5"/>
  <c r="Z35" i="5"/>
  <c r="F35" i="5"/>
  <c r="H35" i="5"/>
  <c r="I35" i="5"/>
  <c r="N35" i="5"/>
  <c r="O35" i="5"/>
  <c r="AN35" i="5"/>
  <c r="B266" i="4"/>
  <c r="C266" i="4"/>
  <c r="C258" i="5"/>
  <c r="D266" i="4"/>
  <c r="E258" i="5"/>
  <c r="K258" i="5"/>
  <c r="L266" i="4"/>
  <c r="Q258" i="5"/>
  <c r="M266" i="4"/>
  <c r="R258" i="5"/>
  <c r="N2" i="2"/>
  <c r="N266" i="4"/>
  <c r="T258" i="5"/>
  <c r="O266" i="4"/>
  <c r="U258" i="5"/>
  <c r="P266" i="4"/>
  <c r="W258" i="5"/>
  <c r="Q266" i="4"/>
  <c r="X258" i="5"/>
  <c r="S266" i="4"/>
  <c r="AA258" i="5"/>
  <c r="AH266" i="4"/>
  <c r="T266" i="4" a="1"/>
  <c r="T266" i="4"/>
  <c r="AC258" i="5"/>
  <c r="U266" i="4" a="1"/>
  <c r="U266" i="4"/>
  <c r="AD258" i="5"/>
  <c r="AF258" i="5"/>
  <c r="AG258" i="5"/>
  <c r="X266" i="4"/>
  <c r="AI258" i="5"/>
  <c r="Y266" i="4"/>
  <c r="AJ258" i="5"/>
  <c r="Z266" i="4"/>
  <c r="AL258" i="5"/>
  <c r="Z258" i="5"/>
  <c r="F258" i="5"/>
  <c r="H258" i="5"/>
  <c r="I258" i="5"/>
  <c r="L258" i="5"/>
  <c r="N258" i="5"/>
  <c r="O258" i="5"/>
  <c r="AN258" i="5"/>
  <c r="S295" i="4"/>
  <c r="AA289" i="5"/>
  <c r="P295" i="4"/>
  <c r="W289" i="5"/>
  <c r="C295" i="4"/>
  <c r="C289" i="5"/>
  <c r="D295" i="4"/>
  <c r="E289" i="5"/>
  <c r="H38" i="2"/>
  <c r="H295" i="4"/>
  <c r="K289" i="5"/>
  <c r="L295" i="4"/>
  <c r="Q289" i="5"/>
  <c r="M295" i="4"/>
  <c r="R289" i="5"/>
  <c r="N36" i="2"/>
  <c r="N38" i="2"/>
  <c r="N295" i="4"/>
  <c r="T289" i="5"/>
  <c r="U289" i="5"/>
  <c r="Q295" i="4"/>
  <c r="X289" i="5"/>
  <c r="R36" i="2"/>
  <c r="R38" i="2"/>
  <c r="R295" i="4"/>
  <c r="Z289" i="5"/>
  <c r="AH295" i="4"/>
  <c r="T295" i="4" a="1"/>
  <c r="T295" i="4"/>
  <c r="AC289" i="5"/>
  <c r="U295" i="4" a="1"/>
  <c r="U295" i="4"/>
  <c r="AD289" i="5"/>
  <c r="AF289" i="5"/>
  <c r="AG289" i="5"/>
  <c r="X295" i="4"/>
  <c r="AI289" i="5"/>
  <c r="Y295" i="4"/>
  <c r="AJ289" i="5"/>
  <c r="Z295" i="4"/>
  <c r="AL289" i="5"/>
  <c r="F289" i="5"/>
  <c r="H289" i="5"/>
  <c r="I289" i="5"/>
  <c r="L289" i="5"/>
  <c r="N289" i="5"/>
  <c r="O289" i="5"/>
  <c r="AN289" i="5"/>
  <c r="B125" i="4"/>
  <c r="C24" i="2"/>
  <c r="C125" i="4"/>
  <c r="C2" i="5"/>
  <c r="D24" i="2"/>
  <c r="D125" i="4"/>
  <c r="E2" i="5"/>
  <c r="K2" i="5"/>
  <c r="L24" i="2"/>
  <c r="L125" i="4"/>
  <c r="Q2" i="5"/>
  <c r="M24" i="2"/>
  <c r="M125" i="4"/>
  <c r="R2" i="5"/>
  <c r="T2" i="5"/>
  <c r="U2" i="5"/>
  <c r="P24" i="2"/>
  <c r="P125" i="4"/>
  <c r="W2" i="5"/>
  <c r="Q24" i="2"/>
  <c r="Q125" i="4"/>
  <c r="X2" i="5"/>
  <c r="S24" i="2"/>
  <c r="S125" i="4"/>
  <c r="AA2" i="5"/>
  <c r="AH125" i="4"/>
  <c r="T125" i="4" a="1"/>
  <c r="T125" i="4"/>
  <c r="AC2" i="5"/>
  <c r="U125" i="4" a="1"/>
  <c r="U125" i="4"/>
  <c r="AD2" i="5"/>
  <c r="AF2" i="5"/>
  <c r="AG2" i="5"/>
  <c r="X24" i="2"/>
  <c r="X125" i="4"/>
  <c r="AI2" i="5"/>
  <c r="Y24" i="2"/>
  <c r="Y125" i="4"/>
  <c r="AJ2" i="5"/>
  <c r="Z24" i="2"/>
  <c r="Z125" i="4"/>
  <c r="AL2" i="5"/>
  <c r="F2" i="5"/>
  <c r="H2" i="5"/>
  <c r="I2" i="5"/>
  <c r="L2" i="5"/>
  <c r="N2" i="5"/>
  <c r="O2" i="5"/>
  <c r="Z2" i="5"/>
  <c r="AN2" i="5"/>
  <c r="C74" i="4"/>
  <c r="C3" i="5"/>
  <c r="D74" i="4"/>
  <c r="E3" i="5"/>
  <c r="H74" i="4"/>
  <c r="K3" i="5"/>
  <c r="L74" i="4"/>
  <c r="Q3" i="5"/>
  <c r="M74" i="4"/>
  <c r="R3" i="5"/>
  <c r="T3" i="5"/>
  <c r="U3" i="5"/>
  <c r="P74" i="4"/>
  <c r="W3" i="5"/>
  <c r="Q74" i="4"/>
  <c r="X3" i="5"/>
  <c r="S74" i="4"/>
  <c r="AA3" i="5"/>
  <c r="AH74" i="4"/>
  <c r="T74" i="4" a="1"/>
  <c r="T74" i="4"/>
  <c r="AC3" i="5"/>
  <c r="U74" i="4" a="1"/>
  <c r="U74" i="4"/>
  <c r="AD3" i="5"/>
  <c r="AF3" i="5"/>
  <c r="AG3" i="5"/>
  <c r="X74" i="4"/>
  <c r="AI3" i="5"/>
  <c r="Y74" i="4"/>
  <c r="AJ3" i="5"/>
  <c r="Z74" i="4"/>
  <c r="AL3" i="5"/>
  <c r="F3" i="5"/>
  <c r="H3" i="5"/>
  <c r="I3" i="5"/>
  <c r="L3" i="5"/>
  <c r="N3" i="5"/>
  <c r="O3" i="5"/>
  <c r="Z3" i="5"/>
  <c r="AN3" i="5"/>
  <c r="O4" i="5"/>
  <c r="H24" i="2"/>
  <c r="H39" i="2"/>
  <c r="H75" i="4"/>
  <c r="K4" i="5"/>
  <c r="C39" i="2"/>
  <c r="C75" i="4"/>
  <c r="C4" i="5"/>
  <c r="D39" i="2"/>
  <c r="D75" i="4"/>
  <c r="E4" i="5"/>
  <c r="I24" i="2"/>
  <c r="I39" i="2"/>
  <c r="I26" i="2"/>
  <c r="I75" i="4"/>
  <c r="L4" i="5"/>
  <c r="J24" i="2"/>
  <c r="J39" i="2"/>
  <c r="J26" i="2"/>
  <c r="J75" i="4"/>
  <c r="N4" i="5"/>
  <c r="L39" i="2"/>
  <c r="L75" i="4"/>
  <c r="Q4" i="5"/>
  <c r="M39" i="2"/>
  <c r="M75" i="4"/>
  <c r="R4" i="5"/>
  <c r="T4" i="5"/>
  <c r="U4" i="5"/>
  <c r="W4" i="5"/>
  <c r="Q39" i="2"/>
  <c r="Q75" i="4"/>
  <c r="X4" i="5"/>
  <c r="AA4" i="5"/>
  <c r="AH75" i="4"/>
  <c r="T75" i="4" a="1"/>
  <c r="T75" i="4"/>
  <c r="AC4" i="5"/>
  <c r="U75" i="4" a="1"/>
  <c r="U75" i="4"/>
  <c r="AD4" i="5"/>
  <c r="AF4" i="5"/>
  <c r="AG4" i="5"/>
  <c r="X39" i="2"/>
  <c r="X75" i="4"/>
  <c r="AI4" i="5"/>
  <c r="Y39" i="2"/>
  <c r="Y75" i="4"/>
  <c r="AJ4" i="5"/>
  <c r="Z39" i="2"/>
  <c r="Z75" i="4"/>
  <c r="AL4" i="5"/>
  <c r="F4" i="5"/>
  <c r="H4" i="5"/>
  <c r="I4" i="5"/>
  <c r="Z4" i="5"/>
  <c r="AN4" i="5"/>
  <c r="B136" i="4"/>
  <c r="C136" i="4"/>
  <c r="C5" i="5"/>
  <c r="D136" i="4"/>
  <c r="E5" i="5"/>
  <c r="E14" i="2"/>
  <c r="E24" i="2"/>
  <c r="E136" i="4"/>
  <c r="F5" i="5"/>
  <c r="F14" i="2"/>
  <c r="F24" i="2"/>
  <c r="F136" i="4"/>
  <c r="H5" i="5"/>
  <c r="I5" i="5"/>
  <c r="H136" i="4"/>
  <c r="K5" i="5"/>
  <c r="L136" i="4"/>
  <c r="Q5" i="5"/>
  <c r="M136" i="4"/>
  <c r="R5" i="5"/>
  <c r="T5" i="5"/>
  <c r="U5" i="5"/>
  <c r="P136" i="4"/>
  <c r="W5" i="5"/>
  <c r="Q136" i="4"/>
  <c r="X5" i="5"/>
  <c r="S136" i="4"/>
  <c r="AA5" i="5"/>
  <c r="AH136" i="4"/>
  <c r="T136" i="4" a="1"/>
  <c r="T136" i="4"/>
  <c r="AC5" i="5"/>
  <c r="U136" i="4" a="1"/>
  <c r="U136" i="4"/>
  <c r="AD5" i="5"/>
  <c r="AF5" i="5"/>
  <c r="AG5" i="5"/>
  <c r="X136" i="4"/>
  <c r="AI5" i="5"/>
  <c r="Y136" i="4"/>
  <c r="AJ5" i="5"/>
  <c r="Z136" i="4"/>
  <c r="AL5" i="5"/>
  <c r="L5" i="5"/>
  <c r="N5" i="5"/>
  <c r="O5" i="5"/>
  <c r="Z5" i="5"/>
  <c r="AN5" i="5"/>
  <c r="C37" i="2"/>
  <c r="C216" i="4"/>
  <c r="C6" i="5"/>
  <c r="D37" i="2"/>
  <c r="D216" i="4"/>
  <c r="E6" i="5"/>
  <c r="H37" i="2"/>
  <c r="H216" i="4"/>
  <c r="K6" i="5"/>
  <c r="L37" i="2"/>
  <c r="L216" i="4"/>
  <c r="Q6" i="5"/>
  <c r="M37" i="2"/>
  <c r="M216" i="4"/>
  <c r="R6" i="5"/>
  <c r="N37" i="2"/>
  <c r="N14" i="2"/>
  <c r="N216" i="4"/>
  <c r="T6" i="5"/>
  <c r="U6" i="5"/>
  <c r="P37" i="2"/>
  <c r="P216" i="4"/>
  <c r="W6" i="5"/>
  <c r="Q37" i="2"/>
  <c r="Q216" i="4"/>
  <c r="X6" i="5"/>
  <c r="S37" i="2"/>
  <c r="S216" i="4"/>
  <c r="AA6" i="5"/>
  <c r="AD6" i="5"/>
  <c r="AF6" i="5"/>
  <c r="AG6" i="5"/>
  <c r="X37" i="2"/>
  <c r="X216" i="4"/>
  <c r="AI6" i="5"/>
  <c r="Y37" i="2"/>
  <c r="Y216" i="4"/>
  <c r="AJ6" i="5"/>
  <c r="Z37" i="2"/>
  <c r="Z216" i="4"/>
  <c r="AL6" i="5"/>
  <c r="L6" i="5"/>
  <c r="N6" i="5"/>
  <c r="O6" i="5"/>
  <c r="F6" i="5"/>
  <c r="H6" i="5"/>
  <c r="I6" i="5"/>
  <c r="Z6" i="5"/>
  <c r="AN6" i="5"/>
  <c r="C217" i="4"/>
  <c r="C7" i="5"/>
  <c r="D217" i="4"/>
  <c r="E7" i="5"/>
  <c r="H217" i="4"/>
  <c r="K7" i="5"/>
  <c r="L217" i="4"/>
  <c r="Q7" i="5"/>
  <c r="M217" i="4"/>
  <c r="R7" i="5"/>
  <c r="N217" i="4"/>
  <c r="T7" i="5"/>
  <c r="U7" i="5"/>
  <c r="P217" i="4"/>
  <c r="W7" i="5"/>
  <c r="Q217" i="4"/>
  <c r="X7" i="5"/>
  <c r="S217" i="4"/>
  <c r="AA7" i="5"/>
  <c r="AD7" i="5"/>
  <c r="AF7" i="5"/>
  <c r="AG7" i="5"/>
  <c r="X217" i="4"/>
  <c r="AI7" i="5"/>
  <c r="Y217" i="4"/>
  <c r="AJ7" i="5"/>
  <c r="Z217" i="4"/>
  <c r="AL7" i="5"/>
  <c r="L7" i="5"/>
  <c r="N7" i="5"/>
  <c r="O7" i="5"/>
  <c r="F7" i="5"/>
  <c r="H7" i="5"/>
  <c r="I7" i="5"/>
  <c r="Z7" i="5"/>
  <c r="AN7" i="5"/>
  <c r="C182" i="4"/>
  <c r="C8" i="5"/>
  <c r="D182" i="4"/>
  <c r="E8" i="5"/>
  <c r="H182" i="4"/>
  <c r="K8" i="5"/>
  <c r="L182" i="4"/>
  <c r="Q8" i="5"/>
  <c r="M182" i="4"/>
  <c r="R8" i="5"/>
  <c r="T8" i="5"/>
  <c r="U8" i="5"/>
  <c r="P182" i="4"/>
  <c r="W8" i="5"/>
  <c r="Q182" i="4"/>
  <c r="X8" i="5"/>
  <c r="S182" i="4"/>
  <c r="AA8" i="5"/>
  <c r="AH182" i="4"/>
  <c r="T182" i="4" a="1"/>
  <c r="T182" i="4"/>
  <c r="AC8" i="5"/>
  <c r="U182" i="4" a="1"/>
  <c r="U182" i="4"/>
  <c r="AD8" i="5"/>
  <c r="AF8" i="5"/>
  <c r="AG8" i="5"/>
  <c r="X182" i="4"/>
  <c r="AI8" i="5"/>
  <c r="Y182" i="4"/>
  <c r="AJ8" i="5"/>
  <c r="Z182" i="4"/>
  <c r="AL8" i="5"/>
  <c r="L8" i="5"/>
  <c r="N8" i="5"/>
  <c r="O8" i="5"/>
  <c r="F8" i="5"/>
  <c r="H8" i="5"/>
  <c r="I8" i="5"/>
  <c r="Z8" i="5"/>
  <c r="AN8" i="5"/>
  <c r="S49" i="2"/>
  <c r="S118" i="4"/>
  <c r="AA32" i="5"/>
  <c r="P49" i="2"/>
  <c r="P118" i="4"/>
  <c r="W32" i="5"/>
  <c r="C49" i="2"/>
  <c r="C118" i="4"/>
  <c r="C32" i="5"/>
  <c r="D49" i="2"/>
  <c r="D118" i="4"/>
  <c r="E32" i="5"/>
  <c r="K32" i="5"/>
  <c r="L49" i="2"/>
  <c r="L118" i="4"/>
  <c r="Q32" i="5"/>
  <c r="M49" i="2"/>
  <c r="M118" i="4"/>
  <c r="R32" i="5"/>
  <c r="T32" i="5"/>
  <c r="U32" i="5"/>
  <c r="Q49" i="2"/>
  <c r="Q118" i="4"/>
  <c r="X32" i="5"/>
  <c r="R49" i="2"/>
  <c r="R118" i="4"/>
  <c r="Z32" i="5"/>
  <c r="AH118" i="4"/>
  <c r="T118" i="4" a="1"/>
  <c r="T118" i="4"/>
  <c r="AC32" i="5"/>
  <c r="U118" i="4" a="1"/>
  <c r="U118" i="4"/>
  <c r="AD32" i="5"/>
  <c r="AF32" i="5"/>
  <c r="AG32" i="5"/>
  <c r="X49" i="2"/>
  <c r="X118" i="4"/>
  <c r="AI32" i="5"/>
  <c r="Y49" i="2"/>
  <c r="Y118" i="4"/>
  <c r="AJ32" i="5"/>
  <c r="Z49" i="2"/>
  <c r="Z118" i="4"/>
  <c r="AL32" i="5"/>
  <c r="L32" i="5"/>
  <c r="N32" i="5"/>
  <c r="O32" i="5"/>
  <c r="F32" i="5"/>
  <c r="H32" i="5"/>
  <c r="I32" i="5"/>
  <c r="AN32" i="5"/>
  <c r="C5" i="2"/>
  <c r="B102" i="4"/>
  <c r="C4" i="2"/>
  <c r="C102" i="4"/>
  <c r="C36" i="5"/>
  <c r="D5" i="2"/>
  <c r="D4" i="2"/>
  <c r="D102" i="4"/>
  <c r="E36" i="5"/>
  <c r="H5" i="2"/>
  <c r="H4" i="2"/>
  <c r="H102" i="4"/>
  <c r="K36" i="5"/>
  <c r="L5" i="2"/>
  <c r="L4" i="2"/>
  <c r="L102" i="4"/>
  <c r="Q36" i="5"/>
  <c r="M5" i="2"/>
  <c r="M4" i="2"/>
  <c r="M102" i="4"/>
  <c r="R36" i="5"/>
  <c r="T36" i="5"/>
  <c r="U36" i="5"/>
  <c r="P5" i="2"/>
  <c r="P4" i="2"/>
  <c r="P102" i="4"/>
  <c r="W36" i="5"/>
  <c r="Q5" i="2"/>
  <c r="Q4" i="2"/>
  <c r="Q102" i="4"/>
  <c r="X36" i="5"/>
  <c r="AA36" i="5"/>
  <c r="AH102" i="4"/>
  <c r="T102" i="4" a="1"/>
  <c r="T102" i="4"/>
  <c r="AC36" i="5"/>
  <c r="U102" i="4" a="1"/>
  <c r="U102" i="4"/>
  <c r="AD36" i="5"/>
  <c r="AF36" i="5"/>
  <c r="AG36" i="5"/>
  <c r="X5" i="2"/>
  <c r="X4" i="2"/>
  <c r="X102" i="4"/>
  <c r="AI36" i="5"/>
  <c r="Y5" i="2"/>
  <c r="Y4" i="2"/>
  <c r="Y102" i="4"/>
  <c r="AJ36" i="5"/>
  <c r="Z5" i="2"/>
  <c r="Z4" i="2"/>
  <c r="Z102" i="4"/>
  <c r="AL36" i="5"/>
  <c r="F36" i="5"/>
  <c r="H36" i="5"/>
  <c r="I36" i="5"/>
  <c r="L36" i="5"/>
  <c r="N36" i="5"/>
  <c r="O36" i="5"/>
  <c r="Z36" i="5"/>
  <c r="AN36" i="5"/>
  <c r="B103" i="4"/>
  <c r="C103" i="4"/>
  <c r="C37" i="5"/>
  <c r="D103" i="4"/>
  <c r="E37" i="5"/>
  <c r="H103" i="4"/>
  <c r="K37" i="5"/>
  <c r="L103" i="4"/>
  <c r="Q37" i="5"/>
  <c r="M103" i="4"/>
  <c r="R37" i="5"/>
  <c r="N5" i="2"/>
  <c r="N103" i="4"/>
  <c r="T37" i="5"/>
  <c r="O103" i="4"/>
  <c r="U37" i="5"/>
  <c r="P103" i="4"/>
  <c r="W37" i="5"/>
  <c r="Q103" i="4"/>
  <c r="X37" i="5"/>
  <c r="AA37" i="5"/>
  <c r="AH103" i="4"/>
  <c r="T103" i="4" a="1"/>
  <c r="T103" i="4"/>
  <c r="AC37" i="5"/>
  <c r="U103" i="4" a="1"/>
  <c r="U103" i="4"/>
  <c r="AD37" i="5"/>
  <c r="AF37" i="5"/>
  <c r="AG37" i="5"/>
  <c r="X103" i="4"/>
  <c r="AI37" i="5"/>
  <c r="Y103" i="4"/>
  <c r="AJ37" i="5"/>
  <c r="Z103" i="4"/>
  <c r="AL37" i="5"/>
  <c r="F37" i="5"/>
  <c r="H37" i="5"/>
  <c r="I37" i="5"/>
  <c r="L37" i="5"/>
  <c r="N37" i="5"/>
  <c r="O37" i="5"/>
  <c r="Z37" i="5"/>
  <c r="AN37" i="5"/>
  <c r="B104" i="4"/>
  <c r="C104" i="4"/>
  <c r="C38" i="5"/>
  <c r="D104" i="4"/>
  <c r="E38" i="5"/>
  <c r="H104" i="4"/>
  <c r="K38" i="5"/>
  <c r="L104" i="4"/>
  <c r="Q38" i="5"/>
  <c r="M104" i="4"/>
  <c r="R38" i="5"/>
  <c r="T38" i="5"/>
  <c r="U38" i="5"/>
  <c r="P104" i="4"/>
  <c r="W38" i="5"/>
  <c r="Q104" i="4"/>
  <c r="X38" i="5"/>
  <c r="AA38" i="5"/>
  <c r="AH104" i="4"/>
  <c r="T104" i="4" a="1"/>
  <c r="T104" i="4"/>
  <c r="AC38" i="5"/>
  <c r="U104" i="4" a="1"/>
  <c r="U104" i="4"/>
  <c r="AD38" i="5"/>
  <c r="AF38" i="5"/>
  <c r="AG38" i="5"/>
  <c r="X104" i="4"/>
  <c r="AI38" i="5"/>
  <c r="Y104" i="4"/>
  <c r="AJ38" i="5"/>
  <c r="Z104" i="4"/>
  <c r="AL38" i="5"/>
  <c r="F38" i="5"/>
  <c r="H38" i="5"/>
  <c r="I38" i="5"/>
  <c r="L38" i="5"/>
  <c r="N38" i="5"/>
  <c r="O38" i="5"/>
  <c r="Z38" i="5"/>
  <c r="AN38" i="5"/>
  <c r="B29" i="4"/>
  <c r="C29" i="4"/>
  <c r="C39" i="5"/>
  <c r="D29" i="4"/>
  <c r="E39" i="5"/>
  <c r="H29" i="4"/>
  <c r="K39" i="5"/>
  <c r="L29" i="4"/>
  <c r="Q39" i="5"/>
  <c r="M29" i="4"/>
  <c r="R39" i="5"/>
  <c r="T39" i="5"/>
  <c r="U39" i="5"/>
  <c r="P29" i="4"/>
  <c r="W39" i="5"/>
  <c r="Q29" i="4"/>
  <c r="X39" i="5"/>
  <c r="AA39" i="5"/>
  <c r="AH29" i="4"/>
  <c r="T29" i="4" a="1"/>
  <c r="T29" i="4"/>
  <c r="AC39" i="5"/>
  <c r="U29" i="4" a="1"/>
  <c r="U29" i="4"/>
  <c r="AD39" i="5"/>
  <c r="AF39" i="5"/>
  <c r="AG39" i="5"/>
  <c r="X29" i="4"/>
  <c r="AI39" i="5"/>
  <c r="Y29" i="4"/>
  <c r="AJ39" i="5"/>
  <c r="Z29" i="4"/>
  <c r="AL39" i="5"/>
  <c r="F39" i="5"/>
  <c r="H39" i="5"/>
  <c r="I39" i="5"/>
  <c r="L39" i="5"/>
  <c r="N39" i="5"/>
  <c r="O39" i="5"/>
  <c r="Z39" i="5"/>
  <c r="AN39" i="5"/>
  <c r="B58" i="4"/>
  <c r="C58" i="4"/>
  <c r="C40" i="5"/>
  <c r="D58" i="4"/>
  <c r="E40" i="5"/>
  <c r="H58" i="4"/>
  <c r="K40" i="5"/>
  <c r="L58" i="4"/>
  <c r="Q40" i="5"/>
  <c r="M58" i="4"/>
  <c r="R40" i="5"/>
  <c r="T40" i="5"/>
  <c r="U40" i="5"/>
  <c r="P58" i="4"/>
  <c r="W40" i="5"/>
  <c r="Q58" i="4"/>
  <c r="X40" i="5"/>
  <c r="AA40" i="5"/>
  <c r="AH58" i="4"/>
  <c r="T58" i="4" a="1"/>
  <c r="T58" i="4"/>
  <c r="AC40" i="5"/>
  <c r="U58" i="4" a="1"/>
  <c r="U58" i="4"/>
  <c r="AD40" i="5"/>
  <c r="AF40" i="5"/>
  <c r="AG40" i="5"/>
  <c r="X58" i="4"/>
  <c r="AI40" i="5"/>
  <c r="Y58" i="4"/>
  <c r="AJ40" i="5"/>
  <c r="Z58" i="4"/>
  <c r="AL40" i="5"/>
  <c r="F40" i="5"/>
  <c r="H40" i="5"/>
  <c r="I40" i="5"/>
  <c r="L40" i="5"/>
  <c r="N40" i="5"/>
  <c r="O40" i="5"/>
  <c r="Z40" i="5"/>
  <c r="AN40" i="5"/>
  <c r="C146" i="4"/>
  <c r="C41" i="5"/>
  <c r="D146" i="4"/>
  <c r="E41" i="5"/>
  <c r="H146" i="4"/>
  <c r="K41" i="5"/>
  <c r="L146" i="4"/>
  <c r="Q41" i="5"/>
  <c r="M146" i="4"/>
  <c r="R41" i="5"/>
  <c r="T41" i="5"/>
  <c r="U41" i="5"/>
  <c r="P146" i="4"/>
  <c r="W41" i="5"/>
  <c r="Q146" i="4"/>
  <c r="X41" i="5"/>
  <c r="AA41" i="5"/>
  <c r="AH146" i="4"/>
  <c r="T146" i="4" a="1"/>
  <c r="T146" i="4"/>
  <c r="AC41" i="5"/>
  <c r="U146" i="4" a="1"/>
  <c r="U146" i="4"/>
  <c r="AD41" i="5"/>
  <c r="AF41" i="5"/>
  <c r="AG41" i="5"/>
  <c r="X146" i="4"/>
  <c r="AI41" i="5"/>
  <c r="Y146" i="4"/>
  <c r="AJ41" i="5"/>
  <c r="Z146" i="4"/>
  <c r="AL41" i="5"/>
  <c r="F41" i="5"/>
  <c r="H41" i="5"/>
  <c r="I41" i="5"/>
  <c r="L41" i="5"/>
  <c r="N41" i="5"/>
  <c r="O41" i="5"/>
  <c r="Z41" i="5"/>
  <c r="AN41" i="5"/>
  <c r="C119" i="4"/>
  <c r="C42" i="5"/>
  <c r="D119" i="4"/>
  <c r="E42" i="5"/>
  <c r="H119" i="4"/>
  <c r="K42" i="5"/>
  <c r="L119" i="4"/>
  <c r="Q42" i="5"/>
  <c r="M119" i="4"/>
  <c r="R42" i="5"/>
  <c r="N6" i="2"/>
  <c r="N119" i="4"/>
  <c r="T42" i="5"/>
  <c r="U42" i="5"/>
  <c r="P119" i="4"/>
  <c r="W42" i="5"/>
  <c r="Q119" i="4"/>
  <c r="X42" i="5"/>
  <c r="AA42" i="5"/>
  <c r="AH119" i="4"/>
  <c r="T119" i="4" a="1"/>
  <c r="T119" i="4"/>
  <c r="AC42" i="5"/>
  <c r="U119" i="4" a="1"/>
  <c r="U119" i="4"/>
  <c r="AD42" i="5"/>
  <c r="AF42" i="5"/>
  <c r="AG42" i="5"/>
  <c r="X119" i="4"/>
  <c r="AI42" i="5"/>
  <c r="Y119" i="4"/>
  <c r="AJ42" i="5"/>
  <c r="Z119" i="4"/>
  <c r="AL42" i="5"/>
  <c r="F42" i="5"/>
  <c r="H42" i="5"/>
  <c r="I42" i="5"/>
  <c r="L42" i="5"/>
  <c r="N42" i="5"/>
  <c r="O42" i="5"/>
  <c r="Z42" i="5"/>
  <c r="AN42" i="5"/>
  <c r="C147" i="4"/>
  <c r="C43" i="5"/>
  <c r="D147" i="4"/>
  <c r="E43" i="5"/>
  <c r="H147" i="4"/>
  <c r="K43" i="5"/>
  <c r="L147" i="4"/>
  <c r="Q43" i="5"/>
  <c r="M147" i="4"/>
  <c r="R43" i="5"/>
  <c r="T43" i="5"/>
  <c r="U43" i="5"/>
  <c r="P147" i="4"/>
  <c r="W43" i="5"/>
  <c r="Q147" i="4"/>
  <c r="X43" i="5"/>
  <c r="AA43" i="5"/>
  <c r="AH147" i="4"/>
  <c r="T147" i="4" a="1"/>
  <c r="T147" i="4"/>
  <c r="AC43" i="5"/>
  <c r="U147" i="4" a="1"/>
  <c r="U147" i="4"/>
  <c r="AD43" i="5"/>
  <c r="AF43" i="5"/>
  <c r="AG43" i="5"/>
  <c r="X147" i="4"/>
  <c r="AI43" i="5"/>
  <c r="Y147" i="4"/>
  <c r="AJ43" i="5"/>
  <c r="Z147" i="4"/>
  <c r="AL43" i="5"/>
  <c r="F43" i="5"/>
  <c r="H43" i="5"/>
  <c r="I43" i="5"/>
  <c r="L43" i="5"/>
  <c r="N43" i="5"/>
  <c r="O43" i="5"/>
  <c r="Z43" i="5"/>
  <c r="AN43" i="5"/>
  <c r="B30" i="4"/>
  <c r="C30" i="4"/>
  <c r="C44" i="5"/>
  <c r="D30" i="4"/>
  <c r="E44" i="5"/>
  <c r="H30" i="4"/>
  <c r="K44" i="5"/>
  <c r="L30" i="4"/>
  <c r="Q44" i="5"/>
  <c r="M30" i="4"/>
  <c r="R44" i="5"/>
  <c r="T44" i="5"/>
  <c r="U44" i="5"/>
  <c r="P30" i="4"/>
  <c r="W44" i="5"/>
  <c r="Q30" i="4"/>
  <c r="X44" i="5"/>
  <c r="AA44" i="5"/>
  <c r="AH30" i="4"/>
  <c r="T30" i="4" a="1"/>
  <c r="T30" i="4"/>
  <c r="AC44" i="5"/>
  <c r="U30" i="4" a="1"/>
  <c r="U30" i="4"/>
  <c r="AD44" i="5"/>
  <c r="AF44" i="5"/>
  <c r="AG44" i="5"/>
  <c r="Y30" i="4"/>
  <c r="AJ44" i="5"/>
  <c r="Z30" i="4"/>
  <c r="AL44" i="5"/>
  <c r="F44" i="5"/>
  <c r="H44" i="5"/>
  <c r="I44" i="5"/>
  <c r="L44" i="5"/>
  <c r="N44" i="5"/>
  <c r="O44" i="5"/>
  <c r="Z44" i="5"/>
  <c r="AN44" i="5"/>
  <c r="C31" i="4"/>
  <c r="C45" i="5"/>
  <c r="D31" i="4"/>
  <c r="E45" i="5"/>
  <c r="H31" i="4"/>
  <c r="K45" i="5"/>
  <c r="L31" i="4"/>
  <c r="Q45" i="5"/>
  <c r="M31" i="4"/>
  <c r="R45" i="5"/>
  <c r="T45" i="5"/>
  <c r="U45" i="5"/>
  <c r="P31" i="4"/>
  <c r="W45" i="5"/>
  <c r="Q31" i="4"/>
  <c r="X45" i="5"/>
  <c r="AA45" i="5"/>
  <c r="AH31" i="4"/>
  <c r="T31" i="4" a="1"/>
  <c r="T31" i="4"/>
  <c r="AC45" i="5"/>
  <c r="U31" i="4" a="1"/>
  <c r="U31" i="4"/>
  <c r="AD45" i="5"/>
  <c r="AF45" i="5"/>
  <c r="AG45" i="5"/>
  <c r="X31" i="4"/>
  <c r="AI45" i="5"/>
  <c r="Y31" i="4"/>
  <c r="AJ45" i="5"/>
  <c r="Z31" i="4"/>
  <c r="AL45" i="5"/>
  <c r="F45" i="5"/>
  <c r="H45" i="5"/>
  <c r="I45" i="5"/>
  <c r="L45" i="5"/>
  <c r="N45" i="5"/>
  <c r="O45" i="5"/>
  <c r="Z45" i="5"/>
  <c r="AN45" i="5"/>
  <c r="B13" i="4"/>
  <c r="C13" i="4"/>
  <c r="C46" i="5"/>
  <c r="D13" i="4"/>
  <c r="E46" i="5"/>
  <c r="H13" i="4"/>
  <c r="K46" i="5"/>
  <c r="L13" i="4"/>
  <c r="Q46" i="5"/>
  <c r="M13" i="4"/>
  <c r="R46" i="5"/>
  <c r="T46" i="5"/>
  <c r="U46" i="5"/>
  <c r="P13" i="4"/>
  <c r="W46" i="5"/>
  <c r="Q13" i="4"/>
  <c r="X46" i="5"/>
  <c r="AA46" i="5"/>
  <c r="AH13" i="4"/>
  <c r="T13" i="4" a="1"/>
  <c r="T13" i="4"/>
  <c r="AC46" i="5"/>
  <c r="U13" i="4" a="1"/>
  <c r="U13" i="4"/>
  <c r="AD46" i="5"/>
  <c r="AF46" i="5"/>
  <c r="AG46" i="5"/>
  <c r="X13" i="4"/>
  <c r="AI46" i="5"/>
  <c r="Y13" i="4"/>
  <c r="AJ46" i="5"/>
  <c r="Z13" i="4"/>
  <c r="AL46" i="5"/>
  <c r="F46" i="5"/>
  <c r="H46" i="5"/>
  <c r="I46" i="5"/>
  <c r="L46" i="5"/>
  <c r="N46" i="5"/>
  <c r="O46" i="5"/>
  <c r="Z46" i="5"/>
  <c r="AN46" i="5"/>
  <c r="C148" i="4"/>
  <c r="C47" i="5"/>
  <c r="D148" i="4"/>
  <c r="E47" i="5"/>
  <c r="H148" i="4"/>
  <c r="K47" i="5"/>
  <c r="L148" i="4"/>
  <c r="Q47" i="5"/>
  <c r="M148" i="4"/>
  <c r="R47" i="5"/>
  <c r="T47" i="5"/>
  <c r="U47" i="5"/>
  <c r="P148" i="4"/>
  <c r="W47" i="5"/>
  <c r="Q148" i="4"/>
  <c r="X47" i="5"/>
  <c r="AA47" i="5"/>
  <c r="AH148" i="4"/>
  <c r="T148" i="4" a="1"/>
  <c r="T148" i="4"/>
  <c r="AC47" i="5"/>
  <c r="U148" i="4" a="1"/>
  <c r="U148" i="4"/>
  <c r="AD47" i="5"/>
  <c r="AF47" i="5"/>
  <c r="AG47" i="5"/>
  <c r="X148" i="4"/>
  <c r="AI47" i="5"/>
  <c r="Y148" i="4"/>
  <c r="AJ47" i="5"/>
  <c r="Z148" i="4"/>
  <c r="AL47" i="5"/>
  <c r="F47" i="5"/>
  <c r="H47" i="5"/>
  <c r="I47" i="5"/>
  <c r="L47" i="5"/>
  <c r="N47" i="5"/>
  <c r="O47" i="5"/>
  <c r="Z47" i="5"/>
  <c r="AN47" i="5"/>
  <c r="B59" i="4"/>
  <c r="C12" i="2"/>
  <c r="C59" i="4"/>
  <c r="C48" i="5"/>
  <c r="D12" i="2"/>
  <c r="D59" i="4"/>
  <c r="E48" i="5"/>
  <c r="L12" i="2"/>
  <c r="L59" i="4"/>
  <c r="Q48" i="5"/>
  <c r="M12" i="2"/>
  <c r="M59" i="4"/>
  <c r="R48" i="5"/>
  <c r="T48" i="5"/>
  <c r="U48" i="5"/>
  <c r="P12" i="2"/>
  <c r="P59" i="4"/>
  <c r="W48" i="5"/>
  <c r="Q12" i="2"/>
  <c r="Q59" i="4"/>
  <c r="X48" i="5"/>
  <c r="S12" i="2"/>
  <c r="S59" i="4"/>
  <c r="AA48" i="5"/>
  <c r="AH59" i="4"/>
  <c r="T59" i="4" a="1"/>
  <c r="T59" i="4"/>
  <c r="AC48" i="5"/>
  <c r="U59" i="4" a="1"/>
  <c r="U59" i="4"/>
  <c r="AD48" i="5"/>
  <c r="AF48" i="5"/>
  <c r="AG48" i="5"/>
  <c r="X59" i="4"/>
  <c r="AI48" i="5"/>
  <c r="Y12" i="2"/>
  <c r="Y59" i="4"/>
  <c r="AJ48" i="5"/>
  <c r="Z12" i="2"/>
  <c r="Z59" i="4"/>
  <c r="AL48" i="5"/>
  <c r="L48" i="5"/>
  <c r="F48" i="5"/>
  <c r="H48" i="5"/>
  <c r="I48" i="5"/>
  <c r="N48" i="5"/>
  <c r="O48" i="5"/>
  <c r="Z48" i="5"/>
  <c r="AN48" i="5"/>
  <c r="B105" i="4"/>
  <c r="C105" i="4"/>
  <c r="C49" i="5"/>
  <c r="D105" i="4"/>
  <c r="E49" i="5"/>
  <c r="L105" i="4"/>
  <c r="Q49" i="5"/>
  <c r="M105" i="4"/>
  <c r="R49" i="5"/>
  <c r="N12" i="2"/>
  <c r="N24" i="2"/>
  <c r="N105" i="4"/>
  <c r="T49" i="5"/>
  <c r="O105" i="4"/>
  <c r="U49" i="5"/>
  <c r="P105" i="4"/>
  <c r="W49" i="5"/>
  <c r="Q105" i="4"/>
  <c r="X49" i="5"/>
  <c r="S105" i="4"/>
  <c r="AA49" i="5"/>
  <c r="AH105" i="4"/>
  <c r="T105" i="4" a="1"/>
  <c r="T105" i="4"/>
  <c r="AC49" i="5"/>
  <c r="U105" i="4" a="1"/>
  <c r="U105" i="4"/>
  <c r="AD49" i="5"/>
  <c r="AF49" i="5"/>
  <c r="AG49" i="5"/>
  <c r="X105" i="4"/>
  <c r="AI49" i="5"/>
  <c r="Y105" i="4"/>
  <c r="AJ49" i="5"/>
  <c r="Z105" i="4"/>
  <c r="AL49" i="5"/>
  <c r="L49" i="5"/>
  <c r="F49" i="5"/>
  <c r="H49" i="5"/>
  <c r="I49" i="5"/>
  <c r="N49" i="5"/>
  <c r="O49" i="5"/>
  <c r="Z49" i="5"/>
  <c r="AN49" i="5"/>
  <c r="C120" i="4"/>
  <c r="C50" i="5"/>
  <c r="D120" i="4"/>
  <c r="E50" i="5"/>
  <c r="L120" i="4"/>
  <c r="Q50" i="5"/>
  <c r="M120" i="4"/>
  <c r="R50" i="5"/>
  <c r="T50" i="5"/>
  <c r="U50" i="5"/>
  <c r="P120" i="4"/>
  <c r="W50" i="5"/>
  <c r="Q120" i="4"/>
  <c r="X50" i="5"/>
  <c r="S120" i="4"/>
  <c r="AA50" i="5"/>
  <c r="AH120" i="4"/>
  <c r="T120" i="4" a="1"/>
  <c r="T120" i="4"/>
  <c r="AC50" i="5"/>
  <c r="U120" i="4" a="1"/>
  <c r="U120" i="4"/>
  <c r="AD50" i="5"/>
  <c r="AF50" i="5"/>
  <c r="AG50" i="5"/>
  <c r="AI50" i="5"/>
  <c r="Y120" i="4"/>
  <c r="AJ50" i="5"/>
  <c r="Z120" i="4"/>
  <c r="AL50" i="5"/>
  <c r="L50" i="5"/>
  <c r="F50" i="5"/>
  <c r="H50" i="5"/>
  <c r="I50" i="5"/>
  <c r="N50" i="5"/>
  <c r="O50" i="5"/>
  <c r="Z50" i="5"/>
  <c r="AN50" i="5"/>
  <c r="B14" i="4"/>
  <c r="C14" i="4"/>
  <c r="C51" i="5"/>
  <c r="D14" i="4"/>
  <c r="E51" i="5"/>
  <c r="L14" i="4"/>
  <c r="Q51" i="5"/>
  <c r="M14" i="4"/>
  <c r="R51" i="5"/>
  <c r="T51" i="5"/>
  <c r="U51" i="5"/>
  <c r="P14" i="4"/>
  <c r="W51" i="5"/>
  <c r="Q14" i="4"/>
  <c r="X51" i="5"/>
  <c r="S14" i="4"/>
  <c r="AA51" i="5"/>
  <c r="AH14" i="4"/>
  <c r="T14" i="4" a="1"/>
  <c r="T14" i="4"/>
  <c r="AC51" i="5"/>
  <c r="U14" i="4" a="1"/>
  <c r="U14" i="4"/>
  <c r="AD51" i="5"/>
  <c r="AF51" i="5"/>
  <c r="AG51" i="5"/>
  <c r="X14" i="4"/>
  <c r="AI51" i="5"/>
  <c r="Y14" i="4"/>
  <c r="AJ51" i="5"/>
  <c r="Z14" i="4"/>
  <c r="AL51" i="5"/>
  <c r="L51" i="5"/>
  <c r="F51" i="5"/>
  <c r="H51" i="5"/>
  <c r="I51" i="5"/>
  <c r="N51" i="5"/>
  <c r="O51" i="5"/>
  <c r="Z51" i="5"/>
  <c r="AN51" i="5"/>
  <c r="O52" i="5"/>
  <c r="K52" i="5"/>
  <c r="B232" i="4"/>
  <c r="C43" i="2"/>
  <c r="C232" i="4"/>
  <c r="C52" i="5"/>
  <c r="D43" i="2"/>
  <c r="D232" i="4"/>
  <c r="E52" i="5"/>
  <c r="I21" i="2"/>
  <c r="I3" i="2"/>
  <c r="I43" i="2"/>
  <c r="I232" i="4"/>
  <c r="L52" i="5"/>
  <c r="J21" i="2"/>
  <c r="J3" i="2"/>
  <c r="J43" i="2"/>
  <c r="J232" i="4"/>
  <c r="N52" i="5"/>
  <c r="L43" i="2"/>
  <c r="L232" i="4"/>
  <c r="Q52" i="5"/>
  <c r="M43" i="2"/>
  <c r="M232" i="4"/>
  <c r="R52" i="5"/>
  <c r="T52" i="5"/>
  <c r="U52" i="5"/>
  <c r="P43" i="2"/>
  <c r="P232" i="4"/>
  <c r="W52" i="5"/>
  <c r="Q43" i="2"/>
  <c r="Q232" i="4"/>
  <c r="X52" i="5"/>
  <c r="S43" i="2"/>
  <c r="S232" i="4"/>
  <c r="AA52" i="5"/>
  <c r="AH232" i="4"/>
  <c r="T232" i="4" a="1"/>
  <c r="T232" i="4"/>
  <c r="AC52" i="5"/>
  <c r="U232" i="4" a="1"/>
  <c r="U232" i="4"/>
  <c r="AD52" i="5"/>
  <c r="AF52" i="5"/>
  <c r="AG52" i="5"/>
  <c r="X43" i="2"/>
  <c r="X232" i="4"/>
  <c r="AI52" i="5"/>
  <c r="Y43" i="2"/>
  <c r="Y232" i="4"/>
  <c r="AJ52" i="5"/>
  <c r="Z43" i="2"/>
  <c r="Z232" i="4"/>
  <c r="AL52" i="5"/>
  <c r="F52" i="5"/>
  <c r="H52" i="5"/>
  <c r="I52" i="5"/>
  <c r="Z52" i="5"/>
  <c r="AN52" i="5"/>
  <c r="C8" i="2"/>
  <c r="B32" i="4"/>
  <c r="C32" i="4"/>
  <c r="C53" i="5"/>
  <c r="D8" i="2"/>
  <c r="D32" i="4"/>
  <c r="E53" i="5"/>
  <c r="H8" i="2"/>
  <c r="H32" i="4"/>
  <c r="K53" i="5"/>
  <c r="L8" i="2"/>
  <c r="L32" i="4"/>
  <c r="Q53" i="5"/>
  <c r="M8" i="2"/>
  <c r="M32" i="4"/>
  <c r="R53" i="5"/>
  <c r="N8" i="2"/>
  <c r="N32" i="4"/>
  <c r="T53" i="5"/>
  <c r="O32" i="4"/>
  <c r="U53" i="5"/>
  <c r="P8" i="2"/>
  <c r="P32" i="4"/>
  <c r="W53" i="5"/>
  <c r="Q8" i="2"/>
  <c r="Q32" i="4"/>
  <c r="X53" i="5"/>
  <c r="AA53" i="5"/>
  <c r="AH32" i="4"/>
  <c r="T32" i="4" a="1"/>
  <c r="T32" i="4"/>
  <c r="AC53" i="5"/>
  <c r="U32" i="4" a="1"/>
  <c r="U32" i="4"/>
  <c r="AD53" i="5"/>
  <c r="AF53" i="5"/>
  <c r="AG53" i="5"/>
  <c r="X8" i="2"/>
  <c r="X32" i="4"/>
  <c r="AI53" i="5"/>
  <c r="Y8" i="2"/>
  <c r="Y32" i="4"/>
  <c r="AJ53" i="5"/>
  <c r="Z8" i="2"/>
  <c r="Z32" i="4"/>
  <c r="AL53" i="5"/>
  <c r="L53" i="5"/>
  <c r="N53" i="5"/>
  <c r="O53" i="5"/>
  <c r="F53" i="5"/>
  <c r="H53" i="5"/>
  <c r="I53" i="5"/>
  <c r="Z53" i="5"/>
  <c r="AN53" i="5"/>
  <c r="C10" i="2"/>
  <c r="B33" i="4"/>
  <c r="C9" i="2"/>
  <c r="C33" i="4"/>
  <c r="C54" i="5"/>
  <c r="D10" i="2"/>
  <c r="D9" i="2"/>
  <c r="D33" i="4"/>
  <c r="E54" i="5"/>
  <c r="H10" i="2"/>
  <c r="H9" i="2"/>
  <c r="H33" i="4"/>
  <c r="K54" i="5"/>
  <c r="L10" i="2"/>
  <c r="L9" i="2"/>
  <c r="L33" i="4"/>
  <c r="Q54" i="5"/>
  <c r="M10" i="2"/>
  <c r="M9" i="2"/>
  <c r="M33" i="4"/>
  <c r="R54" i="5"/>
  <c r="N10" i="2"/>
  <c r="N9" i="2"/>
  <c r="N33" i="4"/>
  <c r="T54" i="5"/>
  <c r="O10" i="2"/>
  <c r="O9" i="2"/>
  <c r="O33" i="4"/>
  <c r="U54" i="5"/>
  <c r="P10" i="2"/>
  <c r="P9" i="2"/>
  <c r="P33" i="4"/>
  <c r="W54" i="5"/>
  <c r="Q10" i="2"/>
  <c r="Q9" i="2"/>
  <c r="Q33" i="4"/>
  <c r="X54" i="5"/>
  <c r="AA54" i="5"/>
  <c r="AH33" i="4"/>
  <c r="T33" i="4" a="1"/>
  <c r="T33" i="4"/>
  <c r="AC54" i="5"/>
  <c r="U33" i="4" a="1"/>
  <c r="U33" i="4"/>
  <c r="AD54" i="5"/>
  <c r="AF54" i="5"/>
  <c r="AG54" i="5"/>
  <c r="X10" i="2"/>
  <c r="X9" i="2"/>
  <c r="X33" i="4"/>
  <c r="AI54" i="5"/>
  <c r="Y10" i="2"/>
  <c r="Y9" i="2"/>
  <c r="Y33" i="4"/>
  <c r="AJ54" i="5"/>
  <c r="Z10" i="2"/>
  <c r="Z9" i="2"/>
  <c r="Z33" i="4"/>
  <c r="AL54" i="5"/>
  <c r="L54" i="5"/>
  <c r="N54" i="5"/>
  <c r="O54" i="5"/>
  <c r="F54" i="5"/>
  <c r="H54" i="5"/>
  <c r="I54" i="5"/>
  <c r="Z54" i="5"/>
  <c r="AN54" i="5"/>
  <c r="B34" i="4"/>
  <c r="C7" i="2"/>
  <c r="C34" i="4"/>
  <c r="C55" i="5"/>
  <c r="D7" i="2"/>
  <c r="D34" i="4"/>
  <c r="E55" i="5"/>
  <c r="H7" i="2"/>
  <c r="H34" i="4"/>
  <c r="K55" i="5"/>
  <c r="L7" i="2"/>
  <c r="L34" i="4"/>
  <c r="Q55" i="5"/>
  <c r="M7" i="2"/>
  <c r="M34" i="4"/>
  <c r="R55" i="5"/>
  <c r="T55" i="5"/>
  <c r="U55" i="5"/>
  <c r="P7" i="2"/>
  <c r="P34" i="4"/>
  <c r="W55" i="5"/>
  <c r="Q7" i="2"/>
  <c r="Q34" i="4"/>
  <c r="X55" i="5"/>
  <c r="AA55" i="5"/>
  <c r="AH34" i="4"/>
  <c r="T34" i="4" a="1"/>
  <c r="T34" i="4"/>
  <c r="AC55" i="5"/>
  <c r="U34" i="4" a="1"/>
  <c r="U34" i="4"/>
  <c r="AD55" i="5"/>
  <c r="AF55" i="5"/>
  <c r="AG55" i="5"/>
  <c r="X7" i="2"/>
  <c r="X34" i="4"/>
  <c r="AI55" i="5"/>
  <c r="Y7" i="2"/>
  <c r="Y34" i="4"/>
  <c r="AJ55" i="5"/>
  <c r="Z7" i="2"/>
  <c r="Z34" i="4"/>
  <c r="AL55" i="5"/>
  <c r="L55" i="5"/>
  <c r="N55" i="5"/>
  <c r="O55" i="5"/>
  <c r="F55" i="5"/>
  <c r="H55" i="5"/>
  <c r="I55" i="5"/>
  <c r="Z55" i="5"/>
  <c r="AN55" i="5"/>
  <c r="B35" i="4"/>
  <c r="C35" i="4"/>
  <c r="C56" i="5"/>
  <c r="D35" i="4"/>
  <c r="E56" i="5"/>
  <c r="H35" i="4"/>
  <c r="K56" i="5"/>
  <c r="I9" i="2"/>
  <c r="I35" i="4"/>
  <c r="L56" i="5"/>
  <c r="J9" i="2"/>
  <c r="J35" i="4"/>
  <c r="N56" i="5"/>
  <c r="O56" i="5"/>
  <c r="L35" i="4"/>
  <c r="Q56" i="5"/>
  <c r="M35" i="4"/>
  <c r="R56" i="5"/>
  <c r="N35" i="4"/>
  <c r="T56" i="5"/>
  <c r="O35" i="4"/>
  <c r="U56" i="5"/>
  <c r="P35" i="4"/>
  <c r="W56" i="5"/>
  <c r="Q35" i="4"/>
  <c r="X56" i="5"/>
  <c r="AA56" i="5"/>
  <c r="AH35" i="4"/>
  <c r="T35" i="4" a="1"/>
  <c r="T35" i="4"/>
  <c r="AC56" i="5"/>
  <c r="U35" i="4" a="1"/>
  <c r="U35" i="4"/>
  <c r="AD56" i="5"/>
  <c r="AF56" i="5"/>
  <c r="AG56" i="5"/>
  <c r="X35" i="4"/>
  <c r="AI56" i="5"/>
  <c r="Y35" i="4"/>
  <c r="AJ56" i="5"/>
  <c r="Z35" i="4"/>
  <c r="AL56" i="5"/>
  <c r="F56" i="5"/>
  <c r="H56" i="5"/>
  <c r="I56" i="5"/>
  <c r="Z56" i="5"/>
  <c r="AN56" i="5"/>
  <c r="B36" i="4"/>
  <c r="C36" i="4"/>
  <c r="C57" i="5"/>
  <c r="D36" i="4"/>
  <c r="E57" i="5"/>
  <c r="H36" i="4"/>
  <c r="K57" i="5"/>
  <c r="L36" i="4"/>
  <c r="Q57" i="5"/>
  <c r="M36" i="4"/>
  <c r="R57" i="5"/>
  <c r="N7" i="2"/>
  <c r="N36" i="4"/>
  <c r="T57" i="5"/>
  <c r="O7" i="2"/>
  <c r="O36" i="4"/>
  <c r="U57" i="5"/>
  <c r="P36" i="4"/>
  <c r="W57" i="5"/>
  <c r="Q36" i="4"/>
  <c r="X57" i="5"/>
  <c r="AA57" i="5"/>
  <c r="AH36" i="4"/>
  <c r="T36" i="4" a="1"/>
  <c r="T36" i="4"/>
  <c r="AC57" i="5"/>
  <c r="U36" i="4" a="1"/>
  <c r="U36" i="4"/>
  <c r="AD57" i="5"/>
  <c r="AF57" i="5"/>
  <c r="AG57" i="5"/>
  <c r="X36" i="4"/>
  <c r="AI57" i="5"/>
  <c r="Y36" i="4"/>
  <c r="AJ57" i="5"/>
  <c r="Z36" i="4"/>
  <c r="AL57" i="5"/>
  <c r="L57" i="5"/>
  <c r="N57" i="5"/>
  <c r="O57" i="5"/>
  <c r="F57" i="5"/>
  <c r="H57" i="5"/>
  <c r="I57" i="5"/>
  <c r="Z57" i="5"/>
  <c r="AN57" i="5"/>
  <c r="B37" i="4"/>
  <c r="C37" i="4"/>
  <c r="C58" i="5"/>
  <c r="D37" i="4"/>
  <c r="E58" i="5"/>
  <c r="H37" i="4"/>
  <c r="K58" i="5"/>
  <c r="L37" i="4"/>
  <c r="Q58" i="5"/>
  <c r="M37" i="4"/>
  <c r="R58" i="5"/>
  <c r="T58" i="5"/>
  <c r="U58" i="5"/>
  <c r="P37" i="4"/>
  <c r="W58" i="5"/>
  <c r="Q37" i="4"/>
  <c r="X58" i="5"/>
  <c r="AA58" i="5"/>
  <c r="AH37" i="4"/>
  <c r="T37" i="4" a="1"/>
  <c r="T37" i="4"/>
  <c r="AC58" i="5"/>
  <c r="U37" i="4" a="1"/>
  <c r="U37" i="4"/>
  <c r="AD58" i="5"/>
  <c r="AF58" i="5"/>
  <c r="AG58" i="5"/>
  <c r="X37" i="4"/>
  <c r="AI58" i="5"/>
  <c r="Y37" i="4"/>
  <c r="AJ58" i="5"/>
  <c r="Z37" i="4"/>
  <c r="AL58" i="5"/>
  <c r="L58" i="5"/>
  <c r="N58" i="5"/>
  <c r="O58" i="5"/>
  <c r="F58" i="5"/>
  <c r="H58" i="5"/>
  <c r="I58" i="5"/>
  <c r="Z58" i="5"/>
  <c r="AN58" i="5"/>
  <c r="AA59" i="5"/>
  <c r="P149" i="4"/>
  <c r="W59" i="5"/>
  <c r="O59" i="5"/>
  <c r="K59" i="5"/>
  <c r="C149" i="4"/>
  <c r="C59" i="5"/>
  <c r="D149" i="4"/>
  <c r="E59" i="5"/>
  <c r="L59" i="5"/>
  <c r="N59" i="5"/>
  <c r="L149" i="4"/>
  <c r="Q59" i="5"/>
  <c r="U59" i="5"/>
  <c r="Q149" i="4"/>
  <c r="X59" i="5"/>
  <c r="R9" i="2"/>
  <c r="R8" i="2"/>
  <c r="R149" i="4"/>
  <c r="Z59" i="5"/>
  <c r="AC59" i="5"/>
  <c r="AD59" i="5"/>
  <c r="AF59" i="5"/>
  <c r="AG59" i="5"/>
  <c r="X149" i="4"/>
  <c r="AI59" i="5"/>
  <c r="Y149" i="4"/>
  <c r="AJ59" i="5"/>
  <c r="Z149" i="4"/>
  <c r="AL59" i="5"/>
  <c r="R59" i="5"/>
  <c r="T59" i="5"/>
  <c r="F59" i="5"/>
  <c r="H59" i="5"/>
  <c r="I59" i="5"/>
  <c r="AN59" i="5"/>
  <c r="B60" i="4"/>
  <c r="C60" i="4"/>
  <c r="C60" i="5"/>
  <c r="D60" i="4"/>
  <c r="E60" i="5"/>
  <c r="H60" i="4"/>
  <c r="K60" i="5"/>
  <c r="L60" i="4"/>
  <c r="Q60" i="5"/>
  <c r="M60" i="4"/>
  <c r="R60" i="5"/>
  <c r="T60" i="5"/>
  <c r="U60" i="5"/>
  <c r="P60" i="4"/>
  <c r="W60" i="5"/>
  <c r="Q60" i="4"/>
  <c r="X60" i="5"/>
  <c r="AA60" i="5"/>
  <c r="AH60" i="4"/>
  <c r="T60" i="4" a="1"/>
  <c r="T60" i="4"/>
  <c r="AC60" i="5"/>
  <c r="U60" i="4" a="1"/>
  <c r="U60" i="4"/>
  <c r="AD60" i="5"/>
  <c r="AF60" i="5"/>
  <c r="AG60" i="5"/>
  <c r="X60" i="4"/>
  <c r="AI60" i="5"/>
  <c r="Y60" i="4"/>
  <c r="AJ60" i="5"/>
  <c r="Z60" i="4"/>
  <c r="AL60" i="5"/>
  <c r="F60" i="5"/>
  <c r="H60" i="5"/>
  <c r="I60" i="5"/>
  <c r="L60" i="5"/>
  <c r="N60" i="5"/>
  <c r="O60" i="5"/>
  <c r="Z60" i="5"/>
  <c r="AN60" i="5"/>
  <c r="B61" i="4"/>
  <c r="C61" i="4"/>
  <c r="C61" i="5"/>
  <c r="D61" i="4"/>
  <c r="E61" i="5"/>
  <c r="H61" i="4"/>
  <c r="K61" i="5"/>
  <c r="L61" i="4"/>
  <c r="Q61" i="5"/>
  <c r="M61" i="4"/>
  <c r="R61" i="5"/>
  <c r="T61" i="5"/>
  <c r="U61" i="5"/>
  <c r="P61" i="4"/>
  <c r="W61" i="5"/>
  <c r="Q61" i="4"/>
  <c r="X61" i="5"/>
  <c r="AA61" i="5"/>
  <c r="AH61" i="4"/>
  <c r="T61" i="4" a="1"/>
  <c r="T61" i="4"/>
  <c r="AC61" i="5"/>
  <c r="U61" i="4" a="1"/>
  <c r="U61" i="4"/>
  <c r="AD61" i="5"/>
  <c r="AF61" i="5"/>
  <c r="AG61" i="5"/>
  <c r="Y61" i="4"/>
  <c r="AJ61" i="5"/>
  <c r="Z61" i="4"/>
  <c r="AL61" i="5"/>
  <c r="F61" i="5"/>
  <c r="H61" i="5"/>
  <c r="I61" i="5"/>
  <c r="L61" i="5"/>
  <c r="N61" i="5"/>
  <c r="O61" i="5"/>
  <c r="Z61" i="5"/>
  <c r="AN61" i="5"/>
  <c r="B62" i="4"/>
  <c r="C62" i="4"/>
  <c r="C62" i="5"/>
  <c r="D62" i="4"/>
  <c r="E62" i="5"/>
  <c r="H62" i="4"/>
  <c r="K62" i="5"/>
  <c r="L62" i="4"/>
  <c r="Q62" i="5"/>
  <c r="M62" i="4"/>
  <c r="R62" i="5"/>
  <c r="T62" i="5"/>
  <c r="U62" i="5"/>
  <c r="P62" i="4"/>
  <c r="W62" i="5"/>
  <c r="Q62" i="4"/>
  <c r="X62" i="5"/>
  <c r="AA62" i="5"/>
  <c r="AH62" i="4"/>
  <c r="T62" i="4" a="1"/>
  <c r="T62" i="4"/>
  <c r="AC62" i="5"/>
  <c r="U62" i="4" a="1"/>
  <c r="U62" i="4"/>
  <c r="AD62" i="5"/>
  <c r="AF62" i="5"/>
  <c r="AG62" i="5"/>
  <c r="Y62" i="4"/>
  <c r="AJ62" i="5"/>
  <c r="Z62" i="4"/>
  <c r="AL62" i="5"/>
  <c r="F62" i="5"/>
  <c r="H62" i="5"/>
  <c r="I62" i="5"/>
  <c r="L62" i="5"/>
  <c r="N62" i="5"/>
  <c r="O62" i="5"/>
  <c r="Z62" i="5"/>
  <c r="AN62" i="5"/>
  <c r="B15" i="4"/>
  <c r="C15" i="4"/>
  <c r="C63" i="5"/>
  <c r="D15" i="4"/>
  <c r="E63" i="5"/>
  <c r="H15" i="4"/>
  <c r="K63" i="5"/>
  <c r="L15" i="4"/>
  <c r="Q63" i="5"/>
  <c r="M15" i="4"/>
  <c r="R63" i="5"/>
  <c r="T63" i="5"/>
  <c r="U63" i="5"/>
  <c r="P15" i="4"/>
  <c r="W63" i="5"/>
  <c r="Q15" i="4"/>
  <c r="X63" i="5"/>
  <c r="AA63" i="5"/>
  <c r="AH15" i="4"/>
  <c r="T15" i="4" a="1"/>
  <c r="T15" i="4"/>
  <c r="AC63" i="5"/>
  <c r="U15" i="4" a="1"/>
  <c r="U15" i="4"/>
  <c r="AD63" i="5"/>
  <c r="AF63" i="5"/>
  <c r="AG63" i="5"/>
  <c r="X15" i="4"/>
  <c r="AI63" i="5"/>
  <c r="Y15" i="4"/>
  <c r="AJ63" i="5"/>
  <c r="Z15" i="4"/>
  <c r="AL63" i="5"/>
  <c r="F63" i="5"/>
  <c r="H63" i="5"/>
  <c r="I63" i="5"/>
  <c r="L63" i="5"/>
  <c r="N63" i="5"/>
  <c r="O63" i="5"/>
  <c r="Z63" i="5"/>
  <c r="AN63" i="5"/>
  <c r="B106" i="4"/>
  <c r="C106" i="4"/>
  <c r="C64" i="5"/>
  <c r="D106" i="4"/>
  <c r="E64" i="5"/>
  <c r="H106" i="4"/>
  <c r="K64" i="5"/>
  <c r="L106" i="4"/>
  <c r="Q64" i="5"/>
  <c r="M106" i="4"/>
  <c r="R64" i="5"/>
  <c r="T64" i="5"/>
  <c r="U64" i="5"/>
  <c r="P106" i="4"/>
  <c r="W64" i="5"/>
  <c r="Q106" i="4"/>
  <c r="X64" i="5"/>
  <c r="AA64" i="5"/>
  <c r="AH106" i="4"/>
  <c r="T106" i="4" a="1"/>
  <c r="T106" i="4"/>
  <c r="AC64" i="5"/>
  <c r="U106" i="4" a="1"/>
  <c r="U106" i="4"/>
  <c r="AD64" i="5"/>
  <c r="AF64" i="5"/>
  <c r="AG64" i="5"/>
  <c r="X106" i="4"/>
  <c r="AI64" i="5"/>
  <c r="Y106" i="4"/>
  <c r="AJ64" i="5"/>
  <c r="Z106" i="4"/>
  <c r="AL64" i="5"/>
  <c r="F64" i="5"/>
  <c r="H64" i="5"/>
  <c r="I64" i="5"/>
  <c r="L64" i="5"/>
  <c r="N64" i="5"/>
  <c r="O64" i="5"/>
  <c r="Z64" i="5"/>
  <c r="AN64" i="5"/>
  <c r="B107" i="4"/>
  <c r="C107" i="4"/>
  <c r="C65" i="5"/>
  <c r="D107" i="4"/>
  <c r="E65" i="5"/>
  <c r="H107" i="4"/>
  <c r="K65" i="5"/>
  <c r="L107" i="4"/>
  <c r="Q65" i="5"/>
  <c r="M107" i="4"/>
  <c r="R65" i="5"/>
  <c r="T65" i="5"/>
  <c r="U65" i="5"/>
  <c r="P107" i="4"/>
  <c r="W65" i="5"/>
  <c r="Q107" i="4"/>
  <c r="X65" i="5"/>
  <c r="AA65" i="5"/>
  <c r="AH107" i="4"/>
  <c r="T107" i="4" a="1"/>
  <c r="T107" i="4"/>
  <c r="AC65" i="5"/>
  <c r="U107" i="4" a="1"/>
  <c r="U107" i="4"/>
  <c r="AD65" i="5"/>
  <c r="AF65" i="5"/>
  <c r="AG65" i="5"/>
  <c r="X107" i="4"/>
  <c r="AI65" i="5"/>
  <c r="Y107" i="4"/>
  <c r="AJ65" i="5"/>
  <c r="Z107" i="4"/>
  <c r="AL65" i="5"/>
  <c r="F65" i="5"/>
  <c r="H65" i="5"/>
  <c r="I65" i="5"/>
  <c r="L65" i="5"/>
  <c r="N65" i="5"/>
  <c r="O65" i="5"/>
  <c r="Z65" i="5"/>
  <c r="AN65" i="5"/>
  <c r="B38" i="4"/>
  <c r="C38" i="4"/>
  <c r="C66" i="5"/>
  <c r="D38" i="4"/>
  <c r="E66" i="5"/>
  <c r="H38" i="4"/>
  <c r="K66" i="5"/>
  <c r="L38" i="4"/>
  <c r="Q66" i="5"/>
  <c r="M38" i="4"/>
  <c r="R66" i="5"/>
  <c r="T66" i="5"/>
  <c r="U66" i="5"/>
  <c r="P38" i="4"/>
  <c r="W66" i="5"/>
  <c r="Q38" i="4"/>
  <c r="X66" i="5"/>
  <c r="AA66" i="5"/>
  <c r="AH38" i="4"/>
  <c r="T38" i="4" a="1"/>
  <c r="T38" i="4"/>
  <c r="AC66" i="5"/>
  <c r="U38" i="4" a="1"/>
  <c r="U38" i="4"/>
  <c r="AD66" i="5"/>
  <c r="AF66" i="5"/>
  <c r="AG66" i="5"/>
  <c r="Y38" i="4"/>
  <c r="AJ66" i="5"/>
  <c r="Z38" i="4"/>
  <c r="AL66" i="5"/>
  <c r="F66" i="5"/>
  <c r="H66" i="5"/>
  <c r="I66" i="5"/>
  <c r="L66" i="5"/>
  <c r="N66" i="5"/>
  <c r="O66" i="5"/>
  <c r="Z66" i="5"/>
  <c r="AN66" i="5"/>
  <c r="B39" i="4"/>
  <c r="C39" i="4"/>
  <c r="C67" i="5"/>
  <c r="D39" i="4"/>
  <c r="E67" i="5"/>
  <c r="H39" i="4"/>
  <c r="K67" i="5"/>
  <c r="I14" i="2"/>
  <c r="I39" i="4"/>
  <c r="L67" i="5"/>
  <c r="J14" i="2"/>
  <c r="J39" i="4"/>
  <c r="N67" i="5"/>
  <c r="O67" i="5"/>
  <c r="L39" i="4"/>
  <c r="Q67" i="5"/>
  <c r="M39" i="4"/>
  <c r="R67" i="5"/>
  <c r="N13" i="2"/>
  <c r="N39" i="4"/>
  <c r="T67" i="5"/>
  <c r="O39" i="4"/>
  <c r="U67" i="5"/>
  <c r="P39" i="4"/>
  <c r="W67" i="5"/>
  <c r="Q39" i="4"/>
  <c r="X67" i="5"/>
  <c r="AA67" i="5"/>
  <c r="AH39" i="4"/>
  <c r="T39" i="4" a="1"/>
  <c r="T39" i="4"/>
  <c r="AC67" i="5"/>
  <c r="AD67" i="5"/>
  <c r="AF67" i="5"/>
  <c r="AG67" i="5"/>
  <c r="X39" i="4"/>
  <c r="AI67" i="5"/>
  <c r="Y39" i="4"/>
  <c r="AJ67" i="5"/>
  <c r="Z39" i="4"/>
  <c r="AL67" i="5"/>
  <c r="F67" i="5"/>
  <c r="H67" i="5"/>
  <c r="I67" i="5"/>
  <c r="Z67" i="5"/>
  <c r="AN67" i="5"/>
  <c r="B40" i="4"/>
  <c r="C40" i="4"/>
  <c r="C68" i="5"/>
  <c r="D40" i="4"/>
  <c r="E68" i="5"/>
  <c r="H40" i="4"/>
  <c r="K68" i="5"/>
  <c r="L40" i="4"/>
  <c r="Q68" i="5"/>
  <c r="M40" i="4"/>
  <c r="R68" i="5"/>
  <c r="N11" i="2"/>
  <c r="N15" i="2"/>
  <c r="N40" i="4"/>
  <c r="T68" i="5"/>
  <c r="O40" i="4"/>
  <c r="U68" i="5"/>
  <c r="P40" i="4"/>
  <c r="W68" i="5"/>
  <c r="Q40" i="4"/>
  <c r="X68" i="5"/>
  <c r="AA68" i="5"/>
  <c r="AH40" i="4"/>
  <c r="T40" i="4" a="1"/>
  <c r="T40" i="4"/>
  <c r="AC68" i="5"/>
  <c r="U40" i="4" a="1"/>
  <c r="U40" i="4"/>
  <c r="AD68" i="5"/>
  <c r="AF68" i="5"/>
  <c r="AG68" i="5"/>
  <c r="Y40" i="4"/>
  <c r="AJ68" i="5"/>
  <c r="Z40" i="4"/>
  <c r="AL68" i="5"/>
  <c r="F68" i="5"/>
  <c r="H68" i="5"/>
  <c r="I68" i="5"/>
  <c r="L68" i="5"/>
  <c r="N68" i="5"/>
  <c r="O68" i="5"/>
  <c r="Z68" i="5"/>
  <c r="AN68" i="5"/>
  <c r="B63" i="4"/>
  <c r="C63" i="4"/>
  <c r="C69" i="5"/>
  <c r="D63" i="4"/>
  <c r="E69" i="5"/>
  <c r="H63" i="4"/>
  <c r="K69" i="5"/>
  <c r="L63" i="4"/>
  <c r="Q69" i="5"/>
  <c r="M63" i="4"/>
  <c r="R69" i="5"/>
  <c r="T69" i="5"/>
  <c r="U69" i="5"/>
  <c r="P63" i="4"/>
  <c r="W69" i="5"/>
  <c r="Q63" i="4"/>
  <c r="X69" i="5"/>
  <c r="AA69" i="5"/>
  <c r="AH63" i="4"/>
  <c r="T63" i="4" a="1"/>
  <c r="T63" i="4"/>
  <c r="AC69" i="5"/>
  <c r="U63" i="4" a="1"/>
  <c r="U63" i="4"/>
  <c r="AD69" i="5"/>
  <c r="AF69" i="5"/>
  <c r="AG69" i="5"/>
  <c r="Y63" i="4"/>
  <c r="AJ69" i="5"/>
  <c r="Z63" i="4"/>
  <c r="AL69" i="5"/>
  <c r="F69" i="5"/>
  <c r="H69" i="5"/>
  <c r="I69" i="5"/>
  <c r="L69" i="5"/>
  <c r="N69" i="5"/>
  <c r="O69" i="5"/>
  <c r="Z69" i="5"/>
  <c r="AN69" i="5"/>
  <c r="C233" i="4"/>
  <c r="C70" i="5"/>
  <c r="N233" i="4"/>
  <c r="T70" i="5"/>
  <c r="O233" i="4"/>
  <c r="U70" i="5"/>
  <c r="P233" i="4"/>
  <c r="W70" i="5"/>
  <c r="Q233" i="4"/>
  <c r="X70" i="5"/>
  <c r="S233" i="4"/>
  <c r="AA70" i="5"/>
  <c r="AH233" i="4"/>
  <c r="T233" i="4" a="1"/>
  <c r="T233" i="4"/>
  <c r="AC70" i="5"/>
  <c r="U233" i="4" a="1"/>
  <c r="U233" i="4"/>
  <c r="AD70" i="5"/>
  <c r="AF70" i="5"/>
  <c r="AG70" i="5"/>
  <c r="X233" i="4"/>
  <c r="AI70" i="5"/>
  <c r="Y233" i="4"/>
  <c r="AJ70" i="5"/>
  <c r="Z233" i="4"/>
  <c r="AL70" i="5"/>
  <c r="F70" i="5"/>
  <c r="H70" i="5"/>
  <c r="I70" i="5"/>
  <c r="L70" i="5"/>
  <c r="N70" i="5"/>
  <c r="O70" i="5"/>
  <c r="Z70" i="5"/>
  <c r="AN70" i="5"/>
  <c r="C219" i="4"/>
  <c r="C71" i="5"/>
  <c r="T71" i="5"/>
  <c r="U71" i="5"/>
  <c r="P219" i="4"/>
  <c r="W71" i="5"/>
  <c r="Q219" i="4"/>
  <c r="X71" i="5"/>
  <c r="S219" i="4"/>
  <c r="AA71" i="5"/>
  <c r="AH219" i="4"/>
  <c r="T219" i="4" a="1"/>
  <c r="T219" i="4"/>
  <c r="AC71" i="5"/>
  <c r="U219" i="4" a="1"/>
  <c r="U219" i="4"/>
  <c r="AD71" i="5"/>
  <c r="AF71" i="5"/>
  <c r="AG71" i="5"/>
  <c r="X219" i="4"/>
  <c r="AI71" i="5"/>
  <c r="Y219" i="4"/>
  <c r="AJ71" i="5"/>
  <c r="Z219" i="4"/>
  <c r="AL71" i="5"/>
  <c r="Z71" i="5"/>
  <c r="AN71" i="5"/>
  <c r="B235" i="4"/>
  <c r="C235" i="4"/>
  <c r="C72" i="5"/>
  <c r="D235" i="4"/>
  <c r="E72" i="5"/>
  <c r="H235" i="4"/>
  <c r="K72" i="5"/>
  <c r="L235" i="4"/>
  <c r="Q72" i="5"/>
  <c r="M235" i="4"/>
  <c r="R72" i="5"/>
  <c r="T72" i="5"/>
  <c r="U72" i="5"/>
  <c r="P235" i="4"/>
  <c r="W72" i="5"/>
  <c r="Q235" i="4"/>
  <c r="X72" i="5"/>
  <c r="S235" i="4"/>
  <c r="AA72" i="5"/>
  <c r="AH235" i="4"/>
  <c r="T235" i="4" a="1"/>
  <c r="T235" i="4"/>
  <c r="AC72" i="5"/>
  <c r="U235" i="4" a="1"/>
  <c r="U235" i="4"/>
  <c r="AD72" i="5"/>
  <c r="AF72" i="5"/>
  <c r="AG72" i="5"/>
  <c r="X235" i="4"/>
  <c r="AI72" i="5"/>
  <c r="Y235" i="4"/>
  <c r="AJ72" i="5"/>
  <c r="Z235" i="4"/>
  <c r="AL72" i="5"/>
  <c r="F72" i="5"/>
  <c r="H72" i="5"/>
  <c r="I72" i="5"/>
  <c r="L72" i="5"/>
  <c r="N72" i="5"/>
  <c r="O72" i="5"/>
  <c r="Z72" i="5"/>
  <c r="AN72" i="5"/>
  <c r="C20" i="2"/>
  <c r="C236" i="4"/>
  <c r="C73" i="5"/>
  <c r="D236" i="4"/>
  <c r="E73" i="5"/>
  <c r="H20" i="2"/>
  <c r="H236" i="4"/>
  <c r="K73" i="5"/>
  <c r="L20" i="2"/>
  <c r="L236" i="4"/>
  <c r="Q73" i="5"/>
  <c r="R73" i="5"/>
  <c r="T73" i="5"/>
  <c r="U73" i="5"/>
  <c r="P20" i="2"/>
  <c r="P236" i="4"/>
  <c r="W73" i="5"/>
  <c r="Q20" i="2"/>
  <c r="Q236" i="4"/>
  <c r="X73" i="5"/>
  <c r="S20" i="2"/>
  <c r="S236" i="4"/>
  <c r="AA73" i="5"/>
  <c r="AH236" i="4"/>
  <c r="T236" i="4" a="1"/>
  <c r="T236" i="4"/>
  <c r="AC73" i="5"/>
  <c r="U236" i="4" a="1"/>
  <c r="U236" i="4"/>
  <c r="AD73" i="5"/>
  <c r="AF73" i="5"/>
  <c r="AG73" i="5"/>
  <c r="X20" i="2"/>
  <c r="X236" i="4"/>
  <c r="AI73" i="5"/>
  <c r="Y20" i="2"/>
  <c r="Y236" i="4"/>
  <c r="AJ73" i="5"/>
  <c r="Z20" i="2"/>
  <c r="Z236" i="4"/>
  <c r="AL73" i="5"/>
  <c r="F73" i="5"/>
  <c r="H73" i="5"/>
  <c r="I73" i="5"/>
  <c r="L73" i="5"/>
  <c r="N73" i="5"/>
  <c r="O73" i="5"/>
  <c r="Z73" i="5"/>
  <c r="AN73" i="5"/>
  <c r="B202" i="4"/>
  <c r="C22" i="2"/>
  <c r="C202" i="4"/>
  <c r="C74" i="5"/>
  <c r="D22" i="2"/>
  <c r="D202" i="4"/>
  <c r="E74" i="5"/>
  <c r="H22" i="2"/>
  <c r="H202" i="4"/>
  <c r="K74" i="5"/>
  <c r="L22" i="2"/>
  <c r="L202" i="4"/>
  <c r="Q74" i="5"/>
  <c r="M22" i="2"/>
  <c r="M202" i="4"/>
  <c r="R74" i="5"/>
  <c r="T74" i="5"/>
  <c r="U74" i="5"/>
  <c r="P22" i="2"/>
  <c r="P202" i="4"/>
  <c r="W74" i="5"/>
  <c r="Q22" i="2"/>
  <c r="Q202" i="4"/>
  <c r="X74" i="5"/>
  <c r="S22" i="2"/>
  <c r="S202" i="4"/>
  <c r="AA74" i="5"/>
  <c r="AH202" i="4"/>
  <c r="T202" i="4" a="1"/>
  <c r="T202" i="4"/>
  <c r="AC74" i="5"/>
  <c r="U202" i="4" a="1"/>
  <c r="U202" i="4"/>
  <c r="AD74" i="5"/>
  <c r="AF74" i="5"/>
  <c r="AG74" i="5"/>
  <c r="X22" i="2"/>
  <c r="X202" i="4"/>
  <c r="AI74" i="5"/>
  <c r="Y22" i="2"/>
  <c r="Y202" i="4"/>
  <c r="AJ74" i="5"/>
  <c r="Z22" i="2"/>
  <c r="Z202" i="4"/>
  <c r="AL74" i="5"/>
  <c r="F74" i="5"/>
  <c r="H74" i="5"/>
  <c r="I74" i="5"/>
  <c r="L74" i="5"/>
  <c r="N74" i="5"/>
  <c r="O74" i="5"/>
  <c r="Z74" i="5"/>
  <c r="AN74" i="5"/>
  <c r="B186" i="4"/>
  <c r="C186" i="4"/>
  <c r="C75" i="5"/>
  <c r="D186" i="4"/>
  <c r="E75" i="5"/>
  <c r="E29" i="2"/>
  <c r="E31" i="2"/>
  <c r="E186" i="4"/>
  <c r="F75" i="5"/>
  <c r="F29" i="2"/>
  <c r="F31" i="2"/>
  <c r="F186" i="4"/>
  <c r="H75" i="5"/>
  <c r="I75" i="5"/>
  <c r="H186" i="4"/>
  <c r="K75" i="5"/>
  <c r="L186" i="4"/>
  <c r="Q75" i="5"/>
  <c r="M186" i="4"/>
  <c r="R75" i="5"/>
  <c r="T75" i="5"/>
  <c r="U75" i="5"/>
  <c r="P186" i="4"/>
  <c r="W75" i="5"/>
  <c r="Q186" i="4"/>
  <c r="X75" i="5"/>
  <c r="S186" i="4"/>
  <c r="AA75" i="5"/>
  <c r="AH186" i="4"/>
  <c r="T186" i="4" a="1"/>
  <c r="T186" i="4"/>
  <c r="AC75" i="5"/>
  <c r="U186" i="4" a="1"/>
  <c r="U186" i="4"/>
  <c r="AD75" i="5"/>
  <c r="AF75" i="5"/>
  <c r="AG75" i="5"/>
  <c r="X186" i="4"/>
  <c r="AI75" i="5"/>
  <c r="Y186" i="4"/>
  <c r="AJ75" i="5"/>
  <c r="Z186" i="4"/>
  <c r="AL75" i="5"/>
  <c r="L75" i="5"/>
  <c r="N75" i="5"/>
  <c r="O75" i="5"/>
  <c r="Z75" i="5"/>
  <c r="AN75" i="5"/>
  <c r="B187" i="4"/>
  <c r="C187" i="4"/>
  <c r="C76" i="5"/>
  <c r="D187" i="4"/>
  <c r="E76" i="5"/>
  <c r="E187" i="4"/>
  <c r="F76" i="5"/>
  <c r="F187" i="4"/>
  <c r="H76" i="5"/>
  <c r="I76" i="5"/>
  <c r="H187" i="4"/>
  <c r="K76" i="5"/>
  <c r="L187" i="4"/>
  <c r="Q76" i="5"/>
  <c r="M187" i="4"/>
  <c r="R76" i="5"/>
  <c r="T76" i="5"/>
  <c r="U76" i="5"/>
  <c r="P187" i="4"/>
  <c r="W76" i="5"/>
  <c r="Q187" i="4"/>
  <c r="X76" i="5"/>
  <c r="S187" i="4"/>
  <c r="AA76" i="5"/>
  <c r="AH187" i="4"/>
  <c r="T187" i="4" a="1"/>
  <c r="T187" i="4"/>
  <c r="AC76" i="5"/>
  <c r="U187" i="4" a="1"/>
  <c r="U187" i="4"/>
  <c r="AD76" i="5"/>
  <c r="AF76" i="5"/>
  <c r="AG76" i="5"/>
  <c r="X187" i="4"/>
  <c r="AI76" i="5"/>
  <c r="Y187" i="4"/>
  <c r="AJ76" i="5"/>
  <c r="Z187" i="4"/>
  <c r="AL76" i="5"/>
  <c r="L76" i="5"/>
  <c r="N76" i="5"/>
  <c r="O76" i="5"/>
  <c r="Z76" i="5"/>
  <c r="AN76" i="5"/>
  <c r="C19" i="2"/>
  <c r="B188" i="4"/>
  <c r="C188" i="4"/>
  <c r="C77" i="5"/>
  <c r="D19" i="2"/>
  <c r="D188" i="4"/>
  <c r="E77" i="5"/>
  <c r="E19" i="2"/>
  <c r="E188" i="4"/>
  <c r="F77" i="5"/>
  <c r="F19" i="2"/>
  <c r="F188" i="4"/>
  <c r="H77" i="5"/>
  <c r="I77" i="5"/>
  <c r="H19" i="2"/>
  <c r="H188" i="4"/>
  <c r="K77" i="5"/>
  <c r="L19" i="2"/>
  <c r="L188" i="4"/>
  <c r="Q77" i="5"/>
  <c r="M19" i="2"/>
  <c r="M188" i="4"/>
  <c r="R77" i="5"/>
  <c r="T77" i="5"/>
  <c r="U77" i="5"/>
  <c r="P19" i="2"/>
  <c r="P188" i="4"/>
  <c r="W77" i="5"/>
  <c r="Q19" i="2"/>
  <c r="Q188" i="4"/>
  <c r="X77" i="5"/>
  <c r="S19" i="2"/>
  <c r="S188" i="4"/>
  <c r="AA77" i="5"/>
  <c r="AH188" i="4"/>
  <c r="T188" i="4" a="1"/>
  <c r="T188" i="4"/>
  <c r="AC77" i="5"/>
  <c r="U188" i="4" a="1"/>
  <c r="U188" i="4"/>
  <c r="AD77" i="5"/>
  <c r="AF77" i="5"/>
  <c r="AG77" i="5"/>
  <c r="X19" i="2"/>
  <c r="X188" i="4"/>
  <c r="AI77" i="5"/>
  <c r="Y19" i="2"/>
  <c r="Y188" i="4"/>
  <c r="AJ77" i="5"/>
  <c r="Z19" i="2"/>
  <c r="Z188" i="4"/>
  <c r="AL77" i="5"/>
  <c r="L77" i="5"/>
  <c r="N77" i="5"/>
  <c r="O77" i="5"/>
  <c r="Z77" i="5"/>
  <c r="AN77" i="5"/>
  <c r="C150" i="4"/>
  <c r="C78" i="5"/>
  <c r="D150" i="4"/>
  <c r="E78" i="5"/>
  <c r="H150" i="4"/>
  <c r="K78" i="5"/>
  <c r="L150" i="4"/>
  <c r="Q78" i="5"/>
  <c r="M150" i="4"/>
  <c r="R78" i="5"/>
  <c r="T78" i="5"/>
  <c r="U78" i="5"/>
  <c r="P150" i="4"/>
  <c r="W78" i="5"/>
  <c r="Q150" i="4"/>
  <c r="X78" i="5"/>
  <c r="S150" i="4"/>
  <c r="AA78" i="5"/>
  <c r="AH150" i="4"/>
  <c r="T150" i="4" a="1"/>
  <c r="T150" i="4"/>
  <c r="AC78" i="5"/>
  <c r="U150" i="4" a="1"/>
  <c r="U150" i="4"/>
  <c r="AD78" i="5"/>
  <c r="AF78" i="5"/>
  <c r="AG78" i="5"/>
  <c r="X150" i="4"/>
  <c r="AI78" i="5"/>
  <c r="Y150" i="4"/>
  <c r="AJ78" i="5"/>
  <c r="Z150" i="4"/>
  <c r="AL78" i="5"/>
  <c r="F78" i="5"/>
  <c r="H78" i="5"/>
  <c r="I78" i="5"/>
  <c r="L78" i="5"/>
  <c r="N78" i="5"/>
  <c r="O78" i="5"/>
  <c r="Z78" i="5"/>
  <c r="AN78" i="5"/>
  <c r="C237" i="4"/>
  <c r="C79" i="5"/>
  <c r="D237" i="4"/>
  <c r="E79" i="5"/>
  <c r="K79" i="5"/>
  <c r="L237" i="4"/>
  <c r="Q79" i="5"/>
  <c r="M237" i="4"/>
  <c r="R79" i="5"/>
  <c r="T79" i="5"/>
  <c r="U79" i="5"/>
  <c r="P237" i="4"/>
  <c r="W79" i="5"/>
  <c r="Q237" i="4"/>
  <c r="X79" i="5"/>
  <c r="S237" i="4"/>
  <c r="AA79" i="5"/>
  <c r="AH237" i="4"/>
  <c r="T237" i="4" a="1"/>
  <c r="T237" i="4"/>
  <c r="AC79" i="5"/>
  <c r="U237" i="4" a="1"/>
  <c r="U237" i="4"/>
  <c r="AD79" i="5"/>
  <c r="AF79" i="5"/>
  <c r="AG79" i="5"/>
  <c r="X237" i="4"/>
  <c r="AI79" i="5"/>
  <c r="Y237" i="4"/>
  <c r="AJ79" i="5"/>
  <c r="Z237" i="4"/>
  <c r="AL79" i="5"/>
  <c r="F79" i="5"/>
  <c r="H79" i="5"/>
  <c r="I79" i="5"/>
  <c r="L79" i="5"/>
  <c r="N79" i="5"/>
  <c r="O79" i="5"/>
  <c r="Z79" i="5"/>
  <c r="AN79" i="5"/>
  <c r="B238" i="4"/>
  <c r="C238" i="4"/>
  <c r="C80" i="5"/>
  <c r="D238" i="4"/>
  <c r="E80" i="5"/>
  <c r="K80" i="5"/>
  <c r="L238" i="4"/>
  <c r="Q80" i="5"/>
  <c r="M238" i="4"/>
  <c r="R80" i="5"/>
  <c r="N21" i="2"/>
  <c r="N238" i="4"/>
  <c r="T80" i="5"/>
  <c r="O238" i="4"/>
  <c r="U80" i="5"/>
  <c r="P238" i="4"/>
  <c r="W80" i="5"/>
  <c r="Q238" i="4"/>
  <c r="X80" i="5"/>
  <c r="S238" i="4"/>
  <c r="AA80" i="5"/>
  <c r="AH238" i="4"/>
  <c r="T238" i="4" a="1"/>
  <c r="T238" i="4"/>
  <c r="AC80" i="5"/>
  <c r="U238" i="4" a="1"/>
  <c r="U238" i="4"/>
  <c r="AD80" i="5"/>
  <c r="AF80" i="5"/>
  <c r="AG80" i="5"/>
  <c r="X238" i="4"/>
  <c r="AI80" i="5"/>
  <c r="Y238" i="4"/>
  <c r="AJ80" i="5"/>
  <c r="Z238" i="4"/>
  <c r="AL80" i="5"/>
  <c r="F80" i="5"/>
  <c r="H80" i="5"/>
  <c r="I80" i="5"/>
  <c r="L80" i="5"/>
  <c r="N80" i="5"/>
  <c r="O80" i="5"/>
  <c r="Z80" i="5"/>
  <c r="AN80" i="5"/>
  <c r="C239" i="4"/>
  <c r="C81" i="5"/>
  <c r="D239" i="4"/>
  <c r="E81" i="5"/>
  <c r="K81" i="5"/>
  <c r="L239" i="4"/>
  <c r="Q81" i="5"/>
  <c r="M239" i="4"/>
  <c r="R81" i="5"/>
  <c r="T81" i="5"/>
  <c r="U81" i="5"/>
  <c r="P239" i="4"/>
  <c r="W81" i="5"/>
  <c r="Q239" i="4"/>
  <c r="X81" i="5"/>
  <c r="S239" i="4"/>
  <c r="AA81" i="5"/>
  <c r="AH239" i="4"/>
  <c r="T239" i="4" a="1"/>
  <c r="T239" i="4"/>
  <c r="AC81" i="5"/>
  <c r="U239" i="4" a="1"/>
  <c r="U239" i="4"/>
  <c r="AD81" i="5"/>
  <c r="AF81" i="5"/>
  <c r="AG81" i="5"/>
  <c r="X239" i="4"/>
  <c r="AI81" i="5"/>
  <c r="Y239" i="4"/>
  <c r="AJ81" i="5"/>
  <c r="Z239" i="4"/>
  <c r="AL81" i="5"/>
  <c r="F81" i="5"/>
  <c r="H81" i="5"/>
  <c r="I81" i="5"/>
  <c r="L81" i="5"/>
  <c r="N81" i="5"/>
  <c r="O81" i="5"/>
  <c r="Z81" i="5"/>
  <c r="AN81" i="5"/>
  <c r="B240" i="4"/>
  <c r="C240" i="4"/>
  <c r="C82" i="5"/>
  <c r="D240" i="4"/>
  <c r="E82" i="5"/>
  <c r="K82" i="5"/>
  <c r="L240" i="4"/>
  <c r="Q82" i="5"/>
  <c r="M240" i="4"/>
  <c r="R82" i="5"/>
  <c r="T82" i="5"/>
  <c r="U82" i="5"/>
  <c r="P240" i="4"/>
  <c r="W82" i="5"/>
  <c r="Q240" i="4"/>
  <c r="X82" i="5"/>
  <c r="S240" i="4"/>
  <c r="AA82" i="5"/>
  <c r="AH240" i="4"/>
  <c r="T240" i="4" a="1"/>
  <c r="T240" i="4"/>
  <c r="AC82" i="5"/>
  <c r="U240" i="4" a="1"/>
  <c r="U240" i="4"/>
  <c r="AD82" i="5"/>
  <c r="AF82" i="5"/>
  <c r="AG82" i="5"/>
  <c r="X240" i="4"/>
  <c r="AI82" i="5"/>
  <c r="Y240" i="4"/>
  <c r="AJ82" i="5"/>
  <c r="Z240" i="4"/>
  <c r="AL82" i="5"/>
  <c r="F82" i="5"/>
  <c r="H82" i="5"/>
  <c r="I82" i="5"/>
  <c r="L82" i="5"/>
  <c r="N82" i="5"/>
  <c r="O82" i="5"/>
  <c r="Z82" i="5"/>
  <c r="AN82" i="5"/>
  <c r="B241" i="4"/>
  <c r="C241" i="4"/>
  <c r="C83" i="5"/>
  <c r="D241" i="4"/>
  <c r="E83" i="5"/>
  <c r="K83" i="5"/>
  <c r="L241" i="4"/>
  <c r="Q83" i="5"/>
  <c r="M241" i="4"/>
  <c r="R83" i="5"/>
  <c r="N241" i="4"/>
  <c r="T83" i="5"/>
  <c r="O241" i="4"/>
  <c r="U83" i="5"/>
  <c r="P241" i="4"/>
  <c r="W83" i="5"/>
  <c r="Q241" i="4"/>
  <c r="X83" i="5"/>
  <c r="S241" i="4"/>
  <c r="AA83" i="5"/>
  <c r="AH241" i="4"/>
  <c r="T241" i="4" a="1"/>
  <c r="T241" i="4"/>
  <c r="AC83" i="5"/>
  <c r="U241" i="4" a="1"/>
  <c r="U241" i="4"/>
  <c r="AD83" i="5"/>
  <c r="AF83" i="5"/>
  <c r="AG83" i="5"/>
  <c r="X241" i="4"/>
  <c r="AI83" i="5"/>
  <c r="Y241" i="4"/>
  <c r="AJ83" i="5"/>
  <c r="Z241" i="4"/>
  <c r="AL83" i="5"/>
  <c r="F83" i="5"/>
  <c r="H83" i="5"/>
  <c r="I83" i="5"/>
  <c r="L83" i="5"/>
  <c r="N83" i="5"/>
  <c r="O83" i="5"/>
  <c r="Z83" i="5"/>
  <c r="AN83" i="5"/>
  <c r="B243" i="4"/>
  <c r="C243" i="4"/>
  <c r="C84" i="5"/>
  <c r="D243" i="4"/>
  <c r="E84" i="5"/>
  <c r="K84" i="5"/>
  <c r="L243" i="4"/>
  <c r="Q84" i="5"/>
  <c r="M243" i="4"/>
  <c r="R84" i="5"/>
  <c r="T84" i="5"/>
  <c r="U84" i="5"/>
  <c r="P243" i="4"/>
  <c r="W84" i="5"/>
  <c r="Q243" i="4"/>
  <c r="X84" i="5"/>
  <c r="S243" i="4"/>
  <c r="AA84" i="5"/>
  <c r="AH243" i="4"/>
  <c r="T243" i="4" a="1"/>
  <c r="T243" i="4"/>
  <c r="AC84" i="5"/>
  <c r="U243" i="4" a="1"/>
  <c r="U243" i="4"/>
  <c r="AD84" i="5"/>
  <c r="AF84" i="5"/>
  <c r="AG84" i="5"/>
  <c r="X243" i="4"/>
  <c r="AI84" i="5"/>
  <c r="Y243" i="4"/>
  <c r="AJ84" i="5"/>
  <c r="Z243" i="4"/>
  <c r="AL84" i="5"/>
  <c r="F84" i="5"/>
  <c r="H84" i="5"/>
  <c r="I84" i="5"/>
  <c r="L84" i="5"/>
  <c r="N84" i="5"/>
  <c r="O84" i="5"/>
  <c r="Z84" i="5"/>
  <c r="AN84" i="5"/>
  <c r="C245" i="4"/>
  <c r="C85" i="5"/>
  <c r="D245" i="4"/>
  <c r="E85" i="5"/>
  <c r="E245" i="4"/>
  <c r="F85" i="5"/>
  <c r="F245" i="4"/>
  <c r="H85" i="5"/>
  <c r="I85" i="5"/>
  <c r="H245" i="4"/>
  <c r="K85" i="5"/>
  <c r="L245" i="4"/>
  <c r="Q85" i="5"/>
  <c r="M245" i="4"/>
  <c r="R85" i="5"/>
  <c r="T85" i="5"/>
  <c r="U85" i="5"/>
  <c r="P245" i="4"/>
  <c r="W85" i="5"/>
  <c r="Q245" i="4"/>
  <c r="X85" i="5"/>
  <c r="S245" i="4"/>
  <c r="AA85" i="5"/>
  <c r="AH245" i="4"/>
  <c r="T245" i="4" a="1"/>
  <c r="T245" i="4"/>
  <c r="AC85" i="5"/>
  <c r="U245" i="4" a="1"/>
  <c r="U245" i="4"/>
  <c r="AD85" i="5"/>
  <c r="AF85" i="5"/>
  <c r="AG85" i="5"/>
  <c r="X245" i="4"/>
  <c r="AI85" i="5"/>
  <c r="Y245" i="4"/>
  <c r="AJ85" i="5"/>
  <c r="Z245" i="4"/>
  <c r="AL85" i="5"/>
  <c r="L85" i="5"/>
  <c r="N85" i="5"/>
  <c r="O85" i="5"/>
  <c r="Z85" i="5"/>
  <c r="AN85" i="5"/>
  <c r="C189" i="4"/>
  <c r="C86" i="5"/>
  <c r="D189" i="4"/>
  <c r="E86" i="5"/>
  <c r="E189" i="4"/>
  <c r="F86" i="5"/>
  <c r="F189" i="4"/>
  <c r="H86" i="5"/>
  <c r="I86" i="5"/>
  <c r="H189" i="4"/>
  <c r="K86" i="5"/>
  <c r="L189" i="4"/>
  <c r="Q86" i="5"/>
  <c r="M189" i="4"/>
  <c r="R86" i="5"/>
  <c r="T86" i="5"/>
  <c r="U86" i="5"/>
  <c r="P189" i="4"/>
  <c r="W86" i="5"/>
  <c r="Q189" i="4"/>
  <c r="X86" i="5"/>
  <c r="S189" i="4"/>
  <c r="AA86" i="5"/>
  <c r="AH189" i="4"/>
  <c r="T189" i="4" a="1"/>
  <c r="T189" i="4"/>
  <c r="AC86" i="5"/>
  <c r="U189" i="4" a="1"/>
  <c r="U189" i="4"/>
  <c r="AD86" i="5"/>
  <c r="AF86" i="5"/>
  <c r="AG86" i="5"/>
  <c r="X189" i="4"/>
  <c r="AI86" i="5"/>
  <c r="Y189" i="4"/>
  <c r="AJ86" i="5"/>
  <c r="Z189" i="4"/>
  <c r="AL86" i="5"/>
  <c r="L86" i="5"/>
  <c r="N86" i="5"/>
  <c r="O86" i="5"/>
  <c r="Z86" i="5"/>
  <c r="AN86" i="5"/>
  <c r="B121" i="4"/>
  <c r="C121" i="4"/>
  <c r="C87" i="5"/>
  <c r="D121" i="4"/>
  <c r="E87" i="5"/>
  <c r="E121" i="4"/>
  <c r="F87" i="5"/>
  <c r="F121" i="4"/>
  <c r="H87" i="5"/>
  <c r="I87" i="5"/>
  <c r="H121" i="4"/>
  <c r="K87" i="5"/>
  <c r="L121" i="4"/>
  <c r="Q87" i="5"/>
  <c r="M121" i="4"/>
  <c r="R87" i="5"/>
  <c r="T87" i="5"/>
  <c r="U87" i="5"/>
  <c r="P121" i="4"/>
  <c r="W87" i="5"/>
  <c r="Q121" i="4"/>
  <c r="X87" i="5"/>
  <c r="S121" i="4"/>
  <c r="AA87" i="5"/>
  <c r="AH121" i="4"/>
  <c r="T121" i="4" a="1"/>
  <c r="T121" i="4"/>
  <c r="AC87" i="5"/>
  <c r="U121" i="4" a="1"/>
  <c r="U121" i="4"/>
  <c r="AD87" i="5"/>
  <c r="AF87" i="5"/>
  <c r="AG87" i="5"/>
  <c r="X121" i="4"/>
  <c r="AI87" i="5"/>
  <c r="Y121" i="4"/>
  <c r="AJ87" i="5"/>
  <c r="Z121" i="4"/>
  <c r="AL87" i="5"/>
  <c r="L87" i="5"/>
  <c r="N87" i="5"/>
  <c r="O87" i="5"/>
  <c r="Z87" i="5"/>
  <c r="AN87" i="5"/>
  <c r="B64" i="4"/>
  <c r="S64" i="4"/>
  <c r="AA88" i="5"/>
  <c r="P64" i="4"/>
  <c r="W88" i="5"/>
  <c r="K18" i="2"/>
  <c r="K27" i="2"/>
  <c r="K64" i="4"/>
  <c r="O88" i="5"/>
  <c r="H64" i="4"/>
  <c r="K88" i="5"/>
  <c r="C64" i="4"/>
  <c r="C88" i="5"/>
  <c r="D64" i="4"/>
  <c r="E88" i="5"/>
  <c r="G18" i="2"/>
  <c r="G27" i="2"/>
  <c r="G64" i="4"/>
  <c r="I88" i="5"/>
  <c r="I18" i="2"/>
  <c r="I64" i="4"/>
  <c r="L88" i="5"/>
  <c r="J18" i="2"/>
  <c r="J64" i="4"/>
  <c r="N88" i="5"/>
  <c r="L64" i="4"/>
  <c r="Q88" i="5"/>
  <c r="O64" i="4"/>
  <c r="U88" i="5"/>
  <c r="Q64" i="4"/>
  <c r="X88" i="5"/>
  <c r="R64" i="4"/>
  <c r="Z88" i="5"/>
  <c r="AH64" i="4"/>
  <c r="T64" i="4" a="1"/>
  <c r="T64" i="4"/>
  <c r="AC88" i="5"/>
  <c r="U64" i="4" a="1"/>
  <c r="U64" i="4"/>
  <c r="AD88" i="5"/>
  <c r="V18" i="2"/>
  <c r="V27" i="2"/>
  <c r="V64" i="4"/>
  <c r="AF88" i="5"/>
  <c r="W18" i="2"/>
  <c r="W27" i="2"/>
  <c r="W64" i="4"/>
  <c r="AG88" i="5"/>
  <c r="X64" i="4"/>
  <c r="AI88" i="5"/>
  <c r="Y64" i="4"/>
  <c r="AJ88" i="5"/>
  <c r="Z64" i="4"/>
  <c r="AL88" i="5"/>
  <c r="R88" i="5"/>
  <c r="T88" i="5"/>
  <c r="F88" i="5"/>
  <c r="H88" i="5"/>
  <c r="AN88" i="5"/>
  <c r="S65" i="4"/>
  <c r="AA89" i="5"/>
  <c r="P65" i="4"/>
  <c r="W89" i="5"/>
  <c r="O89" i="5"/>
  <c r="K89" i="5"/>
  <c r="C65" i="4"/>
  <c r="C89" i="5"/>
  <c r="D65" i="4"/>
  <c r="E89" i="5"/>
  <c r="L89" i="5"/>
  <c r="N89" i="5"/>
  <c r="L65" i="4"/>
  <c r="Q89" i="5"/>
  <c r="U89" i="5"/>
  <c r="Q65" i="4"/>
  <c r="X89" i="5"/>
  <c r="R65" i="4"/>
  <c r="Z89" i="5"/>
  <c r="AH65" i="4"/>
  <c r="T65" i="4" a="1"/>
  <c r="T65" i="4"/>
  <c r="AC89" i="5"/>
  <c r="U65" i="4" a="1"/>
  <c r="U65" i="4"/>
  <c r="AD89" i="5"/>
  <c r="AF89" i="5"/>
  <c r="AG89" i="5"/>
  <c r="X65" i="4"/>
  <c r="AI89" i="5"/>
  <c r="Y65" i="4"/>
  <c r="AJ89" i="5"/>
  <c r="Z65" i="4"/>
  <c r="AL89" i="5"/>
  <c r="R89" i="5"/>
  <c r="T89" i="5"/>
  <c r="F89" i="5"/>
  <c r="H89" i="5"/>
  <c r="I89" i="5"/>
  <c r="AN89" i="5"/>
  <c r="O90" i="5"/>
  <c r="K90" i="5"/>
  <c r="B246" i="4"/>
  <c r="C246" i="4"/>
  <c r="C90" i="5"/>
  <c r="D246" i="4"/>
  <c r="E90" i="5"/>
  <c r="I2" i="2"/>
  <c r="I246" i="4"/>
  <c r="L90" i="5"/>
  <c r="J2" i="2"/>
  <c r="J246" i="4"/>
  <c r="N90" i="5"/>
  <c r="L246" i="4"/>
  <c r="Q90" i="5"/>
  <c r="M246" i="4"/>
  <c r="R90" i="5"/>
  <c r="T90" i="5"/>
  <c r="U90" i="5"/>
  <c r="P246" i="4"/>
  <c r="W90" i="5"/>
  <c r="Q246" i="4"/>
  <c r="X90" i="5"/>
  <c r="S246" i="4"/>
  <c r="AA90" i="5"/>
  <c r="AH246" i="4"/>
  <c r="T246" i="4" a="1"/>
  <c r="T246" i="4"/>
  <c r="AC90" i="5"/>
  <c r="U246" i="4" a="1"/>
  <c r="U246" i="4"/>
  <c r="AD90" i="5"/>
  <c r="AF90" i="5"/>
  <c r="AG90" i="5"/>
  <c r="X246" i="4"/>
  <c r="AI90" i="5"/>
  <c r="Y246" i="4"/>
  <c r="AJ90" i="5"/>
  <c r="Z246" i="4"/>
  <c r="AL90" i="5"/>
  <c r="F90" i="5"/>
  <c r="H90" i="5"/>
  <c r="I90" i="5"/>
  <c r="Z90" i="5"/>
  <c r="AN90" i="5"/>
  <c r="B269" i="4"/>
  <c r="C269" i="4"/>
  <c r="C91" i="5"/>
  <c r="D269" i="4"/>
  <c r="E91" i="5"/>
  <c r="K91" i="5"/>
  <c r="L269" i="4"/>
  <c r="Q91" i="5"/>
  <c r="M269" i="4"/>
  <c r="R91" i="5"/>
  <c r="T91" i="5"/>
  <c r="U91" i="5"/>
  <c r="P269" i="4"/>
  <c r="W91" i="5"/>
  <c r="Q269" i="4"/>
  <c r="X91" i="5"/>
  <c r="S269" i="4"/>
  <c r="AA91" i="5"/>
  <c r="AH269" i="4"/>
  <c r="T269" i="4" a="1"/>
  <c r="T269" i="4"/>
  <c r="AC91" i="5"/>
  <c r="U269" i="4" a="1"/>
  <c r="U269" i="4"/>
  <c r="AD91" i="5"/>
  <c r="AF91" i="5"/>
  <c r="AG91" i="5"/>
  <c r="X269" i="4"/>
  <c r="AI91" i="5"/>
  <c r="Y269" i="4"/>
  <c r="AJ91" i="5"/>
  <c r="Z269" i="4"/>
  <c r="AL91" i="5"/>
  <c r="F91" i="5"/>
  <c r="H91" i="5"/>
  <c r="I91" i="5"/>
  <c r="L91" i="5"/>
  <c r="N91" i="5"/>
  <c r="O91" i="5"/>
  <c r="Z91" i="5"/>
  <c r="AN91" i="5"/>
  <c r="B270" i="4"/>
  <c r="C270" i="4"/>
  <c r="C92" i="5"/>
  <c r="D270" i="4"/>
  <c r="E92" i="5"/>
  <c r="K92" i="5"/>
  <c r="L270" i="4"/>
  <c r="Q92" i="5"/>
  <c r="M270" i="4"/>
  <c r="R92" i="5"/>
  <c r="N19" i="2"/>
  <c r="N270" i="4"/>
  <c r="T92" i="5"/>
  <c r="O270" i="4"/>
  <c r="U92" i="5"/>
  <c r="P270" i="4"/>
  <c r="W92" i="5"/>
  <c r="Q270" i="4"/>
  <c r="X92" i="5"/>
  <c r="S270" i="4"/>
  <c r="AA92" i="5"/>
  <c r="AH270" i="4"/>
  <c r="T270" i="4" a="1"/>
  <c r="T270" i="4"/>
  <c r="AC92" i="5"/>
  <c r="U270" i="4" a="1"/>
  <c r="U270" i="4"/>
  <c r="AD92" i="5"/>
  <c r="AF92" i="5"/>
  <c r="AG92" i="5"/>
  <c r="X270" i="4"/>
  <c r="AI92" i="5"/>
  <c r="Y270" i="4"/>
  <c r="AJ92" i="5"/>
  <c r="Z270" i="4"/>
  <c r="AL92" i="5"/>
  <c r="F92" i="5"/>
  <c r="H92" i="5"/>
  <c r="I92" i="5"/>
  <c r="L92" i="5"/>
  <c r="N92" i="5"/>
  <c r="O92" i="5"/>
  <c r="Z92" i="5"/>
  <c r="AN92" i="5"/>
  <c r="B271" i="4"/>
  <c r="C271" i="4"/>
  <c r="C93" i="5"/>
  <c r="D271" i="4"/>
  <c r="E93" i="5"/>
  <c r="K93" i="5"/>
  <c r="L271" i="4"/>
  <c r="Q93" i="5"/>
  <c r="M271" i="4"/>
  <c r="R93" i="5"/>
  <c r="T93" i="5"/>
  <c r="U93" i="5"/>
  <c r="P271" i="4"/>
  <c r="W93" i="5"/>
  <c r="Q271" i="4"/>
  <c r="X93" i="5"/>
  <c r="S271" i="4"/>
  <c r="AA93" i="5"/>
  <c r="AH271" i="4"/>
  <c r="T271" i="4" a="1"/>
  <c r="T271" i="4"/>
  <c r="AC93" i="5"/>
  <c r="U271" i="4" a="1"/>
  <c r="U271" i="4"/>
  <c r="AD93" i="5"/>
  <c r="AF93" i="5"/>
  <c r="AG93" i="5"/>
  <c r="X271" i="4"/>
  <c r="AI93" i="5"/>
  <c r="Y271" i="4"/>
  <c r="AJ93" i="5"/>
  <c r="Z271" i="4"/>
  <c r="AL93" i="5"/>
  <c r="F93" i="5"/>
  <c r="H93" i="5"/>
  <c r="I93" i="5"/>
  <c r="L93" i="5"/>
  <c r="N93" i="5"/>
  <c r="O93" i="5"/>
  <c r="Z93" i="5"/>
  <c r="AN93" i="5"/>
  <c r="B203" i="4"/>
  <c r="C203" i="4"/>
  <c r="C94" i="5"/>
  <c r="D203" i="4"/>
  <c r="E94" i="5"/>
  <c r="K94" i="5"/>
  <c r="L203" i="4"/>
  <c r="Q94" i="5"/>
  <c r="M203" i="4"/>
  <c r="R94" i="5"/>
  <c r="T94" i="5"/>
  <c r="U94" i="5"/>
  <c r="P203" i="4"/>
  <c r="W94" i="5"/>
  <c r="Q203" i="4"/>
  <c r="X94" i="5"/>
  <c r="AA94" i="5"/>
  <c r="AH203" i="4"/>
  <c r="T203" i="4" a="1"/>
  <c r="T203" i="4"/>
  <c r="AC94" i="5"/>
  <c r="U203" i="4" a="1"/>
  <c r="U203" i="4"/>
  <c r="AD94" i="5"/>
  <c r="AF94" i="5"/>
  <c r="AG94" i="5"/>
  <c r="Y203" i="4"/>
  <c r="AJ94" i="5"/>
  <c r="Z203" i="4"/>
  <c r="AL94" i="5"/>
  <c r="F94" i="5"/>
  <c r="H94" i="5"/>
  <c r="I94" i="5"/>
  <c r="L94" i="5"/>
  <c r="N94" i="5"/>
  <c r="O94" i="5"/>
  <c r="Z94" i="5"/>
  <c r="AN94" i="5"/>
  <c r="C67" i="4"/>
  <c r="C95" i="5"/>
  <c r="D67" i="4"/>
  <c r="E95" i="5"/>
  <c r="H67" i="4"/>
  <c r="K95" i="5"/>
  <c r="L67" i="4"/>
  <c r="Q95" i="5"/>
  <c r="M67" i="4"/>
  <c r="R95" i="5"/>
  <c r="T95" i="5"/>
  <c r="U95" i="5"/>
  <c r="P67" i="4"/>
  <c r="W95" i="5"/>
  <c r="Q67" i="4"/>
  <c r="X95" i="5"/>
  <c r="AA95" i="5"/>
  <c r="AH67" i="4"/>
  <c r="T67" i="4" a="1"/>
  <c r="T67" i="4"/>
  <c r="AC95" i="5"/>
  <c r="U67" i="4" a="1"/>
  <c r="U67" i="4"/>
  <c r="AD95" i="5"/>
  <c r="AF95" i="5"/>
  <c r="AG95" i="5"/>
  <c r="X67" i="4"/>
  <c r="AI95" i="5"/>
  <c r="Y67" i="4"/>
  <c r="AJ95" i="5"/>
  <c r="Z67" i="4"/>
  <c r="AL95" i="5"/>
  <c r="F95" i="5"/>
  <c r="H95" i="5"/>
  <c r="I95" i="5"/>
  <c r="L95" i="5"/>
  <c r="N95" i="5"/>
  <c r="O95" i="5"/>
  <c r="Z95" i="5"/>
  <c r="AN95" i="5"/>
  <c r="B272" i="4"/>
  <c r="C272" i="4"/>
  <c r="C96" i="5"/>
  <c r="D272" i="4"/>
  <c r="E96" i="5"/>
  <c r="K96" i="5"/>
  <c r="L272" i="4"/>
  <c r="Q96" i="5"/>
  <c r="M272" i="4"/>
  <c r="R96" i="5"/>
  <c r="T96" i="5"/>
  <c r="U96" i="5"/>
  <c r="P272" i="4"/>
  <c r="W96" i="5"/>
  <c r="Q272" i="4"/>
  <c r="X96" i="5"/>
  <c r="AA96" i="5"/>
  <c r="AH272" i="4"/>
  <c r="T272" i="4" a="1"/>
  <c r="T272" i="4"/>
  <c r="AC96" i="5"/>
  <c r="U272" i="4" a="1"/>
  <c r="U272" i="4"/>
  <c r="AD96" i="5"/>
  <c r="AF96" i="5"/>
  <c r="AG96" i="5"/>
  <c r="Y272" i="4"/>
  <c r="AJ96" i="5"/>
  <c r="Z272" i="4"/>
  <c r="AL96" i="5"/>
  <c r="F96" i="5"/>
  <c r="H96" i="5"/>
  <c r="I96" i="5"/>
  <c r="L96" i="5"/>
  <c r="N96" i="5"/>
  <c r="O96" i="5"/>
  <c r="Z96" i="5"/>
  <c r="AN96" i="5"/>
  <c r="C273" i="4"/>
  <c r="C97" i="5"/>
  <c r="D273" i="4"/>
  <c r="E97" i="5"/>
  <c r="K97" i="5"/>
  <c r="L273" i="4"/>
  <c r="Q97" i="5"/>
  <c r="M273" i="4"/>
  <c r="R97" i="5"/>
  <c r="T97" i="5"/>
  <c r="U97" i="5"/>
  <c r="P273" i="4"/>
  <c r="W97" i="5"/>
  <c r="Q273" i="4"/>
  <c r="X97" i="5"/>
  <c r="S273" i="4"/>
  <c r="AA97" i="5"/>
  <c r="AH273" i="4"/>
  <c r="T273" i="4" a="1"/>
  <c r="T273" i="4"/>
  <c r="AC97" i="5"/>
  <c r="U273" i="4" a="1"/>
  <c r="U273" i="4"/>
  <c r="AD97" i="5"/>
  <c r="AF97" i="5"/>
  <c r="AG97" i="5"/>
  <c r="X273" i="4"/>
  <c r="AI97" i="5"/>
  <c r="Y273" i="4"/>
  <c r="AJ97" i="5"/>
  <c r="Z273" i="4"/>
  <c r="AL97" i="5"/>
  <c r="F97" i="5"/>
  <c r="I97" i="5"/>
  <c r="L97" i="5"/>
  <c r="N97" i="5"/>
  <c r="O97" i="5"/>
  <c r="Z97" i="5"/>
  <c r="AN97" i="5"/>
  <c r="B274" i="4"/>
  <c r="C274" i="4"/>
  <c r="C98" i="5"/>
  <c r="D274" i="4"/>
  <c r="E98" i="5"/>
  <c r="H274" i="4"/>
  <c r="K98" i="5"/>
  <c r="L274" i="4"/>
  <c r="Q98" i="5"/>
  <c r="M274" i="4"/>
  <c r="R98" i="5"/>
  <c r="N22" i="2"/>
  <c r="N274" i="4"/>
  <c r="T98" i="5"/>
  <c r="O274" i="4"/>
  <c r="U98" i="5"/>
  <c r="P274" i="4"/>
  <c r="W98" i="5"/>
  <c r="Q274" i="4"/>
  <c r="X98" i="5"/>
  <c r="S274" i="4"/>
  <c r="AA98" i="5"/>
  <c r="AH274" i="4"/>
  <c r="T274" i="4" a="1"/>
  <c r="T274" i="4"/>
  <c r="AC98" i="5"/>
  <c r="U274" i="4" a="1"/>
  <c r="U274" i="4"/>
  <c r="AD98" i="5"/>
  <c r="AF98" i="5"/>
  <c r="AG98" i="5"/>
  <c r="X274" i="4"/>
  <c r="AI98" i="5"/>
  <c r="Y274" i="4"/>
  <c r="AJ98" i="5"/>
  <c r="Z274" i="4"/>
  <c r="AL98" i="5"/>
  <c r="F98" i="5"/>
  <c r="I98" i="5"/>
  <c r="L98" i="5"/>
  <c r="N98" i="5"/>
  <c r="O98" i="5"/>
  <c r="Z98" i="5"/>
  <c r="AN98" i="5"/>
  <c r="O99" i="5"/>
  <c r="B152" i="4"/>
  <c r="H152" i="4"/>
  <c r="K99" i="5"/>
  <c r="C152" i="4"/>
  <c r="C99" i="5"/>
  <c r="D152" i="4"/>
  <c r="E99" i="5"/>
  <c r="I22" i="2"/>
  <c r="I152" i="4"/>
  <c r="L99" i="5"/>
  <c r="J22" i="2"/>
  <c r="J152" i="4"/>
  <c r="N99" i="5"/>
  <c r="L152" i="4"/>
  <c r="Q99" i="5"/>
  <c r="M152" i="4"/>
  <c r="R99" i="5"/>
  <c r="T99" i="5"/>
  <c r="U99" i="5"/>
  <c r="P152" i="4"/>
  <c r="W99" i="5"/>
  <c r="Q152" i="4"/>
  <c r="X99" i="5"/>
  <c r="S152" i="4"/>
  <c r="AA99" i="5"/>
  <c r="AH152" i="4"/>
  <c r="T152" i="4" a="1"/>
  <c r="T152" i="4"/>
  <c r="AC99" i="5"/>
  <c r="U152" i="4" a="1"/>
  <c r="U152" i="4"/>
  <c r="AD99" i="5"/>
  <c r="AF99" i="5"/>
  <c r="AG99" i="5"/>
  <c r="X152" i="4"/>
  <c r="AI99" i="5"/>
  <c r="Y152" i="4"/>
  <c r="AJ99" i="5"/>
  <c r="Z152" i="4"/>
  <c r="AL99" i="5"/>
  <c r="H99" i="5"/>
  <c r="I99" i="5"/>
  <c r="F99" i="5"/>
  <c r="Z99" i="5"/>
  <c r="AN99" i="5"/>
  <c r="C23" i="2"/>
  <c r="B16" i="4"/>
  <c r="C16" i="4"/>
  <c r="C100" i="5"/>
  <c r="D23" i="2"/>
  <c r="D16" i="4"/>
  <c r="E100" i="5"/>
  <c r="E23" i="2"/>
  <c r="E22" i="2"/>
  <c r="E16" i="4"/>
  <c r="F100" i="5"/>
  <c r="F23" i="2"/>
  <c r="F22" i="2"/>
  <c r="F16" i="4"/>
  <c r="H100" i="5"/>
  <c r="I100" i="5"/>
  <c r="H23" i="2"/>
  <c r="H16" i="4"/>
  <c r="K100" i="5"/>
  <c r="L23" i="2"/>
  <c r="L16" i="4"/>
  <c r="Q100" i="5"/>
  <c r="M23" i="2"/>
  <c r="M16" i="4"/>
  <c r="R100" i="5"/>
  <c r="N23" i="2"/>
  <c r="N16" i="4"/>
  <c r="T100" i="5"/>
  <c r="O23" i="2"/>
  <c r="O16" i="4"/>
  <c r="U100" i="5"/>
  <c r="P23" i="2"/>
  <c r="P16" i="4"/>
  <c r="W100" i="5"/>
  <c r="Q23" i="2"/>
  <c r="Q16" i="4"/>
  <c r="X100" i="5"/>
  <c r="S23" i="2"/>
  <c r="S16" i="4"/>
  <c r="AA100" i="5"/>
  <c r="AH16" i="4"/>
  <c r="T16" i="4" a="1"/>
  <c r="T16" i="4"/>
  <c r="AC100" i="5"/>
  <c r="U16" i="4" a="1"/>
  <c r="U16" i="4"/>
  <c r="AD100" i="5"/>
  <c r="AF100" i="5"/>
  <c r="AG100" i="5"/>
  <c r="X23" i="2"/>
  <c r="X16" i="4"/>
  <c r="AI100" i="5"/>
  <c r="Y23" i="2"/>
  <c r="Y16" i="4"/>
  <c r="AJ100" i="5"/>
  <c r="Z23" i="2"/>
  <c r="Z16" i="4"/>
  <c r="AL100" i="5"/>
  <c r="L100" i="5"/>
  <c r="N100" i="5"/>
  <c r="O100" i="5"/>
  <c r="Z100" i="5"/>
  <c r="AN100" i="5"/>
  <c r="C8" i="4"/>
  <c r="C101" i="5"/>
  <c r="D8" i="4"/>
  <c r="E101" i="5"/>
  <c r="E8" i="4"/>
  <c r="F101" i="5"/>
  <c r="F8" i="4"/>
  <c r="H101" i="5"/>
  <c r="I101" i="5"/>
  <c r="H44" i="2"/>
  <c r="H8" i="4"/>
  <c r="K101" i="5"/>
  <c r="L8" i="4"/>
  <c r="Q101" i="5"/>
  <c r="M8" i="4"/>
  <c r="R101" i="5"/>
  <c r="T101" i="5"/>
  <c r="U101" i="5"/>
  <c r="P8" i="4"/>
  <c r="W101" i="5"/>
  <c r="Q8" i="4"/>
  <c r="X101" i="5"/>
  <c r="S44" i="2"/>
  <c r="S8" i="4"/>
  <c r="AA101" i="5"/>
  <c r="AH8" i="4"/>
  <c r="T8" i="4" a="1"/>
  <c r="T8" i="4"/>
  <c r="AC101" i="5"/>
  <c r="U8" i="4" a="1"/>
  <c r="U8" i="4"/>
  <c r="AD101" i="5"/>
  <c r="AF101" i="5"/>
  <c r="AG101" i="5"/>
  <c r="X8" i="4"/>
  <c r="AI101" i="5"/>
  <c r="Y8" i="4"/>
  <c r="AJ101" i="5"/>
  <c r="Z8" i="4"/>
  <c r="AL101" i="5"/>
  <c r="L101" i="5"/>
  <c r="N101" i="5"/>
  <c r="O101" i="5"/>
  <c r="Z101" i="5"/>
  <c r="AN101" i="5"/>
  <c r="C9" i="4"/>
  <c r="C102" i="5"/>
  <c r="D9" i="4"/>
  <c r="E102" i="5"/>
  <c r="E9" i="4"/>
  <c r="F102" i="5"/>
  <c r="F9" i="4"/>
  <c r="H102" i="5"/>
  <c r="I102" i="5"/>
  <c r="H9" i="4"/>
  <c r="K102" i="5"/>
  <c r="L9" i="4"/>
  <c r="Q102" i="5"/>
  <c r="M9" i="4"/>
  <c r="R102" i="5"/>
  <c r="T102" i="5"/>
  <c r="U102" i="5"/>
  <c r="P9" i="4"/>
  <c r="W102" i="5"/>
  <c r="Q9" i="4"/>
  <c r="X102" i="5"/>
  <c r="S9" i="4"/>
  <c r="AA102" i="5"/>
  <c r="AH9" i="4"/>
  <c r="T9" i="4" a="1"/>
  <c r="T9" i="4"/>
  <c r="AC102" i="5"/>
  <c r="U9" i="4" a="1"/>
  <c r="U9" i="4"/>
  <c r="AD102" i="5"/>
  <c r="AF102" i="5"/>
  <c r="AG102" i="5"/>
  <c r="X9" i="4"/>
  <c r="AI102" i="5"/>
  <c r="Y9" i="4"/>
  <c r="AJ102" i="5"/>
  <c r="Z9" i="4"/>
  <c r="AL102" i="5"/>
  <c r="L102" i="5"/>
  <c r="N102" i="5"/>
  <c r="O102" i="5"/>
  <c r="Z102" i="5"/>
  <c r="AN102" i="5"/>
  <c r="C153" i="4"/>
  <c r="C103" i="5"/>
  <c r="D153" i="4"/>
  <c r="E103" i="5"/>
  <c r="E153" i="4"/>
  <c r="F103" i="5"/>
  <c r="F153" i="4"/>
  <c r="H103" i="5"/>
  <c r="I103" i="5"/>
  <c r="K103" i="5"/>
  <c r="L153" i="4"/>
  <c r="Q103" i="5"/>
  <c r="M153" i="4"/>
  <c r="R103" i="5"/>
  <c r="T103" i="5"/>
  <c r="U103" i="5"/>
  <c r="P153" i="4"/>
  <c r="W103" i="5"/>
  <c r="Q153" i="4"/>
  <c r="X103" i="5"/>
  <c r="S153" i="4"/>
  <c r="AA103" i="5"/>
  <c r="AH153" i="4"/>
  <c r="T153" i="4" a="1"/>
  <c r="T153" i="4"/>
  <c r="AC103" i="5"/>
  <c r="U153" i="4" a="1"/>
  <c r="U153" i="4"/>
  <c r="AD103" i="5"/>
  <c r="AF103" i="5"/>
  <c r="AG103" i="5"/>
  <c r="X153" i="4"/>
  <c r="AI103" i="5"/>
  <c r="Y153" i="4"/>
  <c r="AJ103" i="5"/>
  <c r="Z153" i="4"/>
  <c r="AL103" i="5"/>
  <c r="L103" i="5"/>
  <c r="N103" i="5"/>
  <c r="O103" i="5"/>
  <c r="Z103" i="5"/>
  <c r="AN103" i="5"/>
  <c r="B210" i="4"/>
  <c r="C210" i="4"/>
  <c r="C104" i="5"/>
  <c r="D210" i="4"/>
  <c r="E104" i="5"/>
  <c r="E210" i="4"/>
  <c r="F104" i="5"/>
  <c r="F210" i="4"/>
  <c r="H104" i="5"/>
  <c r="I104" i="5"/>
  <c r="H210" i="4"/>
  <c r="K104" i="5"/>
  <c r="L210" i="4"/>
  <c r="Q104" i="5"/>
  <c r="M210" i="4"/>
  <c r="R104" i="5"/>
  <c r="T104" i="5"/>
  <c r="U104" i="5"/>
  <c r="P210" i="4"/>
  <c r="W104" i="5"/>
  <c r="Q210" i="4"/>
  <c r="X104" i="5"/>
  <c r="S210" i="4"/>
  <c r="AA104" i="5"/>
  <c r="AH210" i="4"/>
  <c r="T210" i="4" a="1"/>
  <c r="T210" i="4"/>
  <c r="AC104" i="5"/>
  <c r="U210" i="4" a="1"/>
  <c r="U210" i="4"/>
  <c r="AD104" i="5"/>
  <c r="AF104" i="5"/>
  <c r="AG104" i="5"/>
  <c r="X210" i="4"/>
  <c r="AI104" i="5"/>
  <c r="Y210" i="4"/>
  <c r="AJ104" i="5"/>
  <c r="Z210" i="4"/>
  <c r="AL104" i="5"/>
  <c r="L104" i="5"/>
  <c r="N104" i="5"/>
  <c r="O104" i="5"/>
  <c r="Z104" i="5"/>
  <c r="AN104" i="5"/>
  <c r="B220" i="4"/>
  <c r="C220" i="4"/>
  <c r="C105" i="5"/>
  <c r="D220" i="4"/>
  <c r="E105" i="5"/>
  <c r="E220" i="4"/>
  <c r="F105" i="5"/>
  <c r="F220" i="4"/>
  <c r="H105" i="5"/>
  <c r="I105" i="5"/>
  <c r="H220" i="4"/>
  <c r="K105" i="5"/>
  <c r="L220" i="4"/>
  <c r="Q105" i="5"/>
  <c r="M220" i="4"/>
  <c r="R105" i="5"/>
  <c r="T105" i="5"/>
  <c r="U105" i="5"/>
  <c r="P220" i="4"/>
  <c r="W105" i="5"/>
  <c r="Q220" i="4"/>
  <c r="X105" i="5"/>
  <c r="S220" i="4"/>
  <c r="AA105" i="5"/>
  <c r="AH220" i="4"/>
  <c r="T220" i="4" a="1"/>
  <c r="T220" i="4"/>
  <c r="AC105" i="5"/>
  <c r="U220" i="4" a="1"/>
  <c r="U220" i="4"/>
  <c r="AD105" i="5"/>
  <c r="AF105" i="5"/>
  <c r="AG105" i="5"/>
  <c r="X220" i="4"/>
  <c r="AI105" i="5"/>
  <c r="Y220" i="4"/>
  <c r="AJ105" i="5"/>
  <c r="Z220" i="4"/>
  <c r="AL105" i="5"/>
  <c r="L105" i="5"/>
  <c r="N105" i="5"/>
  <c r="O105" i="5"/>
  <c r="Z105" i="5"/>
  <c r="AN105" i="5"/>
  <c r="B221" i="4"/>
  <c r="C221" i="4"/>
  <c r="C106" i="5"/>
  <c r="D221" i="4"/>
  <c r="E106" i="5"/>
  <c r="E221" i="4"/>
  <c r="F106" i="5"/>
  <c r="F221" i="4"/>
  <c r="H106" i="5"/>
  <c r="I106" i="5"/>
  <c r="H221" i="4"/>
  <c r="K106" i="5"/>
  <c r="L221" i="4"/>
  <c r="Q106" i="5"/>
  <c r="M221" i="4"/>
  <c r="R106" i="5"/>
  <c r="T106" i="5"/>
  <c r="U106" i="5"/>
  <c r="P221" i="4"/>
  <c r="W106" i="5"/>
  <c r="Q221" i="4"/>
  <c r="X106" i="5"/>
  <c r="S221" i="4"/>
  <c r="AA106" i="5"/>
  <c r="AH221" i="4"/>
  <c r="T221" i="4" a="1"/>
  <c r="T221" i="4"/>
  <c r="AC106" i="5"/>
  <c r="U221" i="4" a="1"/>
  <c r="U221" i="4"/>
  <c r="AD106" i="5"/>
  <c r="AF106" i="5"/>
  <c r="AG106" i="5"/>
  <c r="X221" i="4"/>
  <c r="AI106" i="5"/>
  <c r="Y221" i="4"/>
  <c r="AJ106" i="5"/>
  <c r="Z221" i="4"/>
  <c r="AL106" i="5"/>
  <c r="L106" i="5"/>
  <c r="N106" i="5"/>
  <c r="O106" i="5"/>
  <c r="Z106" i="5"/>
  <c r="AN106" i="5"/>
  <c r="C68" i="4"/>
  <c r="C107" i="5"/>
  <c r="D68" i="4"/>
  <c r="E107" i="5"/>
  <c r="H12" i="2"/>
  <c r="H68" i="4"/>
  <c r="K107" i="5"/>
  <c r="L68" i="4"/>
  <c r="Q107" i="5"/>
  <c r="M68" i="4"/>
  <c r="R107" i="5"/>
  <c r="T107" i="5"/>
  <c r="U107" i="5"/>
  <c r="P68" i="4"/>
  <c r="W107" i="5"/>
  <c r="Q68" i="4"/>
  <c r="X107" i="5"/>
  <c r="S68" i="4"/>
  <c r="AA107" i="5"/>
  <c r="AH68" i="4"/>
  <c r="T68" i="4" a="1"/>
  <c r="T68" i="4"/>
  <c r="AC107" i="5"/>
  <c r="U68" i="4" a="1"/>
  <c r="U68" i="4"/>
  <c r="AD107" i="5"/>
  <c r="AF107" i="5"/>
  <c r="AG107" i="5"/>
  <c r="X68" i="4"/>
  <c r="AI107" i="5"/>
  <c r="Y68" i="4"/>
  <c r="AJ107" i="5"/>
  <c r="Z68" i="4"/>
  <c r="AL107" i="5"/>
  <c r="F107" i="5"/>
  <c r="H107" i="5"/>
  <c r="I107" i="5"/>
  <c r="L107" i="5"/>
  <c r="N107" i="5"/>
  <c r="O107" i="5"/>
  <c r="Z107" i="5"/>
  <c r="AN107" i="5"/>
  <c r="C122" i="4"/>
  <c r="C108" i="5"/>
  <c r="D122" i="4"/>
  <c r="E108" i="5"/>
  <c r="E37" i="2"/>
  <c r="E122" i="4"/>
  <c r="F108" i="5"/>
  <c r="F37" i="2"/>
  <c r="F122" i="4"/>
  <c r="H108" i="5"/>
  <c r="I108" i="5"/>
  <c r="H122" i="4"/>
  <c r="K108" i="5"/>
  <c r="L122" i="4"/>
  <c r="Q108" i="5"/>
  <c r="M122" i="4"/>
  <c r="R108" i="5"/>
  <c r="T108" i="5"/>
  <c r="U108" i="5"/>
  <c r="P122" i="4"/>
  <c r="W108" i="5"/>
  <c r="Q122" i="4"/>
  <c r="X108" i="5"/>
  <c r="S122" i="4"/>
  <c r="AA108" i="5"/>
  <c r="AH122" i="4"/>
  <c r="T122" i="4" a="1"/>
  <c r="T122" i="4"/>
  <c r="AC108" i="5"/>
  <c r="U122" i="4" a="1"/>
  <c r="U122" i="4"/>
  <c r="AD108" i="5"/>
  <c r="AF108" i="5"/>
  <c r="AG108" i="5"/>
  <c r="X122" i="4"/>
  <c r="AI108" i="5"/>
  <c r="Y122" i="4"/>
  <c r="AJ108" i="5"/>
  <c r="Z122" i="4"/>
  <c r="AL108" i="5"/>
  <c r="L108" i="5"/>
  <c r="N108" i="5"/>
  <c r="O108" i="5"/>
  <c r="Z108" i="5"/>
  <c r="AN108" i="5"/>
  <c r="C123" i="4"/>
  <c r="C109" i="5"/>
  <c r="D123" i="4"/>
  <c r="E109" i="5"/>
  <c r="H123" i="4"/>
  <c r="K109" i="5"/>
  <c r="L123" i="4"/>
  <c r="Q109" i="5"/>
  <c r="M123" i="4"/>
  <c r="R109" i="5"/>
  <c r="T109" i="5"/>
  <c r="U109" i="5"/>
  <c r="P123" i="4"/>
  <c r="W109" i="5"/>
  <c r="Q123" i="4"/>
  <c r="X109" i="5"/>
  <c r="S123" i="4"/>
  <c r="AA109" i="5"/>
  <c r="AH123" i="4"/>
  <c r="T123" i="4" a="1"/>
  <c r="T123" i="4"/>
  <c r="AC109" i="5"/>
  <c r="U123" i="4" a="1"/>
  <c r="U123" i="4"/>
  <c r="AD109" i="5"/>
  <c r="AF109" i="5"/>
  <c r="AG109" i="5"/>
  <c r="X123" i="4"/>
  <c r="AI109" i="5"/>
  <c r="Y123" i="4"/>
  <c r="AJ109" i="5"/>
  <c r="Z123" i="4"/>
  <c r="AL109" i="5"/>
  <c r="F109" i="5"/>
  <c r="H109" i="5"/>
  <c r="I109" i="5"/>
  <c r="L109" i="5"/>
  <c r="N109" i="5"/>
  <c r="O109" i="5"/>
  <c r="Z109" i="5"/>
  <c r="AN109" i="5"/>
  <c r="C124" i="4"/>
  <c r="C110" i="5"/>
  <c r="D124" i="4"/>
  <c r="E110" i="5"/>
  <c r="H124" i="4"/>
  <c r="K110" i="5"/>
  <c r="L124" i="4"/>
  <c r="Q110" i="5"/>
  <c r="M124" i="4"/>
  <c r="R110" i="5"/>
  <c r="T110" i="5"/>
  <c r="U110" i="5"/>
  <c r="P124" i="4"/>
  <c r="W110" i="5"/>
  <c r="Q124" i="4"/>
  <c r="X110" i="5"/>
  <c r="S124" i="4"/>
  <c r="AA110" i="5"/>
  <c r="AH124" i="4"/>
  <c r="T124" i="4" a="1"/>
  <c r="T124" i="4"/>
  <c r="AC110" i="5"/>
  <c r="U124" i="4" a="1"/>
  <c r="U124" i="4"/>
  <c r="AD110" i="5"/>
  <c r="AF110" i="5"/>
  <c r="AG110" i="5"/>
  <c r="X124" i="4"/>
  <c r="AI110" i="5"/>
  <c r="Y124" i="4"/>
  <c r="AJ110" i="5"/>
  <c r="Z124" i="4"/>
  <c r="AL110" i="5"/>
  <c r="F110" i="5"/>
  <c r="H110" i="5"/>
  <c r="I110" i="5"/>
  <c r="L110" i="5"/>
  <c r="N110" i="5"/>
  <c r="O110" i="5"/>
  <c r="Z110" i="5"/>
  <c r="AN110" i="5"/>
  <c r="C154" i="4"/>
  <c r="C111" i="5"/>
  <c r="D154" i="4"/>
  <c r="E111" i="5"/>
  <c r="H154" i="4"/>
  <c r="K111" i="5"/>
  <c r="L154" i="4"/>
  <c r="Q111" i="5"/>
  <c r="M154" i="4"/>
  <c r="R111" i="5"/>
  <c r="T111" i="5"/>
  <c r="U111" i="5"/>
  <c r="P154" i="4"/>
  <c r="W111" i="5"/>
  <c r="Q154" i="4"/>
  <c r="X111" i="5"/>
  <c r="S154" i="4"/>
  <c r="AA111" i="5"/>
  <c r="AH154" i="4"/>
  <c r="T154" i="4" a="1"/>
  <c r="T154" i="4"/>
  <c r="AC111" i="5"/>
  <c r="U154" i="4" a="1"/>
  <c r="U154" i="4"/>
  <c r="AD111" i="5"/>
  <c r="AF111" i="5"/>
  <c r="AG111" i="5"/>
  <c r="X154" i="4"/>
  <c r="AI111" i="5"/>
  <c r="Y154" i="4"/>
  <c r="AJ111" i="5"/>
  <c r="Z154" i="4"/>
  <c r="AL111" i="5"/>
  <c r="F111" i="5"/>
  <c r="H111" i="5"/>
  <c r="I111" i="5"/>
  <c r="L111" i="5"/>
  <c r="N111" i="5"/>
  <c r="O111" i="5"/>
  <c r="Z111" i="5"/>
  <c r="AN111" i="5"/>
  <c r="C211" i="4"/>
  <c r="C112" i="5"/>
  <c r="D211" i="4"/>
  <c r="E112" i="5"/>
  <c r="K112" i="5"/>
  <c r="L211" i="4"/>
  <c r="Q112" i="5"/>
  <c r="M211" i="4"/>
  <c r="R112" i="5"/>
  <c r="T112" i="5"/>
  <c r="U112" i="5"/>
  <c r="P211" i="4"/>
  <c r="W112" i="5"/>
  <c r="Q211" i="4"/>
  <c r="X112" i="5"/>
  <c r="S211" i="4"/>
  <c r="AA112" i="5"/>
  <c r="AH211" i="4"/>
  <c r="T211" i="4" a="1"/>
  <c r="T211" i="4"/>
  <c r="AC112" i="5"/>
  <c r="U211" i="4" a="1"/>
  <c r="U211" i="4"/>
  <c r="AD112" i="5"/>
  <c r="AF112" i="5"/>
  <c r="AG112" i="5"/>
  <c r="X211" i="4"/>
  <c r="AI112" i="5"/>
  <c r="Y211" i="4"/>
  <c r="AJ112" i="5"/>
  <c r="Z211" i="4"/>
  <c r="AL112" i="5"/>
  <c r="F112" i="5"/>
  <c r="H112" i="5"/>
  <c r="I112" i="5"/>
  <c r="L112" i="5"/>
  <c r="N112" i="5"/>
  <c r="O112" i="5"/>
  <c r="Z112" i="5"/>
  <c r="AN112" i="5"/>
  <c r="B108" i="4"/>
  <c r="C108" i="4"/>
  <c r="C113" i="5"/>
  <c r="D108" i="4"/>
  <c r="E113" i="5"/>
  <c r="H21" i="2"/>
  <c r="H108" i="4"/>
  <c r="K113" i="5"/>
  <c r="L108" i="4"/>
  <c r="Q113" i="5"/>
  <c r="M108" i="4"/>
  <c r="R113" i="5"/>
  <c r="T113" i="5"/>
  <c r="U113" i="5"/>
  <c r="P108" i="4"/>
  <c r="W113" i="5"/>
  <c r="Q108" i="4"/>
  <c r="X113" i="5"/>
  <c r="AA113" i="5"/>
  <c r="AH108" i="4"/>
  <c r="T108" i="4" a="1"/>
  <c r="T108" i="4"/>
  <c r="AC113" i="5"/>
  <c r="U108" i="4" a="1"/>
  <c r="U108" i="4"/>
  <c r="AD113" i="5"/>
  <c r="AF113" i="5"/>
  <c r="AG113" i="5"/>
  <c r="X108" i="4"/>
  <c r="AI113" i="5"/>
  <c r="Y108" i="4"/>
  <c r="AJ113" i="5"/>
  <c r="Z108" i="4"/>
  <c r="AL113" i="5"/>
  <c r="F113" i="5"/>
  <c r="H113" i="5"/>
  <c r="I113" i="5"/>
  <c r="L113" i="5"/>
  <c r="N113" i="5"/>
  <c r="O113" i="5"/>
  <c r="Z113" i="5"/>
  <c r="AN113" i="5"/>
  <c r="O114" i="5"/>
  <c r="B69" i="4"/>
  <c r="K114" i="5"/>
  <c r="C69" i="4"/>
  <c r="C114" i="5"/>
  <c r="D69" i="4"/>
  <c r="E114" i="5"/>
  <c r="E26" i="2"/>
  <c r="E11" i="2"/>
  <c r="E69" i="4"/>
  <c r="F114" i="5"/>
  <c r="F26" i="2"/>
  <c r="F11" i="2"/>
  <c r="F69" i="4"/>
  <c r="H114" i="5"/>
  <c r="I114" i="5"/>
  <c r="I69" i="4"/>
  <c r="L114" i="5"/>
  <c r="J69" i="4"/>
  <c r="N114" i="5"/>
  <c r="L69" i="4"/>
  <c r="Q114" i="5"/>
  <c r="M69" i="4"/>
  <c r="R114" i="5"/>
  <c r="T114" i="5"/>
  <c r="U114" i="5"/>
  <c r="P69" i="4"/>
  <c r="W114" i="5"/>
  <c r="AA114" i="5"/>
  <c r="AH69" i="4"/>
  <c r="T69" i="4" a="1"/>
  <c r="T69" i="4"/>
  <c r="AC114" i="5"/>
  <c r="U69" i="4" a="1"/>
  <c r="U69" i="4"/>
  <c r="AD114" i="5"/>
  <c r="AF114" i="5"/>
  <c r="AG114" i="5"/>
  <c r="Y69" i="4"/>
  <c r="AJ114" i="5"/>
  <c r="Z69" i="4"/>
  <c r="AL114" i="5"/>
  <c r="X114" i="5"/>
  <c r="Z114" i="5"/>
  <c r="AN114" i="5"/>
  <c r="B190" i="4"/>
  <c r="C190" i="4"/>
  <c r="C115" i="5"/>
  <c r="D190" i="4"/>
  <c r="E115" i="5"/>
  <c r="K115" i="5"/>
  <c r="L190" i="4"/>
  <c r="Q115" i="5"/>
  <c r="M190" i="4"/>
  <c r="R115" i="5"/>
  <c r="T115" i="5"/>
  <c r="U115" i="5"/>
  <c r="P190" i="4"/>
  <c r="W115" i="5"/>
  <c r="Q190" i="4"/>
  <c r="X115" i="5"/>
  <c r="S190" i="4"/>
  <c r="AA115" i="5"/>
  <c r="AH190" i="4"/>
  <c r="T190" i="4" a="1"/>
  <c r="T190" i="4"/>
  <c r="AC115" i="5"/>
  <c r="U190" i="4" a="1"/>
  <c r="U190" i="4"/>
  <c r="AD115" i="5"/>
  <c r="AF115" i="5"/>
  <c r="AG115" i="5"/>
  <c r="X190" i="4"/>
  <c r="AI115" i="5"/>
  <c r="F115" i="5"/>
  <c r="H115" i="5"/>
  <c r="I115" i="5"/>
  <c r="L115" i="5"/>
  <c r="N115" i="5"/>
  <c r="O115" i="5"/>
  <c r="Z115" i="5"/>
  <c r="AN115" i="5"/>
  <c r="AA116" i="5"/>
  <c r="B2" i="4"/>
  <c r="P2" i="4"/>
  <c r="W116" i="5"/>
  <c r="C2" i="4"/>
  <c r="C116" i="5"/>
  <c r="D2" i="4"/>
  <c r="E116" i="5"/>
  <c r="K116" i="5"/>
  <c r="L2" i="4"/>
  <c r="Q116" i="5"/>
  <c r="M2" i="4"/>
  <c r="R116" i="5"/>
  <c r="T116" i="5"/>
  <c r="U116" i="5"/>
  <c r="Q2" i="4"/>
  <c r="X116" i="5"/>
  <c r="R5" i="2"/>
  <c r="R13" i="2"/>
  <c r="R2" i="4"/>
  <c r="Z116" i="5"/>
  <c r="AH2" i="4"/>
  <c r="T2" i="4" a="1"/>
  <c r="T2" i="4"/>
  <c r="AC116" i="5"/>
  <c r="U2" i="4" a="1"/>
  <c r="U2" i="4"/>
  <c r="AD116" i="5"/>
  <c r="AF116" i="5"/>
  <c r="AG116" i="5"/>
  <c r="Y2" i="4"/>
  <c r="AJ116" i="5"/>
  <c r="Z2" i="4"/>
  <c r="AL116" i="5"/>
  <c r="F116" i="5"/>
  <c r="H116" i="5"/>
  <c r="I116" i="5"/>
  <c r="L116" i="5"/>
  <c r="N116" i="5"/>
  <c r="O116" i="5"/>
  <c r="AN116" i="5"/>
  <c r="C32" i="2"/>
  <c r="C191" i="4"/>
  <c r="C117" i="5"/>
  <c r="D32" i="2"/>
  <c r="D191" i="4"/>
  <c r="E117" i="5"/>
  <c r="E32" i="2"/>
  <c r="E191" i="4"/>
  <c r="F117" i="5"/>
  <c r="F32" i="2"/>
  <c r="F191" i="4"/>
  <c r="H117" i="5"/>
  <c r="I117" i="5"/>
  <c r="K117" i="5"/>
  <c r="L32" i="2"/>
  <c r="L191" i="4"/>
  <c r="Q117" i="5"/>
  <c r="M32" i="2"/>
  <c r="M191" i="4"/>
  <c r="R117" i="5"/>
  <c r="T117" i="5"/>
  <c r="U117" i="5"/>
  <c r="P32" i="2"/>
  <c r="P191" i="4"/>
  <c r="W117" i="5"/>
  <c r="Q32" i="2"/>
  <c r="Q191" i="4"/>
  <c r="X117" i="5"/>
  <c r="AA117" i="5"/>
  <c r="AH191" i="4"/>
  <c r="T191" i="4" a="1"/>
  <c r="T191" i="4"/>
  <c r="AC117" i="5"/>
  <c r="U191" i="4" a="1"/>
  <c r="U191" i="4"/>
  <c r="AD117" i="5"/>
  <c r="AF117" i="5"/>
  <c r="AG117" i="5"/>
  <c r="X32" i="2"/>
  <c r="X191" i="4"/>
  <c r="AI117" i="5"/>
  <c r="Y32" i="2"/>
  <c r="Y191" i="4"/>
  <c r="AJ117" i="5"/>
  <c r="Z32" i="2"/>
  <c r="Z191" i="4"/>
  <c r="AL117" i="5"/>
  <c r="L117" i="5"/>
  <c r="N117" i="5"/>
  <c r="O117" i="5"/>
  <c r="Z117" i="5"/>
  <c r="AN117" i="5"/>
  <c r="C18" i="4"/>
  <c r="C118" i="5"/>
  <c r="D18" i="4"/>
  <c r="E118" i="5"/>
  <c r="H18" i="4"/>
  <c r="K118" i="5"/>
  <c r="L18" i="4"/>
  <c r="Q118" i="5"/>
  <c r="M18" i="4"/>
  <c r="R118" i="5"/>
  <c r="T118" i="5"/>
  <c r="U118" i="5"/>
  <c r="W118" i="5"/>
  <c r="Q18" i="4"/>
  <c r="X118" i="5"/>
  <c r="AA118" i="5"/>
  <c r="AH18" i="4"/>
  <c r="T18" i="4" a="1"/>
  <c r="T18" i="4"/>
  <c r="AC118" i="5"/>
  <c r="U18" i="4" a="1"/>
  <c r="U18" i="4"/>
  <c r="AD118" i="5"/>
  <c r="AF118" i="5"/>
  <c r="AG118" i="5"/>
  <c r="Y18" i="4"/>
  <c r="AJ118" i="5"/>
  <c r="Z18" i="4"/>
  <c r="AL118" i="5"/>
  <c r="F118" i="5"/>
  <c r="H118" i="5"/>
  <c r="I118" i="5"/>
  <c r="L118" i="5"/>
  <c r="N118" i="5"/>
  <c r="O118" i="5"/>
  <c r="Z118" i="5"/>
  <c r="AN118" i="5"/>
  <c r="B70" i="4"/>
  <c r="C70" i="4"/>
  <c r="C119" i="5"/>
  <c r="D70" i="4"/>
  <c r="E119" i="5"/>
  <c r="H70" i="4"/>
  <c r="K119" i="5"/>
  <c r="L70" i="4"/>
  <c r="Q119" i="5"/>
  <c r="M70" i="4"/>
  <c r="R119" i="5"/>
  <c r="N70" i="4"/>
  <c r="T119" i="5"/>
  <c r="U119" i="5"/>
  <c r="W119" i="5"/>
  <c r="Q70" i="4"/>
  <c r="X119" i="5"/>
  <c r="AA119" i="5"/>
  <c r="AH70" i="4"/>
  <c r="T70" i="4" a="1"/>
  <c r="T70" i="4"/>
  <c r="AC119" i="5"/>
  <c r="U70" i="4" a="1"/>
  <c r="U70" i="4"/>
  <c r="AD119" i="5"/>
  <c r="AF119" i="5"/>
  <c r="AG119" i="5"/>
  <c r="X70" i="4"/>
  <c r="AI119" i="5"/>
  <c r="Y70" i="4"/>
  <c r="AJ119" i="5"/>
  <c r="Z70" i="4"/>
  <c r="AL119" i="5"/>
  <c r="F119" i="5"/>
  <c r="H119" i="5"/>
  <c r="I119" i="5"/>
  <c r="L119" i="5"/>
  <c r="N119" i="5"/>
  <c r="O119" i="5"/>
  <c r="Z119" i="5"/>
  <c r="AN119" i="5"/>
  <c r="C19" i="4"/>
  <c r="C120" i="5"/>
  <c r="D19" i="4"/>
  <c r="E120" i="5"/>
  <c r="H19" i="4"/>
  <c r="K120" i="5"/>
  <c r="L19" i="4"/>
  <c r="Q120" i="5"/>
  <c r="M19" i="4"/>
  <c r="R120" i="5"/>
  <c r="T120" i="5"/>
  <c r="U120" i="5"/>
  <c r="P19" i="4"/>
  <c r="W120" i="5"/>
  <c r="Q19" i="4"/>
  <c r="X120" i="5"/>
  <c r="AA120" i="5"/>
  <c r="AH19" i="4"/>
  <c r="T19" i="4" a="1"/>
  <c r="T19" i="4"/>
  <c r="AC120" i="5"/>
  <c r="U19" i="4" a="1"/>
  <c r="U19" i="4"/>
  <c r="AD120" i="5"/>
  <c r="AF120" i="5"/>
  <c r="AG120" i="5"/>
  <c r="Y19" i="4"/>
  <c r="AJ120" i="5"/>
  <c r="Z19" i="4"/>
  <c r="AL120" i="5"/>
  <c r="F120" i="5"/>
  <c r="H120" i="5"/>
  <c r="I120" i="5"/>
  <c r="L120" i="5"/>
  <c r="N120" i="5"/>
  <c r="O120" i="5"/>
  <c r="Z120" i="5"/>
  <c r="AN120" i="5"/>
  <c r="O121" i="5"/>
  <c r="H247" i="4"/>
  <c r="K121" i="5"/>
  <c r="C247" i="4"/>
  <c r="C121" i="5"/>
  <c r="D247" i="4"/>
  <c r="E121" i="5"/>
  <c r="E39" i="2"/>
  <c r="E247" i="4"/>
  <c r="F121" i="5"/>
  <c r="F39" i="2"/>
  <c r="F247" i="4"/>
  <c r="H121" i="5"/>
  <c r="I121" i="5"/>
  <c r="I247" i="4"/>
  <c r="L121" i="5"/>
  <c r="J247" i="4"/>
  <c r="N121" i="5"/>
  <c r="L247" i="4"/>
  <c r="Q121" i="5"/>
  <c r="M247" i="4"/>
  <c r="R121" i="5"/>
  <c r="T121" i="5"/>
  <c r="U121" i="5"/>
  <c r="P39" i="2"/>
  <c r="P247" i="4"/>
  <c r="W121" i="5"/>
  <c r="Q247" i="4"/>
  <c r="X121" i="5"/>
  <c r="S39" i="2"/>
  <c r="S247" i="4"/>
  <c r="AA121" i="5"/>
  <c r="AH247" i="4"/>
  <c r="T247" i="4" a="1"/>
  <c r="T247" i="4"/>
  <c r="AC121" i="5"/>
  <c r="U247" i="4" a="1"/>
  <c r="U247" i="4"/>
  <c r="AD121" i="5"/>
  <c r="AF121" i="5"/>
  <c r="AG121" i="5"/>
  <c r="X247" i="4"/>
  <c r="AI121" i="5"/>
  <c r="Y247" i="4"/>
  <c r="AJ121" i="5"/>
  <c r="Z247" i="4"/>
  <c r="AL121" i="5"/>
  <c r="Z121" i="5"/>
  <c r="AN121" i="5"/>
  <c r="C71" i="4"/>
  <c r="C122" i="5"/>
  <c r="D71" i="4"/>
  <c r="E122" i="5"/>
  <c r="H71" i="4"/>
  <c r="K122" i="5"/>
  <c r="L71" i="4"/>
  <c r="Q122" i="5"/>
  <c r="M71" i="4"/>
  <c r="R122" i="5"/>
  <c r="T122" i="5"/>
  <c r="U122" i="5"/>
  <c r="P71" i="4"/>
  <c r="W122" i="5"/>
  <c r="Q71" i="4"/>
  <c r="X122" i="5"/>
  <c r="AA122" i="5"/>
  <c r="AH71" i="4"/>
  <c r="T71" i="4" a="1"/>
  <c r="T71" i="4"/>
  <c r="AC122" i="5"/>
  <c r="U71" i="4" a="1"/>
  <c r="U71" i="4"/>
  <c r="AD122" i="5"/>
  <c r="AF122" i="5"/>
  <c r="AG122" i="5"/>
  <c r="X71" i="4"/>
  <c r="AI122" i="5"/>
  <c r="Y71" i="4"/>
  <c r="AJ122" i="5"/>
  <c r="Z71" i="4"/>
  <c r="AL122" i="5"/>
  <c r="F122" i="5"/>
  <c r="H122" i="5"/>
  <c r="I122" i="5"/>
  <c r="L122" i="5"/>
  <c r="N122" i="5"/>
  <c r="O122" i="5"/>
  <c r="Z122" i="5"/>
  <c r="AN122" i="5"/>
  <c r="B249" i="4"/>
  <c r="C249" i="4"/>
  <c r="C123" i="5"/>
  <c r="D249" i="4"/>
  <c r="E123" i="5"/>
  <c r="H249" i="4"/>
  <c r="K123" i="5"/>
  <c r="L249" i="4"/>
  <c r="Q123" i="5"/>
  <c r="M249" i="4"/>
  <c r="R123" i="5"/>
  <c r="T123" i="5"/>
  <c r="U123" i="5"/>
  <c r="P249" i="4"/>
  <c r="W123" i="5"/>
  <c r="Q249" i="4"/>
  <c r="X123" i="5"/>
  <c r="S249" i="4"/>
  <c r="AA123" i="5"/>
  <c r="AH249" i="4"/>
  <c r="T249" i="4" a="1"/>
  <c r="T249" i="4"/>
  <c r="AC123" i="5"/>
  <c r="U249" i="4" a="1"/>
  <c r="U249" i="4"/>
  <c r="AD123" i="5"/>
  <c r="AF123" i="5"/>
  <c r="AG123" i="5"/>
  <c r="X249" i="4"/>
  <c r="AI123" i="5"/>
  <c r="Y249" i="4"/>
  <c r="AJ123" i="5"/>
  <c r="Z249" i="4"/>
  <c r="AL123" i="5"/>
  <c r="F123" i="5"/>
  <c r="H123" i="5"/>
  <c r="I123" i="5"/>
  <c r="L123" i="5"/>
  <c r="N123" i="5"/>
  <c r="O123" i="5"/>
  <c r="Z123" i="5"/>
  <c r="AN123" i="5"/>
  <c r="C286" i="4"/>
  <c r="C124" i="5"/>
  <c r="D286" i="4"/>
  <c r="E124" i="5"/>
  <c r="H286" i="4"/>
  <c r="K124" i="5"/>
  <c r="L286" i="4"/>
  <c r="Q124" i="5"/>
  <c r="M286" i="4"/>
  <c r="R124" i="5"/>
  <c r="T124" i="5"/>
  <c r="U124" i="5"/>
  <c r="P286" i="4"/>
  <c r="W124" i="5"/>
  <c r="Q286" i="4"/>
  <c r="X124" i="5"/>
  <c r="S286" i="4"/>
  <c r="AA124" i="5"/>
  <c r="AH286" i="4"/>
  <c r="T286" i="4" a="1"/>
  <c r="T286" i="4"/>
  <c r="AC124" i="5"/>
  <c r="U286" i="4" a="1"/>
  <c r="U286" i="4"/>
  <c r="AD124" i="5"/>
  <c r="AF124" i="5"/>
  <c r="AG124" i="5"/>
  <c r="X286" i="4"/>
  <c r="AI124" i="5"/>
  <c r="Y286" i="4"/>
  <c r="AJ124" i="5"/>
  <c r="Z286" i="4"/>
  <c r="AL124" i="5"/>
  <c r="F124" i="5"/>
  <c r="H124" i="5"/>
  <c r="I124" i="5"/>
  <c r="L124" i="5"/>
  <c r="N124" i="5"/>
  <c r="O124" i="5"/>
  <c r="Z124" i="5"/>
  <c r="AN124" i="5"/>
  <c r="C292" i="4"/>
  <c r="C125" i="5"/>
  <c r="D292" i="4"/>
  <c r="E125" i="5"/>
  <c r="K125" i="5"/>
  <c r="L292" i="4"/>
  <c r="Q125" i="5"/>
  <c r="M292" i="4"/>
  <c r="R125" i="5"/>
  <c r="T125" i="5"/>
  <c r="U125" i="5"/>
  <c r="P292" i="4"/>
  <c r="W125" i="5"/>
  <c r="Q292" i="4"/>
  <c r="X125" i="5"/>
  <c r="AA125" i="5"/>
  <c r="AH292" i="4"/>
  <c r="T292" i="4" a="1"/>
  <c r="T292" i="4"/>
  <c r="AC125" i="5"/>
  <c r="U292" i="4" a="1"/>
  <c r="U292" i="4"/>
  <c r="AD125" i="5"/>
  <c r="AF125" i="5"/>
  <c r="AG125" i="5"/>
  <c r="X292" i="4"/>
  <c r="AI125" i="5"/>
  <c r="Y292" i="4"/>
  <c r="AJ125" i="5"/>
  <c r="Z292" i="4"/>
  <c r="AL125" i="5"/>
  <c r="F125" i="5"/>
  <c r="H125" i="5"/>
  <c r="I125" i="5"/>
  <c r="L125" i="5"/>
  <c r="N125" i="5"/>
  <c r="O125" i="5"/>
  <c r="Z125" i="5"/>
  <c r="AN125" i="5"/>
  <c r="B192" i="4"/>
  <c r="C192" i="4"/>
  <c r="C126" i="5"/>
  <c r="D192" i="4"/>
  <c r="E126" i="5"/>
  <c r="E21" i="2"/>
  <c r="E192" i="4"/>
  <c r="F126" i="5"/>
  <c r="F21" i="2"/>
  <c r="F192" i="4"/>
  <c r="H126" i="5"/>
  <c r="I126" i="5"/>
  <c r="H192" i="4"/>
  <c r="K126" i="5"/>
  <c r="L192" i="4"/>
  <c r="Q126" i="5"/>
  <c r="M192" i="4"/>
  <c r="R126" i="5"/>
  <c r="T126" i="5"/>
  <c r="U126" i="5"/>
  <c r="P192" i="4"/>
  <c r="W126" i="5"/>
  <c r="Q192" i="4"/>
  <c r="X126" i="5"/>
  <c r="S192" i="4"/>
  <c r="AA126" i="5"/>
  <c r="AH192" i="4"/>
  <c r="T192" i="4" a="1"/>
  <c r="T192" i="4"/>
  <c r="AC126" i="5"/>
  <c r="U192" i="4" a="1"/>
  <c r="U192" i="4"/>
  <c r="AD126" i="5"/>
  <c r="AF126" i="5"/>
  <c r="AG126" i="5"/>
  <c r="X192" i="4"/>
  <c r="AI126" i="5"/>
  <c r="Y192" i="4"/>
  <c r="AJ126" i="5"/>
  <c r="Z192" i="4"/>
  <c r="AL126" i="5"/>
  <c r="L126" i="5"/>
  <c r="N126" i="5"/>
  <c r="O126" i="5"/>
  <c r="Z126" i="5"/>
  <c r="AN126" i="5"/>
  <c r="B4" i="4"/>
  <c r="S4" i="4"/>
  <c r="AA127" i="5"/>
  <c r="P4" i="4"/>
  <c r="W127" i="5"/>
  <c r="C4" i="4"/>
  <c r="C127" i="5"/>
  <c r="D4" i="4"/>
  <c r="E127" i="5"/>
  <c r="E25" i="2"/>
  <c r="E4" i="4"/>
  <c r="F127" i="5"/>
  <c r="F25" i="2"/>
  <c r="F4" i="4"/>
  <c r="H127" i="5"/>
  <c r="I127" i="5"/>
  <c r="K127" i="5"/>
  <c r="L4" i="4"/>
  <c r="Q127" i="5"/>
  <c r="U127" i="5"/>
  <c r="Q4" i="4"/>
  <c r="X127" i="5"/>
  <c r="R4" i="4"/>
  <c r="Z127" i="5"/>
  <c r="AH4" i="4"/>
  <c r="T4" i="4" a="1"/>
  <c r="T4" i="4"/>
  <c r="AC127" i="5"/>
  <c r="U4" i="4" a="1"/>
  <c r="U4" i="4"/>
  <c r="AD127" i="5"/>
  <c r="AF127" i="5"/>
  <c r="AG127" i="5"/>
  <c r="X4" i="4"/>
  <c r="AI127" i="5"/>
  <c r="Y4" i="4"/>
  <c r="AJ127" i="5"/>
  <c r="Z4" i="4"/>
  <c r="AL127" i="5"/>
  <c r="R127" i="5"/>
  <c r="T127" i="5"/>
  <c r="L127" i="5"/>
  <c r="N127" i="5"/>
  <c r="O127" i="5"/>
  <c r="AN127" i="5"/>
  <c r="B222" i="4"/>
  <c r="C222" i="4"/>
  <c r="C128" i="5"/>
  <c r="D222" i="4"/>
  <c r="E128" i="5"/>
  <c r="E2" i="2"/>
  <c r="E222" i="4"/>
  <c r="F128" i="5"/>
  <c r="F2" i="2"/>
  <c r="F222" i="4"/>
  <c r="H128" i="5"/>
  <c r="I128" i="5"/>
  <c r="H2" i="2"/>
  <c r="H222" i="4"/>
  <c r="K128" i="5"/>
  <c r="L222" i="4"/>
  <c r="Q128" i="5"/>
  <c r="M222" i="4"/>
  <c r="R128" i="5"/>
  <c r="T128" i="5"/>
  <c r="U128" i="5"/>
  <c r="P222" i="4"/>
  <c r="W128" i="5"/>
  <c r="Q222" i="4"/>
  <c r="X128" i="5"/>
  <c r="S222" i="4"/>
  <c r="AA128" i="5"/>
  <c r="AH222" i="4"/>
  <c r="T222" i="4" a="1"/>
  <c r="T222" i="4"/>
  <c r="AC128" i="5"/>
  <c r="U222" i="4" a="1"/>
  <c r="U222" i="4"/>
  <c r="AD128" i="5"/>
  <c r="AF128" i="5"/>
  <c r="AG128" i="5"/>
  <c r="X222" i="4"/>
  <c r="AI128" i="5"/>
  <c r="Y222" i="4"/>
  <c r="AJ128" i="5"/>
  <c r="Z222" i="4"/>
  <c r="AL128" i="5"/>
  <c r="Z128" i="5"/>
  <c r="L128" i="5"/>
  <c r="N128" i="5"/>
  <c r="O128" i="5"/>
  <c r="AN128" i="5"/>
  <c r="C250" i="4"/>
  <c r="C129" i="5"/>
  <c r="D250" i="4"/>
  <c r="E129" i="5"/>
  <c r="E250" i="4"/>
  <c r="F129" i="5"/>
  <c r="F250" i="4"/>
  <c r="H129" i="5"/>
  <c r="I129" i="5"/>
  <c r="H250" i="4"/>
  <c r="K129" i="5"/>
  <c r="L250" i="4"/>
  <c r="Q129" i="5"/>
  <c r="M250" i="4"/>
  <c r="R129" i="5"/>
  <c r="T129" i="5"/>
  <c r="U129" i="5"/>
  <c r="P250" i="4"/>
  <c r="W129" i="5"/>
  <c r="Q250" i="4"/>
  <c r="X129" i="5"/>
  <c r="S250" i="4"/>
  <c r="AA129" i="5"/>
  <c r="AH250" i="4"/>
  <c r="T250" i="4" a="1"/>
  <c r="T250" i="4"/>
  <c r="AC129" i="5"/>
  <c r="U250" i="4" a="1"/>
  <c r="U250" i="4"/>
  <c r="AD129" i="5"/>
  <c r="AF129" i="5"/>
  <c r="AG129" i="5"/>
  <c r="X250" i="4"/>
  <c r="AI129" i="5"/>
  <c r="Y250" i="4"/>
  <c r="AJ129" i="5"/>
  <c r="Z250" i="4"/>
  <c r="AL129" i="5"/>
  <c r="Z129" i="5"/>
  <c r="L129" i="5"/>
  <c r="N129" i="5"/>
  <c r="O129" i="5"/>
  <c r="AN129" i="5"/>
  <c r="B73" i="4"/>
  <c r="C73" i="4"/>
  <c r="C130" i="5"/>
  <c r="D73" i="4"/>
  <c r="E130" i="5"/>
  <c r="E73" i="4"/>
  <c r="F130" i="5"/>
  <c r="F73" i="4"/>
  <c r="H130" i="5"/>
  <c r="I130" i="5"/>
  <c r="K130" i="5"/>
  <c r="L73" i="4"/>
  <c r="Q130" i="5"/>
  <c r="M73" i="4"/>
  <c r="R130" i="5"/>
  <c r="T130" i="5"/>
  <c r="U130" i="5"/>
  <c r="P73" i="4"/>
  <c r="W130" i="5"/>
  <c r="Q73" i="4"/>
  <c r="X130" i="5"/>
  <c r="S73" i="4"/>
  <c r="AA130" i="5"/>
  <c r="AH73" i="4"/>
  <c r="T73" i="4" a="1"/>
  <c r="T73" i="4"/>
  <c r="AC130" i="5"/>
  <c r="U73" i="4" a="1"/>
  <c r="U73" i="4"/>
  <c r="AD130" i="5"/>
  <c r="AF130" i="5"/>
  <c r="AG130" i="5"/>
  <c r="X73" i="4"/>
  <c r="AI130" i="5"/>
  <c r="Y73" i="4"/>
  <c r="AJ130" i="5"/>
  <c r="Z73" i="4"/>
  <c r="AL130" i="5"/>
  <c r="Z130" i="5"/>
  <c r="L130" i="5"/>
  <c r="N130" i="5"/>
  <c r="O130" i="5"/>
  <c r="AN130" i="5"/>
  <c r="AG285" i="4"/>
  <c r="AG26" i="4"/>
  <c r="AG244" i="4"/>
  <c r="AG131" i="4"/>
  <c r="AG133" i="4"/>
  <c r="AG130" i="4"/>
  <c r="AG7" i="4"/>
  <c r="AG23" i="4"/>
  <c r="AG132" i="4"/>
  <c r="AG24" i="4"/>
  <c r="AG179" i="4"/>
  <c r="AG180" i="4"/>
  <c r="AG283" i="4"/>
  <c r="AG287" i="4"/>
  <c r="AG187" i="4"/>
  <c r="AG249" i="4"/>
  <c r="AG77" i="4"/>
  <c r="AG192" i="4"/>
  <c r="AG121" i="4"/>
  <c r="AG262" i="4"/>
  <c r="AG267" i="4"/>
  <c r="AG268" i="4"/>
  <c r="AG232" i="4"/>
  <c r="AG246" i="4"/>
  <c r="AG240" i="4"/>
  <c r="AG243" i="4"/>
  <c r="AG261" i="4"/>
  <c r="AG151" i="4"/>
  <c r="AG265" i="4"/>
  <c r="AG263" i="4"/>
  <c r="AG264" i="4"/>
  <c r="AG237" i="4"/>
  <c r="AG239" i="4"/>
  <c r="AG242" i="4"/>
  <c r="AG266" i="4"/>
  <c r="AG270" i="4"/>
  <c r="AG269" i="4"/>
  <c r="AG210" i="4"/>
  <c r="AG220" i="4"/>
  <c r="AG221" i="4"/>
  <c r="AG199" i="4"/>
  <c r="AG213" i="4"/>
  <c r="AG25" i="4"/>
  <c r="AG284" i="4"/>
  <c r="AG238" i="4"/>
  <c r="AG241" i="4"/>
  <c r="AG271" i="4"/>
  <c r="AG186" i="4"/>
  <c r="AG190" i="4"/>
  <c r="AG113" i="4"/>
  <c r="AG9" i="4"/>
  <c r="AG10" i="4"/>
  <c r="AG83" i="4"/>
  <c r="AG276" i="4"/>
  <c r="AG281" i="4"/>
  <c r="AG82" i="4"/>
  <c r="AG16" i="4"/>
  <c r="AG84" i="4"/>
  <c r="AG68" i="4"/>
  <c r="AG87" i="4"/>
  <c r="AG100" i="4"/>
  <c r="AG196" i="4"/>
  <c r="AG288" i="4"/>
  <c r="AG8" i="4"/>
  <c r="AG218" i="4"/>
  <c r="AG279" i="4"/>
  <c r="AG289" i="4"/>
  <c r="AG250" i="4"/>
  <c r="AG251" i="4"/>
  <c r="AG277" i="4"/>
  <c r="AG278" i="4"/>
  <c r="AG228" i="4"/>
  <c r="AG294" i="4"/>
  <c r="AG291" i="4"/>
  <c r="AG293" i="4"/>
  <c r="AG197" i="4"/>
  <c r="AG156" i="4"/>
  <c r="AG245" i="4"/>
  <c r="AG194" i="4"/>
  <c r="AG247" i="4"/>
  <c r="AG141" i="4"/>
  <c r="AG116" i="4"/>
  <c r="AG292" i="4"/>
  <c r="AG234" i="4"/>
  <c r="AG233" i="4"/>
  <c r="AG191" i="4"/>
  <c r="AG155" i="4"/>
  <c r="AG248" i="4"/>
  <c r="AG257" i="4"/>
  <c r="AG282" i="4"/>
  <c r="AG255" i="4"/>
  <c r="AG254" i="4"/>
  <c r="AG73" i="4"/>
  <c r="AG230" i="4"/>
  <c r="AG212" i="4"/>
  <c r="AG129" i="4"/>
  <c r="AG252" i="4"/>
  <c r="AG178" i="4"/>
  <c r="AG236" i="4"/>
  <c r="AG222" i="4"/>
  <c r="AG275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6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4" i="4"/>
  <c r="AG152" i="4"/>
  <c r="AG158" i="4"/>
  <c r="AG166" i="4"/>
  <c r="AG273" i="4"/>
  <c r="AG211" i="4"/>
  <c r="AG165" i="4"/>
  <c r="AG124" i="4"/>
  <c r="AG144" i="4"/>
  <c r="AG167" i="4"/>
  <c r="AG174" i="4"/>
  <c r="AG290" i="4"/>
  <c r="AG120" i="4"/>
  <c r="AG80" i="4"/>
  <c r="AG206" i="4"/>
  <c r="AG169" i="4"/>
  <c r="AG171" i="4"/>
  <c r="AG172" i="4"/>
  <c r="AG295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0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2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67" i="4"/>
  <c r="AG36" i="4"/>
  <c r="AG108" i="4"/>
  <c r="AG46" i="4"/>
  <c r="AG37" i="4"/>
  <c r="AG35" i="4"/>
  <c r="AG34" i="4"/>
  <c r="AG304" i="4"/>
  <c r="AG303" i="4"/>
  <c r="AG301" i="4"/>
  <c r="AG302" i="4"/>
  <c r="AG307" i="4"/>
  <c r="AG308" i="4"/>
  <c r="AG309" i="4"/>
  <c r="AG310" i="4"/>
  <c r="AG297" i="4"/>
  <c r="AG298" i="4"/>
  <c r="AG296" i="4"/>
  <c r="AG299" i="4"/>
  <c r="AG300" i="4"/>
  <c r="AG305" i="4"/>
  <c r="AG311" i="4"/>
  <c r="AG339" i="4"/>
  <c r="AG330" i="4"/>
  <c r="AG328" i="4"/>
  <c r="AG329" i="4"/>
  <c r="AG331" i="4"/>
  <c r="AG321" i="4"/>
  <c r="AG338" i="4"/>
  <c r="AG320" i="4"/>
  <c r="AG319" i="4"/>
  <c r="AG322" i="4"/>
  <c r="AG336" i="4"/>
  <c r="AG343" i="4"/>
  <c r="AG315" i="4"/>
  <c r="AG323" i="4"/>
  <c r="AG324" i="4"/>
  <c r="AG325" i="4"/>
  <c r="AG326" i="4"/>
  <c r="AG316" i="4"/>
  <c r="AG317" i="4"/>
  <c r="AG318" i="4"/>
  <c r="AG344" i="4"/>
  <c r="AG335" i="4"/>
  <c r="AG334" i="4"/>
  <c r="AG337" i="4"/>
  <c r="AG327" i="4"/>
  <c r="AG314" i="4"/>
  <c r="AG313" i="4"/>
  <c r="AG312" i="4"/>
  <c r="AG332" i="4"/>
  <c r="AG333" i="4"/>
  <c r="AG342" i="4"/>
  <c r="AG340" i="4"/>
  <c r="AG341" i="4"/>
  <c r="AG348" i="4"/>
  <c r="AG345" i="4"/>
  <c r="AG358" i="4"/>
  <c r="AG359" i="4"/>
  <c r="AG349" i="4"/>
  <c r="AG350" i="4"/>
  <c r="AG351" i="4"/>
  <c r="AG346" i="4"/>
  <c r="AG347" i="4"/>
  <c r="AG355" i="4"/>
  <c r="AG356" i="4"/>
  <c r="AG361" i="4"/>
  <c r="AG362" i="4"/>
  <c r="AG363" i="4"/>
  <c r="AG364" i="4"/>
  <c r="AG353" i="4"/>
  <c r="AG354" i="4"/>
  <c r="AG365" i="4"/>
  <c r="AG360" i="4"/>
  <c r="AG366" i="4"/>
  <c r="AG357" i="4"/>
  <c r="AG352" i="4"/>
  <c r="AG368" i="4"/>
  <c r="AG374" i="4"/>
  <c r="AG375" i="4"/>
  <c r="AG376" i="4"/>
  <c r="AG370" i="4"/>
  <c r="AG367" i="4"/>
  <c r="AG373" i="4"/>
  <c r="AG371" i="4"/>
  <c r="AG372" i="4"/>
  <c r="AG377" i="4"/>
  <c r="AG369" i="4"/>
  <c r="AG380" i="4"/>
  <c r="AG382" i="4"/>
  <c r="AG381" i="4"/>
  <c r="AG379" i="4"/>
  <c r="AG378" i="4"/>
  <c r="AG386" i="4"/>
  <c r="AG385" i="4"/>
  <c r="AG390" i="4"/>
  <c r="AG384" i="4"/>
  <c r="AG403" i="4"/>
  <c r="AG387" i="4"/>
  <c r="AG393" i="4"/>
  <c r="AG394" i="4"/>
  <c r="AG395" i="4"/>
  <c r="AG396" i="4"/>
  <c r="AG399" i="4"/>
  <c r="AG400" i="4"/>
  <c r="AG401" i="4"/>
  <c r="AG389" i="4"/>
  <c r="AG398" i="4"/>
  <c r="AG402" i="4"/>
  <c r="AG405" i="4"/>
  <c r="AG406" i="4"/>
  <c r="AG407" i="4"/>
  <c r="AG397" i="4"/>
  <c r="AG388" i="4"/>
  <c r="AG391" i="4"/>
  <c r="AG392" i="4"/>
  <c r="AG404" i="4"/>
  <c r="AG383" i="4"/>
  <c r="AG188" i="4"/>
  <c r="O132" i="5"/>
  <c r="K132" i="5"/>
  <c r="B20" i="4"/>
  <c r="C20" i="4"/>
  <c r="C132" i="5"/>
  <c r="D20" i="4"/>
  <c r="E132" i="5"/>
  <c r="I36" i="2"/>
  <c r="I20" i="4"/>
  <c r="L132" i="5"/>
  <c r="J36" i="2"/>
  <c r="J20" i="4"/>
  <c r="N132" i="5"/>
  <c r="L20" i="4"/>
  <c r="Q132" i="5"/>
  <c r="M20" i="4"/>
  <c r="R132" i="5"/>
  <c r="T132" i="5"/>
  <c r="U132" i="5"/>
  <c r="P20" i="4"/>
  <c r="W132" i="5"/>
  <c r="Q20" i="4"/>
  <c r="X132" i="5"/>
  <c r="AA132" i="5"/>
  <c r="AH20" i="4"/>
  <c r="T20" i="4" a="1"/>
  <c r="T20" i="4"/>
  <c r="AC132" i="5"/>
  <c r="U20" i="4" a="1"/>
  <c r="U20" i="4"/>
  <c r="AD132" i="5"/>
  <c r="AF132" i="5"/>
  <c r="AG132" i="5"/>
  <c r="X20" i="4"/>
  <c r="AI132" i="5"/>
  <c r="Y20" i="4"/>
  <c r="AJ132" i="5"/>
  <c r="Z20" i="4"/>
  <c r="AL132" i="5"/>
  <c r="Z132" i="5"/>
  <c r="F132" i="5"/>
  <c r="H132" i="5"/>
  <c r="I132" i="5"/>
  <c r="AN132" i="5"/>
  <c r="C276" i="4"/>
  <c r="C133" i="5"/>
  <c r="D276" i="4"/>
  <c r="E133" i="5"/>
  <c r="H276" i="4"/>
  <c r="K133" i="5"/>
  <c r="L276" i="4"/>
  <c r="Q133" i="5"/>
  <c r="M276" i="4"/>
  <c r="R133" i="5"/>
  <c r="T133" i="5"/>
  <c r="U133" i="5"/>
  <c r="P276" i="4"/>
  <c r="W133" i="5"/>
  <c r="Q276" i="4"/>
  <c r="X133" i="5"/>
  <c r="S276" i="4"/>
  <c r="AA133" i="5"/>
  <c r="AH276" i="4"/>
  <c r="T276" i="4" a="1"/>
  <c r="T276" i="4"/>
  <c r="AC133" i="5"/>
  <c r="U276" i="4" a="1"/>
  <c r="U276" i="4"/>
  <c r="AD133" i="5"/>
  <c r="AF133" i="5"/>
  <c r="AG133" i="5"/>
  <c r="X276" i="4"/>
  <c r="AI133" i="5"/>
  <c r="Y276" i="4"/>
  <c r="AJ133" i="5"/>
  <c r="Z276" i="4"/>
  <c r="AL133" i="5"/>
  <c r="L133" i="5"/>
  <c r="N133" i="5"/>
  <c r="O133" i="5"/>
  <c r="Z133" i="5"/>
  <c r="F133" i="5"/>
  <c r="H133" i="5"/>
  <c r="I133" i="5"/>
  <c r="AN133" i="5"/>
  <c r="O134" i="5"/>
  <c r="B43" i="4"/>
  <c r="H43" i="4"/>
  <c r="K134" i="5"/>
  <c r="C43" i="4"/>
  <c r="C134" i="5"/>
  <c r="D43" i="4"/>
  <c r="E134" i="5"/>
  <c r="I43" i="4"/>
  <c r="L134" i="5"/>
  <c r="J43" i="4"/>
  <c r="N134" i="5"/>
  <c r="L43" i="4"/>
  <c r="Q134" i="5"/>
  <c r="M43" i="4"/>
  <c r="R134" i="5"/>
  <c r="T134" i="5"/>
  <c r="U134" i="5"/>
  <c r="P43" i="4"/>
  <c r="W134" i="5"/>
  <c r="Q43" i="4"/>
  <c r="X134" i="5"/>
  <c r="AA134" i="5"/>
  <c r="AH43" i="4"/>
  <c r="T43" i="4" a="1"/>
  <c r="T43" i="4"/>
  <c r="AC134" i="5"/>
  <c r="U43" i="4" a="1"/>
  <c r="U43" i="4"/>
  <c r="AD134" i="5"/>
  <c r="AF134" i="5"/>
  <c r="AG134" i="5"/>
  <c r="X43" i="4"/>
  <c r="AI134" i="5"/>
  <c r="Y43" i="4"/>
  <c r="AJ134" i="5"/>
  <c r="Z43" i="4"/>
  <c r="AL134" i="5"/>
  <c r="Z134" i="5"/>
  <c r="F134" i="5"/>
  <c r="H134" i="5"/>
  <c r="I134" i="5"/>
  <c r="AN134" i="5"/>
  <c r="B5" i="4"/>
  <c r="S5" i="4"/>
  <c r="AA135" i="5"/>
  <c r="P5" i="4"/>
  <c r="W135" i="5"/>
  <c r="C5" i="4"/>
  <c r="C135" i="5"/>
  <c r="D5" i="4"/>
  <c r="E135" i="5"/>
  <c r="K135" i="5"/>
  <c r="L5" i="4"/>
  <c r="Q135" i="5"/>
  <c r="U135" i="5"/>
  <c r="Q5" i="4"/>
  <c r="X135" i="5"/>
  <c r="R24" i="2"/>
  <c r="R5" i="4"/>
  <c r="Z135" i="5"/>
  <c r="AH5" i="4"/>
  <c r="T5" i="4" a="1"/>
  <c r="T5" i="4"/>
  <c r="AC135" i="5"/>
  <c r="U5" i="4" a="1"/>
  <c r="U5" i="4"/>
  <c r="AD135" i="5"/>
  <c r="AF135" i="5"/>
  <c r="AG135" i="5"/>
  <c r="X5" i="4"/>
  <c r="AI135" i="5"/>
  <c r="Y5" i="4"/>
  <c r="AJ135" i="5"/>
  <c r="Z5" i="4"/>
  <c r="AL135" i="5"/>
  <c r="L135" i="5"/>
  <c r="N135" i="5"/>
  <c r="O135" i="5"/>
  <c r="R135" i="5"/>
  <c r="T135" i="5"/>
  <c r="F135" i="5"/>
  <c r="H135" i="5"/>
  <c r="I135" i="5"/>
  <c r="AN135" i="5"/>
  <c r="C28" i="2"/>
  <c r="C212" i="4"/>
  <c r="C136" i="5"/>
  <c r="D28" i="2"/>
  <c r="D212" i="4"/>
  <c r="E136" i="5"/>
  <c r="H32" i="2"/>
  <c r="H28" i="2"/>
  <c r="H212" i="4"/>
  <c r="K136" i="5"/>
  <c r="L28" i="2"/>
  <c r="L212" i="4"/>
  <c r="Q136" i="5"/>
  <c r="M28" i="2"/>
  <c r="M212" i="4"/>
  <c r="R136" i="5"/>
  <c r="T136" i="5"/>
  <c r="U136" i="5"/>
  <c r="P28" i="2"/>
  <c r="P212" i="4"/>
  <c r="W136" i="5"/>
  <c r="Q28" i="2"/>
  <c r="Q212" i="4"/>
  <c r="X136" i="5"/>
  <c r="S32" i="2"/>
  <c r="S28" i="2"/>
  <c r="S212" i="4"/>
  <c r="AA136" i="5"/>
  <c r="AH212" i="4"/>
  <c r="T212" i="4" a="1"/>
  <c r="T212" i="4"/>
  <c r="AC136" i="5"/>
  <c r="U212" i="4" a="1"/>
  <c r="U212" i="4"/>
  <c r="AD136" i="5"/>
  <c r="AF136" i="5"/>
  <c r="AG136" i="5"/>
  <c r="X28" i="2"/>
  <c r="X212" i="4"/>
  <c r="AI136" i="5"/>
  <c r="Y28" i="2"/>
  <c r="Y212" i="4"/>
  <c r="AJ136" i="5"/>
  <c r="Z28" i="2"/>
  <c r="Z212" i="4"/>
  <c r="AL136" i="5"/>
  <c r="L136" i="5"/>
  <c r="N136" i="5"/>
  <c r="O136" i="5"/>
  <c r="F136" i="5"/>
  <c r="H136" i="5"/>
  <c r="I136" i="5"/>
  <c r="Z136" i="5"/>
  <c r="AN136" i="5"/>
  <c r="B213" i="4"/>
  <c r="C213" i="4"/>
  <c r="C137" i="5"/>
  <c r="D213" i="4"/>
  <c r="E137" i="5"/>
  <c r="E213" i="4"/>
  <c r="F137" i="5"/>
  <c r="F213" i="4"/>
  <c r="H137" i="5"/>
  <c r="I137" i="5"/>
  <c r="K137" i="5"/>
  <c r="L213" i="4"/>
  <c r="Q137" i="5"/>
  <c r="M213" i="4"/>
  <c r="R137" i="5"/>
  <c r="T137" i="5"/>
  <c r="U137" i="5"/>
  <c r="P213" i="4"/>
  <c r="W137" i="5"/>
  <c r="Q213" i="4"/>
  <c r="X137" i="5"/>
  <c r="S213" i="4"/>
  <c r="AA137" i="5"/>
  <c r="AH213" i="4"/>
  <c r="T213" i="4" a="1"/>
  <c r="T213" i="4"/>
  <c r="AC137" i="5"/>
  <c r="U213" i="4" a="1"/>
  <c r="U213" i="4"/>
  <c r="AD137" i="5"/>
  <c r="AF137" i="5"/>
  <c r="AG137" i="5"/>
  <c r="X213" i="4"/>
  <c r="AI137" i="5"/>
  <c r="Y213" i="4"/>
  <c r="AJ137" i="5"/>
  <c r="Z213" i="4"/>
  <c r="AL137" i="5"/>
  <c r="L137" i="5"/>
  <c r="N137" i="5"/>
  <c r="O137" i="5"/>
  <c r="Z137" i="5"/>
  <c r="AN137" i="5"/>
  <c r="B77" i="4"/>
  <c r="C77" i="4"/>
  <c r="C138" i="5"/>
  <c r="D77" i="4"/>
  <c r="E138" i="5"/>
  <c r="E13" i="2"/>
  <c r="E77" i="4"/>
  <c r="F138" i="5"/>
  <c r="F13" i="2"/>
  <c r="F77" i="4"/>
  <c r="H138" i="5"/>
  <c r="I138" i="5"/>
  <c r="H77" i="4"/>
  <c r="K138" i="5"/>
  <c r="L77" i="4"/>
  <c r="Q138" i="5"/>
  <c r="M77" i="4"/>
  <c r="R138" i="5"/>
  <c r="T138" i="5"/>
  <c r="U138" i="5"/>
  <c r="P77" i="4"/>
  <c r="W138" i="5"/>
  <c r="Q77" i="4"/>
  <c r="X138" i="5"/>
  <c r="S77" i="4"/>
  <c r="AA138" i="5"/>
  <c r="AH77" i="4"/>
  <c r="T77" i="4" a="1"/>
  <c r="T77" i="4"/>
  <c r="AC138" i="5"/>
  <c r="U77" i="4" a="1"/>
  <c r="U77" i="4"/>
  <c r="AD138" i="5"/>
  <c r="AF138" i="5"/>
  <c r="AG138" i="5"/>
  <c r="X77" i="4"/>
  <c r="AI138" i="5"/>
  <c r="Y77" i="4"/>
  <c r="AJ138" i="5"/>
  <c r="Z77" i="4"/>
  <c r="AL138" i="5"/>
  <c r="L138" i="5"/>
  <c r="N138" i="5"/>
  <c r="O138" i="5"/>
  <c r="Z138" i="5"/>
  <c r="AN138" i="5"/>
  <c r="C223" i="4"/>
  <c r="C139" i="5"/>
  <c r="D223" i="4"/>
  <c r="E139" i="5"/>
  <c r="E223" i="4"/>
  <c r="F139" i="5"/>
  <c r="F223" i="4"/>
  <c r="H139" i="5"/>
  <c r="I139" i="5"/>
  <c r="H223" i="4"/>
  <c r="K139" i="5"/>
  <c r="L223" i="4"/>
  <c r="Q139" i="5"/>
  <c r="M223" i="4"/>
  <c r="R139" i="5"/>
  <c r="T139" i="5"/>
  <c r="U139" i="5"/>
  <c r="P223" i="4"/>
  <c r="W139" i="5"/>
  <c r="Q223" i="4"/>
  <c r="X139" i="5"/>
  <c r="S223" i="4"/>
  <c r="AA139" i="5"/>
  <c r="AH223" i="4"/>
  <c r="T223" i="4" a="1"/>
  <c r="T223" i="4"/>
  <c r="AC139" i="5"/>
  <c r="U223" i="4" a="1"/>
  <c r="U223" i="4"/>
  <c r="AD139" i="5"/>
  <c r="AF139" i="5"/>
  <c r="AG139" i="5"/>
  <c r="X223" i="4"/>
  <c r="AI139" i="5"/>
  <c r="Y223" i="4"/>
  <c r="AJ139" i="5"/>
  <c r="Z223" i="4"/>
  <c r="AL139" i="5"/>
  <c r="L139" i="5"/>
  <c r="N139" i="5"/>
  <c r="O139" i="5"/>
  <c r="Z139" i="5"/>
  <c r="AN139" i="5"/>
  <c r="O140" i="5"/>
  <c r="K140" i="5"/>
  <c r="B204" i="4"/>
  <c r="C204" i="4"/>
  <c r="C140" i="5"/>
  <c r="D204" i="4"/>
  <c r="E140" i="5"/>
  <c r="I40" i="2"/>
  <c r="I19" i="2"/>
  <c r="I204" i="4"/>
  <c r="L140" i="5"/>
  <c r="J40" i="2"/>
  <c r="J19" i="2"/>
  <c r="J204" i="4"/>
  <c r="N140" i="5"/>
  <c r="L204" i="4"/>
  <c r="Q140" i="5"/>
  <c r="M204" i="4"/>
  <c r="R140" i="5"/>
  <c r="T140" i="5"/>
  <c r="U140" i="5"/>
  <c r="P204" i="4"/>
  <c r="W140" i="5"/>
  <c r="Q204" i="4"/>
  <c r="X140" i="5"/>
  <c r="AA140" i="5"/>
  <c r="AH204" i="4"/>
  <c r="T204" i="4" a="1"/>
  <c r="T204" i="4"/>
  <c r="AC140" i="5"/>
  <c r="U204" i="4" a="1"/>
  <c r="U204" i="4"/>
  <c r="AD140" i="5"/>
  <c r="AF140" i="5"/>
  <c r="AG140" i="5"/>
  <c r="X204" i="4"/>
  <c r="AI140" i="5"/>
  <c r="Y204" i="4"/>
  <c r="AJ140" i="5"/>
  <c r="Z204" i="4"/>
  <c r="AL140" i="5"/>
  <c r="F140" i="5"/>
  <c r="H140" i="5"/>
  <c r="I140" i="5"/>
  <c r="Z140" i="5"/>
  <c r="AN140" i="5"/>
  <c r="B158" i="4"/>
  <c r="C158" i="4"/>
  <c r="C141" i="5"/>
  <c r="D158" i="4"/>
  <c r="E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H158" i="4"/>
  <c r="T158" i="4" a="1"/>
  <c r="T158" i="4"/>
  <c r="AC141" i="5"/>
  <c r="U158" i="4" a="1"/>
  <c r="U158" i="4"/>
  <c r="AD141" i="5"/>
  <c r="AF141" i="5"/>
  <c r="AG141" i="5"/>
  <c r="X158" i="4"/>
  <c r="AI141" i="5"/>
  <c r="Y158" i="4"/>
  <c r="AJ141" i="5"/>
  <c r="Z158" i="4"/>
  <c r="AL141" i="5"/>
  <c r="F141" i="5"/>
  <c r="H141" i="5"/>
  <c r="I141" i="5"/>
  <c r="L141" i="5"/>
  <c r="N141" i="5"/>
  <c r="O141" i="5"/>
  <c r="Z141" i="5"/>
  <c r="AN141" i="5"/>
  <c r="O142" i="5"/>
  <c r="H224" i="4"/>
  <c r="K142" i="5"/>
  <c r="C224" i="4"/>
  <c r="C142" i="5"/>
  <c r="D224" i="4"/>
  <c r="E142" i="5"/>
  <c r="E224" i="4"/>
  <c r="F142" i="5"/>
  <c r="F224" i="4"/>
  <c r="H142" i="5"/>
  <c r="I142" i="5"/>
  <c r="I224" i="4"/>
  <c r="L142" i="5"/>
  <c r="J224" i="4"/>
  <c r="N142" i="5"/>
  <c r="L224" i="4"/>
  <c r="Q142" i="5"/>
  <c r="M224" i="4"/>
  <c r="R142" i="5"/>
  <c r="T142" i="5"/>
  <c r="U142" i="5"/>
  <c r="P224" i="4"/>
  <c r="W142" i="5"/>
  <c r="Q224" i="4"/>
  <c r="X142" i="5"/>
  <c r="AA142" i="5"/>
  <c r="AH224" i="4"/>
  <c r="T224" i="4" a="1"/>
  <c r="T224" i="4"/>
  <c r="AC142" i="5"/>
  <c r="U224" i="4" a="1"/>
  <c r="U224" i="4"/>
  <c r="AD142" i="5"/>
  <c r="AF142" i="5"/>
  <c r="AG142" i="5"/>
  <c r="X224" i="4"/>
  <c r="AI142" i="5"/>
  <c r="Y224" i="4"/>
  <c r="AJ142" i="5"/>
  <c r="Z224" i="4"/>
  <c r="AL142" i="5"/>
  <c r="Z142" i="5"/>
  <c r="AN142" i="5"/>
  <c r="C251" i="4"/>
  <c r="C143" i="5"/>
  <c r="D251" i="4"/>
  <c r="E143" i="5"/>
  <c r="E251" i="4"/>
  <c r="F143" i="5"/>
  <c r="F251" i="4"/>
  <c r="H143" i="5"/>
  <c r="I143" i="5"/>
  <c r="H251" i="4"/>
  <c r="K143" i="5"/>
  <c r="L251" i="4"/>
  <c r="Q143" i="5"/>
  <c r="M251" i="4"/>
  <c r="R143" i="5"/>
  <c r="T143" i="5"/>
  <c r="U143" i="5"/>
  <c r="P251" i="4"/>
  <c r="W143" i="5"/>
  <c r="Q251" i="4"/>
  <c r="X143" i="5"/>
  <c r="S251" i="4"/>
  <c r="AA143" i="5"/>
  <c r="AH251" i="4"/>
  <c r="T251" i="4" a="1"/>
  <c r="T251" i="4"/>
  <c r="AC143" i="5"/>
  <c r="U251" i="4" a="1"/>
  <c r="U251" i="4"/>
  <c r="AD143" i="5"/>
  <c r="AF143" i="5"/>
  <c r="AG143" i="5"/>
  <c r="X251" i="4"/>
  <c r="AI143" i="5"/>
  <c r="Y251" i="4"/>
  <c r="AJ143" i="5"/>
  <c r="Z251" i="4"/>
  <c r="AL143" i="5"/>
  <c r="L143" i="5"/>
  <c r="N143" i="5"/>
  <c r="O143" i="5"/>
  <c r="Z143" i="5"/>
  <c r="AN143" i="5"/>
  <c r="C10" i="4"/>
  <c r="C144" i="5"/>
  <c r="D10" i="4"/>
  <c r="E144" i="5"/>
  <c r="E10" i="4"/>
  <c r="F144" i="5"/>
  <c r="F10" i="4"/>
  <c r="H144" i="5"/>
  <c r="I144" i="5"/>
  <c r="H10" i="4"/>
  <c r="K144" i="5"/>
  <c r="L10" i="4"/>
  <c r="Q144" i="5"/>
  <c r="M10" i="4"/>
  <c r="R144" i="5"/>
  <c r="T144" i="5"/>
  <c r="U144" i="5"/>
  <c r="P10" i="4"/>
  <c r="W144" i="5"/>
  <c r="Q10" i="4"/>
  <c r="X144" i="5"/>
  <c r="S10" i="4"/>
  <c r="AA144" i="5"/>
  <c r="AH10" i="4"/>
  <c r="T10" i="4" a="1"/>
  <c r="T10" i="4"/>
  <c r="AC144" i="5"/>
  <c r="U10" i="4" a="1"/>
  <c r="U10" i="4"/>
  <c r="AD144" i="5"/>
  <c r="AF144" i="5"/>
  <c r="AG144" i="5"/>
  <c r="X10" i="4"/>
  <c r="AI144" i="5"/>
  <c r="Y10" i="4"/>
  <c r="AJ144" i="5"/>
  <c r="Z10" i="4"/>
  <c r="AL144" i="5"/>
  <c r="L144" i="5"/>
  <c r="N144" i="5"/>
  <c r="O144" i="5"/>
  <c r="Z144" i="5"/>
  <c r="AN144" i="5"/>
  <c r="O145" i="5"/>
  <c r="K145" i="5"/>
  <c r="B21" i="4"/>
  <c r="C21" i="4"/>
  <c r="C145" i="5"/>
  <c r="D21" i="4"/>
  <c r="E145" i="5"/>
  <c r="I21" i="4"/>
  <c r="L145" i="5"/>
  <c r="J21" i="4"/>
  <c r="N145" i="5"/>
  <c r="L21" i="4"/>
  <c r="Q145" i="5"/>
  <c r="M21" i="4"/>
  <c r="R145" i="5"/>
  <c r="T145" i="5"/>
  <c r="U145" i="5"/>
  <c r="P21" i="4"/>
  <c r="W145" i="5"/>
  <c r="Q21" i="4"/>
  <c r="X145" i="5"/>
  <c r="AA145" i="5"/>
  <c r="AH21" i="4"/>
  <c r="T21" i="4" a="1"/>
  <c r="T21" i="4"/>
  <c r="AC145" i="5"/>
  <c r="U21" i="4" a="1"/>
  <c r="U21" i="4"/>
  <c r="AD145" i="5"/>
  <c r="AF145" i="5"/>
  <c r="AG145" i="5"/>
  <c r="X21" i="4"/>
  <c r="AI145" i="5"/>
  <c r="Y21" i="4"/>
  <c r="AJ145" i="5"/>
  <c r="Z21" i="4"/>
  <c r="AL145" i="5"/>
  <c r="F145" i="5"/>
  <c r="H145" i="5"/>
  <c r="I145" i="5"/>
  <c r="Z145" i="5"/>
  <c r="AN145" i="5"/>
  <c r="O146" i="5"/>
  <c r="K146" i="5"/>
  <c r="B252" i="4"/>
  <c r="C252" i="4"/>
  <c r="C146" i="5"/>
  <c r="D252" i="4"/>
  <c r="E146" i="5"/>
  <c r="E3" i="2"/>
  <c r="E252" i="4"/>
  <c r="F146" i="5"/>
  <c r="F3" i="2"/>
  <c r="F252" i="4"/>
  <c r="H146" i="5"/>
  <c r="I146" i="5"/>
  <c r="I252" i="4"/>
  <c r="L146" i="5"/>
  <c r="J252" i="4"/>
  <c r="N146" i="5"/>
  <c r="L252" i="4"/>
  <c r="Q146" i="5"/>
  <c r="M252" i="4"/>
  <c r="R146" i="5"/>
  <c r="T146" i="5"/>
  <c r="U146" i="5"/>
  <c r="P252" i="4"/>
  <c r="W146" i="5"/>
  <c r="Q252" i="4"/>
  <c r="X146" i="5"/>
  <c r="S252" i="4"/>
  <c r="AA146" i="5"/>
  <c r="AH252" i="4"/>
  <c r="T252" i="4" a="1"/>
  <c r="T252" i="4"/>
  <c r="AC146" i="5"/>
  <c r="U252" i="4" a="1"/>
  <c r="U252" i="4"/>
  <c r="AD146" i="5"/>
  <c r="AF146" i="5"/>
  <c r="AG146" i="5"/>
  <c r="X252" i="4"/>
  <c r="AI146" i="5"/>
  <c r="Y252" i="4"/>
  <c r="AJ146" i="5"/>
  <c r="Z252" i="4"/>
  <c r="AL146" i="5"/>
  <c r="Z146" i="5"/>
  <c r="AN146" i="5"/>
  <c r="B6" i="4"/>
  <c r="S6" i="4"/>
  <c r="AA147" i="5"/>
  <c r="P6" i="4"/>
  <c r="W147" i="5"/>
  <c r="C6" i="4"/>
  <c r="C147" i="5"/>
  <c r="D6" i="4"/>
  <c r="E147" i="5"/>
  <c r="K147" i="5"/>
  <c r="L6" i="4"/>
  <c r="Q147" i="5"/>
  <c r="U147" i="5"/>
  <c r="Q6" i="4"/>
  <c r="X147" i="5"/>
  <c r="R6" i="4"/>
  <c r="Z147" i="5"/>
  <c r="AH6" i="4"/>
  <c r="T6" i="4" a="1"/>
  <c r="T6" i="4"/>
  <c r="AC147" i="5"/>
  <c r="U6" i="4" a="1"/>
  <c r="U6" i="4"/>
  <c r="AD147" i="5"/>
  <c r="AF147" i="5"/>
  <c r="AG147" i="5"/>
  <c r="X6" i="4"/>
  <c r="AI147" i="5"/>
  <c r="Y6" i="4"/>
  <c r="AJ147" i="5"/>
  <c r="Z6" i="4"/>
  <c r="AL147" i="5"/>
  <c r="F147" i="5"/>
  <c r="H147" i="5"/>
  <c r="I147" i="5"/>
  <c r="L147" i="5"/>
  <c r="N147" i="5"/>
  <c r="O147" i="5"/>
  <c r="R147" i="5"/>
  <c r="T147" i="5"/>
  <c r="AN147" i="5"/>
  <c r="C78" i="4"/>
  <c r="C148" i="5"/>
  <c r="D78" i="4"/>
  <c r="E148" i="5"/>
  <c r="E4" i="2"/>
  <c r="E78" i="4"/>
  <c r="F148" i="5"/>
  <c r="F4" i="2"/>
  <c r="F78" i="4"/>
  <c r="H148" i="5"/>
  <c r="I148" i="5"/>
  <c r="H78" i="4"/>
  <c r="K148" i="5"/>
  <c r="L78" i="4"/>
  <c r="Q148" i="5"/>
  <c r="M78" i="4"/>
  <c r="R148" i="5"/>
  <c r="T148" i="5"/>
  <c r="U148" i="5"/>
  <c r="P78" i="4"/>
  <c r="W148" i="5"/>
  <c r="Q78" i="4"/>
  <c r="X148" i="5"/>
  <c r="AA148" i="5"/>
  <c r="AH78" i="4"/>
  <c r="T78" i="4" a="1"/>
  <c r="T78" i="4"/>
  <c r="AC148" i="5"/>
  <c r="U78" i="4" a="1"/>
  <c r="U78" i="4"/>
  <c r="AD148" i="5"/>
  <c r="AF148" i="5"/>
  <c r="AG148" i="5"/>
  <c r="X78" i="4"/>
  <c r="AI148" i="5"/>
  <c r="Y78" i="4"/>
  <c r="AJ148" i="5"/>
  <c r="Z78" i="4"/>
  <c r="AL148" i="5"/>
  <c r="L148" i="5"/>
  <c r="N148" i="5"/>
  <c r="O148" i="5"/>
  <c r="Z148" i="5"/>
  <c r="AN148" i="5"/>
  <c r="O149" i="5"/>
  <c r="B44" i="4"/>
  <c r="H44" i="4"/>
  <c r="K149" i="5"/>
  <c r="C44" i="4"/>
  <c r="C149" i="5"/>
  <c r="D44" i="4"/>
  <c r="E149" i="5"/>
  <c r="I37" i="2"/>
  <c r="I44" i="4"/>
  <c r="L149" i="5"/>
  <c r="J37" i="2"/>
  <c r="J44" i="4"/>
  <c r="N149" i="5"/>
  <c r="L44" i="4"/>
  <c r="Q149" i="5"/>
  <c r="M44" i="4"/>
  <c r="R149" i="5"/>
  <c r="T149" i="5"/>
  <c r="U149" i="5"/>
  <c r="P44" i="4"/>
  <c r="W149" i="5"/>
  <c r="Q44" i="4"/>
  <c r="X149" i="5"/>
  <c r="S44" i="4"/>
  <c r="AA149" i="5"/>
  <c r="AH44" i="4"/>
  <c r="T44" i="4" a="1"/>
  <c r="T44" i="4"/>
  <c r="AC149" i="5"/>
  <c r="U44" i="4" a="1"/>
  <c r="U44" i="4"/>
  <c r="AD149" i="5"/>
  <c r="AF149" i="5"/>
  <c r="AG149" i="5"/>
  <c r="X44" i="4"/>
  <c r="AI149" i="5"/>
  <c r="Y44" i="4"/>
  <c r="AJ149" i="5"/>
  <c r="Z44" i="4"/>
  <c r="AL149" i="5"/>
  <c r="F149" i="5"/>
  <c r="H149" i="5"/>
  <c r="I149" i="5"/>
  <c r="Z149" i="5"/>
  <c r="AN149" i="5"/>
  <c r="S214" i="4"/>
  <c r="AA150" i="5"/>
  <c r="P214" i="4"/>
  <c r="W150" i="5"/>
  <c r="C214" i="4"/>
  <c r="C150" i="5"/>
  <c r="D214" i="4"/>
  <c r="E150" i="5"/>
  <c r="E28" i="2"/>
  <c r="E214" i="4"/>
  <c r="F150" i="5"/>
  <c r="F28" i="2"/>
  <c r="F214" i="4"/>
  <c r="H150" i="5"/>
  <c r="I150" i="5"/>
  <c r="K150" i="5"/>
  <c r="L214" i="4"/>
  <c r="Q150" i="5"/>
  <c r="M214" i="4"/>
  <c r="R150" i="5"/>
  <c r="T150" i="5"/>
  <c r="U150" i="5"/>
  <c r="Q214" i="4"/>
  <c r="X150" i="5"/>
  <c r="R28" i="2"/>
  <c r="R32" i="2"/>
  <c r="R31" i="2"/>
  <c r="R214" i="4"/>
  <c r="Z150" i="5"/>
  <c r="AH214" i="4"/>
  <c r="T214" i="4" a="1"/>
  <c r="T214" i="4"/>
  <c r="AC150" i="5"/>
  <c r="U214" i="4" a="1"/>
  <c r="U214" i="4"/>
  <c r="AD150" i="5"/>
  <c r="AF150" i="5"/>
  <c r="AG150" i="5"/>
  <c r="X214" i="4"/>
  <c r="AI150" i="5"/>
  <c r="Y214" i="4"/>
  <c r="AJ150" i="5"/>
  <c r="Z214" i="4"/>
  <c r="AL150" i="5"/>
  <c r="L150" i="5"/>
  <c r="N150" i="5"/>
  <c r="O150" i="5"/>
  <c r="AN150" i="5"/>
  <c r="O151" i="5"/>
  <c r="B11" i="4"/>
  <c r="H34" i="2"/>
  <c r="H11" i="4"/>
  <c r="K151" i="5"/>
  <c r="C11" i="4"/>
  <c r="C151" i="5"/>
  <c r="D11" i="4"/>
  <c r="E151" i="5"/>
  <c r="I34" i="2"/>
  <c r="I11" i="4"/>
  <c r="L151" i="5"/>
  <c r="J34" i="2"/>
  <c r="J11" i="4"/>
  <c r="N151" i="5"/>
  <c r="L11" i="4"/>
  <c r="Q151" i="5"/>
  <c r="M11" i="4"/>
  <c r="R151" i="5"/>
  <c r="T151" i="5"/>
  <c r="U151" i="5"/>
  <c r="P11" i="4"/>
  <c r="W151" i="5"/>
  <c r="Q11" i="4"/>
  <c r="X151" i="5"/>
  <c r="S11" i="4"/>
  <c r="AA151" i="5"/>
  <c r="AH11" i="4"/>
  <c r="T11" i="4" a="1"/>
  <c r="T11" i="4"/>
  <c r="AC151" i="5"/>
  <c r="U11" i="4" a="1"/>
  <c r="U11" i="4"/>
  <c r="AD151" i="5"/>
  <c r="AF151" i="5"/>
  <c r="AG151" i="5"/>
  <c r="X11" i="4"/>
  <c r="AI151" i="5"/>
  <c r="Y11" i="4"/>
  <c r="AJ151" i="5"/>
  <c r="Z11" i="4"/>
  <c r="AL151" i="5"/>
  <c r="F151" i="5"/>
  <c r="H151" i="5"/>
  <c r="I151" i="5"/>
  <c r="Z151" i="5"/>
  <c r="AN151" i="5"/>
  <c r="C79" i="4"/>
  <c r="C152" i="5"/>
  <c r="D79" i="4"/>
  <c r="E152" i="5"/>
  <c r="H79" i="4"/>
  <c r="K152" i="5"/>
  <c r="L79" i="4"/>
  <c r="Q152" i="5"/>
  <c r="M79" i="4"/>
  <c r="R152" i="5"/>
  <c r="T152" i="5"/>
  <c r="U152" i="5"/>
  <c r="P79" i="4"/>
  <c r="W152" i="5"/>
  <c r="Q79" i="4"/>
  <c r="X152" i="5"/>
  <c r="AA152" i="5"/>
  <c r="AH79" i="4"/>
  <c r="T79" i="4" a="1"/>
  <c r="T79" i="4"/>
  <c r="AC152" i="5"/>
  <c r="U79" i="4" a="1"/>
  <c r="U79" i="4"/>
  <c r="AD152" i="5"/>
  <c r="AF152" i="5"/>
  <c r="AG152" i="5"/>
  <c r="X79" i="4"/>
  <c r="AI152" i="5"/>
  <c r="Y79" i="4"/>
  <c r="AJ152" i="5"/>
  <c r="Z79" i="4"/>
  <c r="AL152" i="5"/>
  <c r="F152" i="5"/>
  <c r="H152" i="5"/>
  <c r="I152" i="5"/>
  <c r="L152" i="5"/>
  <c r="N152" i="5"/>
  <c r="O152" i="5"/>
  <c r="Z152" i="5"/>
  <c r="AN152" i="5"/>
  <c r="C253" i="4"/>
  <c r="C153" i="5"/>
  <c r="D253" i="4"/>
  <c r="E153" i="5"/>
  <c r="E253" i="4"/>
  <c r="F153" i="5"/>
  <c r="F253" i="4"/>
  <c r="H153" i="5"/>
  <c r="I153" i="5"/>
  <c r="H253" i="4"/>
  <c r="K153" i="5"/>
  <c r="L253" i="4"/>
  <c r="Q153" i="5"/>
  <c r="M253" i="4"/>
  <c r="R153" i="5"/>
  <c r="T153" i="5"/>
  <c r="U153" i="5"/>
  <c r="P253" i="4"/>
  <c r="W153" i="5"/>
  <c r="Q253" i="4"/>
  <c r="X153" i="5"/>
  <c r="S253" i="4"/>
  <c r="AA153" i="5"/>
  <c r="AH253" i="4"/>
  <c r="T253" i="4" a="1"/>
  <c r="T253" i="4"/>
  <c r="AC153" i="5"/>
  <c r="U253" i="4" a="1"/>
  <c r="U253" i="4"/>
  <c r="AD153" i="5"/>
  <c r="AF153" i="5"/>
  <c r="AG153" i="5"/>
  <c r="X253" i="4"/>
  <c r="AI153" i="5"/>
  <c r="Y253" i="4"/>
  <c r="AJ153" i="5"/>
  <c r="Z253" i="4"/>
  <c r="AL153" i="5"/>
  <c r="L153" i="5"/>
  <c r="N153" i="5"/>
  <c r="O153" i="5"/>
  <c r="Z153" i="5"/>
  <c r="AN153" i="5"/>
  <c r="AA154" i="5"/>
  <c r="P22" i="4"/>
  <c r="W154" i="5"/>
  <c r="O154" i="5"/>
  <c r="H22" i="4"/>
  <c r="K154" i="5"/>
  <c r="C22" i="4"/>
  <c r="C154" i="5"/>
  <c r="D22" i="4"/>
  <c r="E154" i="5"/>
  <c r="I4" i="2"/>
  <c r="I22" i="4"/>
  <c r="L154" i="5"/>
  <c r="J4" i="2"/>
  <c r="J22" i="4"/>
  <c r="N154" i="5"/>
  <c r="L22" i="4"/>
  <c r="Q154" i="5"/>
  <c r="M22" i="4"/>
  <c r="R154" i="5"/>
  <c r="T154" i="5"/>
  <c r="U154" i="5"/>
  <c r="Q22" i="4"/>
  <c r="X154" i="5"/>
  <c r="R4" i="2"/>
  <c r="R37" i="2"/>
  <c r="R22" i="4"/>
  <c r="Z154" i="5"/>
  <c r="AH22" i="4"/>
  <c r="T22" i="4" a="1"/>
  <c r="T22" i="4"/>
  <c r="AC154" i="5"/>
  <c r="U22" i="4" a="1"/>
  <c r="U22" i="4"/>
  <c r="AD154" i="5"/>
  <c r="AF154" i="5"/>
  <c r="AG154" i="5"/>
  <c r="X22" i="4"/>
  <c r="AI154" i="5"/>
  <c r="Y22" i="4"/>
  <c r="AJ154" i="5"/>
  <c r="Z22" i="4"/>
  <c r="AL154" i="5"/>
  <c r="F154" i="5"/>
  <c r="H154" i="5"/>
  <c r="I154" i="5"/>
  <c r="AN154" i="5"/>
  <c r="B193" i="4"/>
  <c r="C193" i="4"/>
  <c r="C155" i="5"/>
  <c r="D193" i="4"/>
  <c r="E155" i="5"/>
  <c r="H193" i="4"/>
  <c r="K155" i="5"/>
  <c r="L193" i="4"/>
  <c r="Q155" i="5"/>
  <c r="M193" i="4"/>
  <c r="R155" i="5"/>
  <c r="T155" i="5"/>
  <c r="U155" i="5"/>
  <c r="P193" i="4"/>
  <c r="W155" i="5"/>
  <c r="Q193" i="4"/>
  <c r="X155" i="5"/>
  <c r="S193" i="4"/>
  <c r="AA155" i="5"/>
  <c r="AH193" i="4"/>
  <c r="T193" i="4" a="1"/>
  <c r="T193" i="4"/>
  <c r="AC155" i="5"/>
  <c r="U193" i="4" a="1"/>
  <c r="U193" i="4"/>
  <c r="AD155" i="5"/>
  <c r="AF155" i="5"/>
  <c r="AG155" i="5"/>
  <c r="X193" i="4"/>
  <c r="AI155" i="5"/>
  <c r="Y193" i="4"/>
  <c r="AJ155" i="5"/>
  <c r="Z193" i="4"/>
  <c r="AL155" i="5"/>
  <c r="F155" i="5"/>
  <c r="H155" i="5"/>
  <c r="I155" i="5"/>
  <c r="L155" i="5"/>
  <c r="N155" i="5"/>
  <c r="O155" i="5"/>
  <c r="Z155" i="5"/>
  <c r="AN155" i="5"/>
  <c r="C194" i="4"/>
  <c r="C156" i="5"/>
  <c r="D194" i="4"/>
  <c r="E156" i="5"/>
  <c r="E194" i="4"/>
  <c r="F156" i="5"/>
  <c r="F194" i="4"/>
  <c r="H156" i="5"/>
  <c r="I156" i="5"/>
  <c r="H194" i="4"/>
  <c r="K156" i="5"/>
  <c r="L194" i="4"/>
  <c r="Q156" i="5"/>
  <c r="M194" i="4"/>
  <c r="R156" i="5"/>
  <c r="T156" i="5"/>
  <c r="U156" i="5"/>
  <c r="P194" i="4"/>
  <c r="W156" i="5"/>
  <c r="Q194" i="4"/>
  <c r="X156" i="5"/>
  <c r="S194" i="4"/>
  <c r="AA156" i="5"/>
  <c r="AH194" i="4"/>
  <c r="T194" i="4" a="1"/>
  <c r="T194" i="4"/>
  <c r="AC156" i="5"/>
  <c r="U194" i="4" a="1"/>
  <c r="U194" i="4"/>
  <c r="AD156" i="5"/>
  <c r="AF156" i="5"/>
  <c r="AG156" i="5"/>
  <c r="X194" i="4"/>
  <c r="AI156" i="5"/>
  <c r="Y194" i="4"/>
  <c r="AJ156" i="5"/>
  <c r="Z194" i="4"/>
  <c r="AL156" i="5"/>
  <c r="L156" i="5"/>
  <c r="N156" i="5"/>
  <c r="O156" i="5"/>
  <c r="Z156" i="5"/>
  <c r="AN156" i="5"/>
  <c r="C277" i="4"/>
  <c r="C157" i="5"/>
  <c r="D277" i="4"/>
  <c r="E157" i="5"/>
  <c r="E277" i="4"/>
  <c r="F157" i="5"/>
  <c r="F277" i="4"/>
  <c r="H157" i="5"/>
  <c r="I157" i="5"/>
  <c r="H277" i="4"/>
  <c r="K157" i="5"/>
  <c r="L277" i="4"/>
  <c r="Q157" i="5"/>
  <c r="M277" i="4"/>
  <c r="R157" i="5"/>
  <c r="T157" i="5"/>
  <c r="U157" i="5"/>
  <c r="P277" i="4"/>
  <c r="W157" i="5"/>
  <c r="Q277" i="4"/>
  <c r="X157" i="5"/>
  <c r="S277" i="4"/>
  <c r="AA157" i="5"/>
  <c r="AH277" i="4"/>
  <c r="T277" i="4" a="1"/>
  <c r="T277" i="4"/>
  <c r="AC157" i="5"/>
  <c r="U277" i="4" a="1"/>
  <c r="U277" i="4"/>
  <c r="AD157" i="5"/>
  <c r="AF157" i="5"/>
  <c r="AG157" i="5"/>
  <c r="X277" i="4"/>
  <c r="AI157" i="5"/>
  <c r="Y277" i="4"/>
  <c r="AJ157" i="5"/>
  <c r="Z277" i="4"/>
  <c r="AL157" i="5"/>
  <c r="L157" i="5"/>
  <c r="N157" i="5"/>
  <c r="O157" i="5"/>
  <c r="Z157" i="5"/>
  <c r="AN157" i="5"/>
  <c r="C278" i="4"/>
  <c r="C158" i="5"/>
  <c r="D278" i="4"/>
  <c r="E158" i="5"/>
  <c r="E278" i="4"/>
  <c r="F158" i="5"/>
  <c r="F278" i="4"/>
  <c r="H158" i="5"/>
  <c r="I158" i="5"/>
  <c r="H278" i="4"/>
  <c r="K158" i="5"/>
  <c r="L278" i="4"/>
  <c r="Q158" i="5"/>
  <c r="M278" i="4"/>
  <c r="R158" i="5"/>
  <c r="T158" i="5"/>
  <c r="U158" i="5"/>
  <c r="P278" i="4"/>
  <c r="W158" i="5"/>
  <c r="Q278" i="4"/>
  <c r="X158" i="5"/>
  <c r="S278" i="4"/>
  <c r="AA158" i="5"/>
  <c r="AH278" i="4"/>
  <c r="T278" i="4" a="1"/>
  <c r="T278" i="4"/>
  <c r="AC158" i="5"/>
  <c r="U278" i="4" a="1"/>
  <c r="U278" i="4"/>
  <c r="AD158" i="5"/>
  <c r="AF158" i="5"/>
  <c r="AG158" i="5"/>
  <c r="X278" i="4"/>
  <c r="AI158" i="5"/>
  <c r="Y278" i="4"/>
  <c r="AJ158" i="5"/>
  <c r="Z278" i="4"/>
  <c r="AL158" i="5"/>
  <c r="L158" i="5"/>
  <c r="N158" i="5"/>
  <c r="O158" i="5"/>
  <c r="Z158" i="5"/>
  <c r="AN158" i="5"/>
  <c r="B46" i="4"/>
  <c r="C47" i="2"/>
  <c r="C46" i="4"/>
  <c r="C159" i="5"/>
  <c r="D47" i="2"/>
  <c r="D46" i="4"/>
  <c r="E159" i="5"/>
  <c r="H47" i="2"/>
  <c r="H46" i="4"/>
  <c r="K159" i="5"/>
  <c r="L47" i="2"/>
  <c r="L46" i="4"/>
  <c r="Q159" i="5"/>
  <c r="M47" i="2"/>
  <c r="M46" i="4"/>
  <c r="R159" i="5"/>
  <c r="N47" i="2"/>
  <c r="N46" i="4"/>
  <c r="T159" i="5"/>
  <c r="O47" i="2"/>
  <c r="O46" i="4"/>
  <c r="U159" i="5"/>
  <c r="P47" i="2"/>
  <c r="P46" i="4"/>
  <c r="W159" i="5"/>
  <c r="Q47" i="2"/>
  <c r="Q46" i="4"/>
  <c r="X159" i="5"/>
  <c r="AA159" i="5"/>
  <c r="AH46" i="4"/>
  <c r="T46" i="4" a="1"/>
  <c r="T46" i="4"/>
  <c r="AC159" i="5"/>
  <c r="U46" i="4" a="1"/>
  <c r="U46" i="4"/>
  <c r="AD159" i="5"/>
  <c r="AF159" i="5"/>
  <c r="AG159" i="5"/>
  <c r="X47" i="2"/>
  <c r="X46" i="4"/>
  <c r="AI159" i="5"/>
  <c r="Y47" i="2"/>
  <c r="Y46" i="4"/>
  <c r="AJ159" i="5"/>
  <c r="Z47" i="2"/>
  <c r="Z46" i="4"/>
  <c r="AL159" i="5"/>
  <c r="F159" i="5"/>
  <c r="H159" i="5"/>
  <c r="I159" i="5"/>
  <c r="L159" i="5"/>
  <c r="N159" i="5"/>
  <c r="O159" i="5"/>
  <c r="Z159" i="5"/>
  <c r="AN159" i="5"/>
  <c r="B80" i="4"/>
  <c r="C80" i="4"/>
  <c r="C160" i="5"/>
  <c r="D80" i="4"/>
  <c r="E160" i="5"/>
  <c r="H80" i="4"/>
  <c r="K160" i="5"/>
  <c r="L80" i="4"/>
  <c r="Q160" i="5"/>
  <c r="M80" i="4"/>
  <c r="R160" i="5"/>
  <c r="T160" i="5"/>
  <c r="U160" i="5"/>
  <c r="P80" i="4"/>
  <c r="W160" i="5"/>
  <c r="Q80" i="4"/>
  <c r="X160" i="5"/>
  <c r="AA160" i="5"/>
  <c r="AH80" i="4"/>
  <c r="T80" i="4" a="1"/>
  <c r="T80" i="4"/>
  <c r="AC160" i="5"/>
  <c r="U80" i="4" a="1"/>
  <c r="U80" i="4"/>
  <c r="AD160" i="5"/>
  <c r="AF160" i="5"/>
  <c r="AG160" i="5"/>
  <c r="Y80" i="4"/>
  <c r="AJ160" i="5"/>
  <c r="Z80" i="4"/>
  <c r="AL160" i="5"/>
  <c r="F160" i="5"/>
  <c r="H160" i="5"/>
  <c r="I160" i="5"/>
  <c r="L160" i="5"/>
  <c r="N160" i="5"/>
  <c r="O160" i="5"/>
  <c r="Z160" i="5"/>
  <c r="AN160" i="5"/>
  <c r="C215" i="4"/>
  <c r="C161" i="5"/>
  <c r="D215" i="4"/>
  <c r="E161" i="5"/>
  <c r="H215" i="4"/>
  <c r="K161" i="5"/>
  <c r="L215" i="4"/>
  <c r="Q161" i="5"/>
  <c r="M215" i="4"/>
  <c r="R161" i="5"/>
  <c r="T161" i="5"/>
  <c r="U161" i="5"/>
  <c r="P215" i="4"/>
  <c r="W161" i="5"/>
  <c r="Q215" i="4"/>
  <c r="X161" i="5"/>
  <c r="S215" i="4"/>
  <c r="AA161" i="5"/>
  <c r="AH215" i="4"/>
  <c r="T215" i="4" a="1"/>
  <c r="T215" i="4"/>
  <c r="AC161" i="5"/>
  <c r="U215" i="4" a="1"/>
  <c r="U215" i="4"/>
  <c r="AD161" i="5"/>
  <c r="AF161" i="5"/>
  <c r="AG161" i="5"/>
  <c r="X215" i="4"/>
  <c r="AI161" i="5"/>
  <c r="Y215" i="4"/>
  <c r="AJ161" i="5"/>
  <c r="Z215" i="4"/>
  <c r="AL161" i="5"/>
  <c r="F161" i="5"/>
  <c r="H161" i="5"/>
  <c r="I161" i="5"/>
  <c r="L161" i="5"/>
  <c r="N161" i="5"/>
  <c r="O161" i="5"/>
  <c r="Z161" i="5"/>
  <c r="AN161" i="5"/>
  <c r="O162" i="5"/>
  <c r="K162" i="5"/>
  <c r="C82" i="4"/>
  <c r="C162" i="5"/>
  <c r="D82" i="4"/>
  <c r="E162" i="5"/>
  <c r="E82" i="4"/>
  <c r="F162" i="5"/>
  <c r="F82" i="4"/>
  <c r="H162" i="5"/>
  <c r="I162" i="5"/>
  <c r="I82" i="4"/>
  <c r="L162" i="5"/>
  <c r="J82" i="4"/>
  <c r="N162" i="5"/>
  <c r="L82" i="4"/>
  <c r="Q162" i="5"/>
  <c r="M82" i="4"/>
  <c r="R162" i="5"/>
  <c r="T162" i="5"/>
  <c r="U162" i="5"/>
  <c r="P82" i="4"/>
  <c r="W162" i="5"/>
  <c r="Q82" i="4"/>
  <c r="X162" i="5"/>
  <c r="S82" i="4"/>
  <c r="AA162" i="5"/>
  <c r="AH82" i="4"/>
  <c r="T82" i="4" a="1"/>
  <c r="T82" i="4"/>
  <c r="AC162" i="5"/>
  <c r="U82" i="4" a="1"/>
  <c r="U82" i="4"/>
  <c r="AD162" i="5"/>
  <c r="AF162" i="5"/>
  <c r="AG162" i="5"/>
  <c r="X82" i="4"/>
  <c r="AI162" i="5"/>
  <c r="Y82" i="4"/>
  <c r="AJ162" i="5"/>
  <c r="Z82" i="4"/>
  <c r="AL162" i="5"/>
  <c r="Z162" i="5"/>
  <c r="AN162" i="5"/>
  <c r="O163" i="5"/>
  <c r="H83" i="4"/>
  <c r="K163" i="5"/>
  <c r="C83" i="4"/>
  <c r="C163" i="5"/>
  <c r="D83" i="4"/>
  <c r="E163" i="5"/>
  <c r="E12" i="2"/>
  <c r="E83" i="4"/>
  <c r="F163" i="5"/>
  <c r="F12" i="2"/>
  <c r="F83" i="4"/>
  <c r="H163" i="5"/>
  <c r="I163" i="5"/>
  <c r="L163" i="5"/>
  <c r="J12" i="2"/>
  <c r="J83" i="4"/>
  <c r="N163" i="5"/>
  <c r="L83" i="4"/>
  <c r="Q163" i="5"/>
  <c r="M83" i="4"/>
  <c r="R163" i="5"/>
  <c r="T163" i="5"/>
  <c r="U163" i="5"/>
  <c r="P83" i="4"/>
  <c r="W163" i="5"/>
  <c r="Q83" i="4"/>
  <c r="X163" i="5"/>
  <c r="S83" i="4"/>
  <c r="AA163" i="5"/>
  <c r="AH83" i="4"/>
  <c r="T83" i="4" a="1"/>
  <c r="T83" i="4"/>
  <c r="AC163" i="5"/>
  <c r="U83" i="4" a="1"/>
  <c r="U83" i="4"/>
  <c r="AD163" i="5"/>
  <c r="AF163" i="5"/>
  <c r="AG163" i="5"/>
  <c r="X83" i="4"/>
  <c r="AI163" i="5"/>
  <c r="Y83" i="4"/>
  <c r="AJ163" i="5"/>
  <c r="Z83" i="4"/>
  <c r="AL163" i="5"/>
  <c r="Z163" i="5"/>
  <c r="AN163" i="5"/>
  <c r="O164" i="5"/>
  <c r="H84" i="4"/>
  <c r="K164" i="5"/>
  <c r="C84" i="4"/>
  <c r="C164" i="5"/>
  <c r="D84" i="4"/>
  <c r="E164" i="5"/>
  <c r="E35" i="2"/>
  <c r="E33" i="2"/>
  <c r="E84" i="4"/>
  <c r="F164" i="5"/>
  <c r="F35" i="2"/>
  <c r="F33" i="2"/>
  <c r="F84" i="4"/>
  <c r="H164" i="5"/>
  <c r="I164" i="5"/>
  <c r="I35" i="2"/>
  <c r="I84" i="4"/>
  <c r="L164" i="5"/>
  <c r="J35" i="2"/>
  <c r="J84" i="4"/>
  <c r="N164" i="5"/>
  <c r="L84" i="4"/>
  <c r="Q164" i="5"/>
  <c r="M84" i="4"/>
  <c r="R164" i="5"/>
  <c r="T164" i="5"/>
  <c r="U164" i="5"/>
  <c r="P84" i="4"/>
  <c r="W164" i="5"/>
  <c r="Q84" i="4"/>
  <c r="X164" i="5"/>
  <c r="AA164" i="5"/>
  <c r="AH84" i="4"/>
  <c r="T84" i="4" a="1"/>
  <c r="T84" i="4"/>
  <c r="AC164" i="5"/>
  <c r="U84" i="4" a="1"/>
  <c r="U84" i="4"/>
  <c r="AD164" i="5"/>
  <c r="AF164" i="5"/>
  <c r="AG164" i="5"/>
  <c r="AI164" i="5"/>
  <c r="Y84" i="4"/>
  <c r="AJ164" i="5"/>
  <c r="Z84" i="4"/>
  <c r="AL164" i="5"/>
  <c r="Z164" i="5"/>
  <c r="AN164" i="5"/>
  <c r="B254" i="4"/>
  <c r="C254" i="4"/>
  <c r="C165" i="5"/>
  <c r="D254" i="4"/>
  <c r="E165" i="5"/>
  <c r="K165" i="5"/>
  <c r="L254" i="4"/>
  <c r="Q165" i="5"/>
  <c r="M254" i="4"/>
  <c r="R165" i="5"/>
  <c r="T165" i="5"/>
  <c r="U165" i="5"/>
  <c r="P254" i="4"/>
  <c r="W165" i="5"/>
  <c r="Q254" i="4"/>
  <c r="X165" i="5"/>
  <c r="S254" i="4"/>
  <c r="AA165" i="5"/>
  <c r="AH254" i="4"/>
  <c r="T254" i="4" a="1"/>
  <c r="T254" i="4"/>
  <c r="AC165" i="5"/>
  <c r="U254" i="4" a="1"/>
  <c r="U254" i="4"/>
  <c r="AD165" i="5"/>
  <c r="AF165" i="5"/>
  <c r="AG165" i="5"/>
  <c r="X254" i="4"/>
  <c r="AI165" i="5"/>
  <c r="Y254" i="4"/>
  <c r="AJ165" i="5"/>
  <c r="Z254" i="4"/>
  <c r="AL165" i="5"/>
  <c r="F165" i="5"/>
  <c r="H165" i="5"/>
  <c r="I165" i="5"/>
  <c r="L165" i="5"/>
  <c r="N165" i="5"/>
  <c r="O165" i="5"/>
  <c r="Z165" i="5"/>
  <c r="AN165" i="5"/>
  <c r="C279" i="4"/>
  <c r="C166" i="5"/>
  <c r="E166" i="5"/>
  <c r="K166" i="5"/>
  <c r="L279" i="4"/>
  <c r="Q166" i="5"/>
  <c r="T166" i="5"/>
  <c r="U166" i="5"/>
  <c r="P279" i="4"/>
  <c r="W166" i="5"/>
  <c r="Q279" i="4"/>
  <c r="X166" i="5"/>
  <c r="S279" i="4"/>
  <c r="AA166" i="5"/>
  <c r="AH279" i="4"/>
  <c r="T279" i="4" a="1"/>
  <c r="T279" i="4"/>
  <c r="AC166" i="5"/>
  <c r="U279" i="4" a="1"/>
  <c r="U279" i="4"/>
  <c r="AD166" i="5"/>
  <c r="AF166" i="5"/>
  <c r="AG166" i="5"/>
  <c r="X279" i="4"/>
  <c r="AI166" i="5"/>
  <c r="Y279" i="4"/>
  <c r="AJ166" i="5"/>
  <c r="Z279" i="4"/>
  <c r="AL166" i="5"/>
  <c r="F166" i="5"/>
  <c r="H166" i="5"/>
  <c r="I166" i="5"/>
  <c r="L166" i="5"/>
  <c r="N166" i="5"/>
  <c r="O166" i="5"/>
  <c r="Z166" i="5"/>
  <c r="AN166" i="5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H255" i="4"/>
  <c r="T255" i="4" a="1"/>
  <c r="T255" i="4"/>
  <c r="AC167" i="5"/>
  <c r="U255" i="4" a="1"/>
  <c r="U255" i="4"/>
  <c r="AD167" i="5"/>
  <c r="AF167" i="5"/>
  <c r="AG167" i="5"/>
  <c r="X255" i="4"/>
  <c r="AI167" i="5"/>
  <c r="Y255" i="4"/>
  <c r="AJ167" i="5"/>
  <c r="Z255" i="4"/>
  <c r="AL167" i="5"/>
  <c r="F167" i="5"/>
  <c r="H167" i="5"/>
  <c r="I167" i="5"/>
  <c r="L167" i="5"/>
  <c r="N167" i="5"/>
  <c r="O167" i="5"/>
  <c r="Z167" i="5"/>
  <c r="AN167" i="5"/>
  <c r="C87" i="4"/>
  <c r="C168" i="5"/>
  <c r="D87" i="4"/>
  <c r="E168" i="5"/>
  <c r="H87" i="4"/>
  <c r="K168" i="5"/>
  <c r="L87" i="4"/>
  <c r="Q168" i="5"/>
  <c r="M87" i="4"/>
  <c r="R168" i="5"/>
  <c r="T168" i="5"/>
  <c r="U168" i="5"/>
  <c r="P87" i="4"/>
  <c r="W168" i="5"/>
  <c r="Q87" i="4"/>
  <c r="X168" i="5"/>
  <c r="S87" i="4"/>
  <c r="AA168" i="5"/>
  <c r="AH87" i="4"/>
  <c r="T87" i="4" a="1"/>
  <c r="T87" i="4"/>
  <c r="AC168" i="5"/>
  <c r="U87" i="4" a="1"/>
  <c r="U87" i="4"/>
  <c r="AD168" i="5"/>
  <c r="AF168" i="5"/>
  <c r="AG168" i="5"/>
  <c r="X87" i="4"/>
  <c r="AI168" i="5"/>
  <c r="Y87" i="4"/>
  <c r="AJ168" i="5"/>
  <c r="Z87" i="4"/>
  <c r="AL168" i="5"/>
  <c r="F168" i="5"/>
  <c r="H168" i="5"/>
  <c r="I168" i="5"/>
  <c r="L168" i="5"/>
  <c r="N168" i="5"/>
  <c r="O168" i="5"/>
  <c r="Z168" i="5"/>
  <c r="AN168" i="5"/>
  <c r="B287" i="4"/>
  <c r="C287" i="4"/>
  <c r="C169" i="5"/>
  <c r="D287" i="4"/>
  <c r="E169" i="5"/>
  <c r="K169" i="5"/>
  <c r="L287" i="4"/>
  <c r="Q169" i="5"/>
  <c r="M287" i="4"/>
  <c r="R169" i="5"/>
  <c r="T169" i="5"/>
  <c r="U169" i="5"/>
  <c r="P287" i="4"/>
  <c r="W169" i="5"/>
  <c r="Q287" i="4"/>
  <c r="X169" i="5"/>
  <c r="S287" i="4"/>
  <c r="AA169" i="5"/>
  <c r="AH287" i="4"/>
  <c r="T287" i="4" a="1"/>
  <c r="T287" i="4"/>
  <c r="AC169" i="5"/>
  <c r="U287" i="4" a="1"/>
  <c r="U287" i="4"/>
  <c r="AD169" i="5"/>
  <c r="AF169" i="5"/>
  <c r="AG169" i="5"/>
  <c r="X287" i="4"/>
  <c r="AI169" i="5"/>
  <c r="Y287" i="4"/>
  <c r="AJ169" i="5"/>
  <c r="Z287" i="4"/>
  <c r="AL169" i="5"/>
  <c r="F169" i="5"/>
  <c r="H169" i="5"/>
  <c r="I169" i="5"/>
  <c r="L169" i="5"/>
  <c r="N169" i="5"/>
  <c r="O169" i="5"/>
  <c r="Z169" i="5"/>
  <c r="AN169" i="5"/>
  <c r="B288" i="4"/>
  <c r="C288" i="4"/>
  <c r="C170" i="5"/>
  <c r="D288" i="4"/>
  <c r="E170" i="5"/>
  <c r="K170" i="5"/>
  <c r="L288" i="4"/>
  <c r="Q170" i="5"/>
  <c r="M288" i="4"/>
  <c r="R170" i="5"/>
  <c r="T170" i="5"/>
  <c r="U170" i="5"/>
  <c r="P288" i="4"/>
  <c r="W170" i="5"/>
  <c r="Q288" i="4"/>
  <c r="X170" i="5"/>
  <c r="AA170" i="5"/>
  <c r="AH288" i="4"/>
  <c r="T288" i="4" a="1"/>
  <c r="T288" i="4"/>
  <c r="AC170" i="5"/>
  <c r="U288" i="4" a="1"/>
  <c r="U288" i="4"/>
  <c r="AD170" i="5"/>
  <c r="AF170" i="5"/>
  <c r="AG170" i="5"/>
  <c r="X288" i="4"/>
  <c r="AI170" i="5"/>
  <c r="Y288" i="4"/>
  <c r="AJ170" i="5"/>
  <c r="Z288" i="4"/>
  <c r="AL170" i="5"/>
  <c r="F170" i="5"/>
  <c r="H170" i="5"/>
  <c r="I170" i="5"/>
  <c r="L170" i="5"/>
  <c r="N170" i="5"/>
  <c r="O170" i="5"/>
  <c r="Z170" i="5"/>
  <c r="AN170" i="5"/>
  <c r="S23" i="4"/>
  <c r="AA171" i="5"/>
  <c r="P23" i="4"/>
  <c r="W171" i="5"/>
  <c r="O171" i="5"/>
  <c r="K171" i="5"/>
  <c r="C23" i="4"/>
  <c r="C171" i="5"/>
  <c r="D23" i="4"/>
  <c r="E171" i="5"/>
  <c r="E23" i="4"/>
  <c r="F171" i="5"/>
  <c r="F23" i="4"/>
  <c r="H171" i="5"/>
  <c r="I171" i="5"/>
  <c r="L23" i="4"/>
  <c r="Q171" i="5"/>
  <c r="M23" i="4"/>
  <c r="R171" i="5"/>
  <c r="T171" i="5"/>
  <c r="U171" i="5"/>
  <c r="Q23" i="4"/>
  <c r="X171" i="5"/>
  <c r="R15" i="2"/>
  <c r="R29" i="2"/>
  <c r="R23" i="4"/>
  <c r="Z171" i="5"/>
  <c r="AH23" i="4"/>
  <c r="T23" i="4" a="1"/>
  <c r="T23" i="4"/>
  <c r="AC171" i="5"/>
  <c r="U23" i="4" a="1"/>
  <c r="U23" i="4"/>
  <c r="AD171" i="5"/>
  <c r="AF171" i="5"/>
  <c r="AG171" i="5"/>
  <c r="X23" i="4"/>
  <c r="AI171" i="5"/>
  <c r="Y23" i="4"/>
  <c r="AJ171" i="5"/>
  <c r="Z23" i="4"/>
  <c r="AL171" i="5"/>
  <c r="AN171" i="5"/>
  <c r="B7" i="4"/>
  <c r="S7" i="4"/>
  <c r="AA172" i="5"/>
  <c r="P7" i="4"/>
  <c r="W172" i="5"/>
  <c r="O172" i="5"/>
  <c r="H7" i="4"/>
  <c r="K172" i="5"/>
  <c r="C7" i="4"/>
  <c r="C172" i="5"/>
  <c r="D7" i="4"/>
  <c r="E172" i="5"/>
  <c r="E7" i="4"/>
  <c r="F172" i="5"/>
  <c r="F7" i="4"/>
  <c r="H172" i="5"/>
  <c r="I172" i="5"/>
  <c r="I38" i="2"/>
  <c r="I7" i="4"/>
  <c r="L172" i="5"/>
  <c r="J38" i="2"/>
  <c r="J7" i="4"/>
  <c r="N172" i="5"/>
  <c r="L7" i="4"/>
  <c r="Q172" i="5"/>
  <c r="M7" i="4"/>
  <c r="R172" i="5"/>
  <c r="T172" i="5"/>
  <c r="U172" i="5"/>
  <c r="Q7" i="4"/>
  <c r="X172" i="5"/>
  <c r="R2" i="2"/>
  <c r="R7" i="4"/>
  <c r="Z172" i="5"/>
  <c r="AH7" i="4"/>
  <c r="T7" i="4" a="1"/>
  <c r="T7" i="4"/>
  <c r="AC172" i="5"/>
  <c r="U7" i="4" a="1"/>
  <c r="U7" i="4"/>
  <c r="AD172" i="5"/>
  <c r="AF172" i="5"/>
  <c r="AG172" i="5"/>
  <c r="X7" i="4"/>
  <c r="AI172" i="5"/>
  <c r="Y7" i="4"/>
  <c r="AJ172" i="5"/>
  <c r="Z7" i="4"/>
  <c r="AL172" i="5"/>
  <c r="AN172" i="5"/>
  <c r="AA173" i="5"/>
  <c r="P161" i="4"/>
  <c r="W173" i="5"/>
  <c r="O173" i="5"/>
  <c r="K173" i="5"/>
  <c r="C161" i="4"/>
  <c r="C173" i="5"/>
  <c r="D161" i="4"/>
  <c r="E173" i="5"/>
  <c r="L173" i="5"/>
  <c r="N173" i="5"/>
  <c r="L161" i="4"/>
  <c r="Q173" i="5"/>
  <c r="U173" i="5"/>
  <c r="Q161" i="4"/>
  <c r="X173" i="5"/>
  <c r="R161" i="4"/>
  <c r="Z173" i="5"/>
  <c r="AC173" i="5"/>
  <c r="AD173" i="5"/>
  <c r="AF173" i="5"/>
  <c r="AG173" i="5"/>
  <c r="X161" i="4"/>
  <c r="AI173" i="5"/>
  <c r="Y161" i="4"/>
  <c r="AJ173" i="5"/>
  <c r="Z161" i="4"/>
  <c r="AL173" i="5"/>
  <c r="F173" i="5"/>
  <c r="R173" i="5"/>
  <c r="T173" i="5"/>
  <c r="H173" i="5"/>
  <c r="I173" i="5"/>
  <c r="AN173" i="5"/>
  <c r="AA174" i="5"/>
  <c r="P162" i="4"/>
  <c r="W174" i="5"/>
  <c r="O174" i="5"/>
  <c r="K174" i="5"/>
  <c r="C162" i="4"/>
  <c r="C174" i="5"/>
  <c r="D162" i="4"/>
  <c r="E174" i="5"/>
  <c r="L174" i="5"/>
  <c r="N174" i="5"/>
  <c r="L162" i="4"/>
  <c r="Q174" i="5"/>
  <c r="U174" i="5"/>
  <c r="Q162" i="4"/>
  <c r="X174" i="5"/>
  <c r="R162" i="4"/>
  <c r="Z174" i="5"/>
  <c r="AC174" i="5"/>
  <c r="AD174" i="5"/>
  <c r="AF174" i="5"/>
  <c r="AG174" i="5"/>
  <c r="X162" i="4"/>
  <c r="AI174" i="5"/>
  <c r="Y162" i="4"/>
  <c r="AJ174" i="5"/>
  <c r="Z162" i="4"/>
  <c r="AL174" i="5"/>
  <c r="F174" i="5"/>
  <c r="R174" i="5"/>
  <c r="T174" i="5"/>
  <c r="H174" i="5"/>
  <c r="I174" i="5"/>
  <c r="AN174" i="5"/>
  <c r="AA175" i="5"/>
  <c r="P163" i="4"/>
  <c r="W175" i="5"/>
  <c r="O175" i="5"/>
  <c r="H163" i="4"/>
  <c r="K175" i="5"/>
  <c r="C163" i="4"/>
  <c r="C175" i="5"/>
  <c r="D163" i="4"/>
  <c r="E175" i="5"/>
  <c r="L175" i="5"/>
  <c r="J25" i="2"/>
  <c r="J163" i="4"/>
  <c r="N175" i="5"/>
  <c r="L163" i="4"/>
  <c r="Q175" i="5"/>
  <c r="M163" i="4"/>
  <c r="R175" i="5"/>
  <c r="T175" i="5"/>
  <c r="U175" i="5"/>
  <c r="Q163" i="4"/>
  <c r="X175" i="5"/>
  <c r="R12" i="2"/>
  <c r="R163" i="4"/>
  <c r="Z175" i="5"/>
  <c r="AC175" i="5"/>
  <c r="AD175" i="5"/>
  <c r="AF175" i="5"/>
  <c r="AG175" i="5"/>
  <c r="X163" i="4"/>
  <c r="AI175" i="5"/>
  <c r="Y163" i="4"/>
  <c r="AJ175" i="5"/>
  <c r="Z163" i="4"/>
  <c r="AL175" i="5"/>
  <c r="F175" i="5"/>
  <c r="H175" i="5"/>
  <c r="I175" i="5"/>
  <c r="AN175" i="5"/>
  <c r="B111" i="4"/>
  <c r="C111" i="4"/>
  <c r="C176" i="5"/>
  <c r="D111" i="4"/>
  <c r="E176" i="5"/>
  <c r="H111" i="4"/>
  <c r="K176" i="5"/>
  <c r="L111" i="4"/>
  <c r="Q176" i="5"/>
  <c r="M111" i="4"/>
  <c r="R176" i="5"/>
  <c r="T176" i="5"/>
  <c r="U176" i="5"/>
  <c r="P111" i="4"/>
  <c r="W176" i="5"/>
  <c r="Q111" i="4"/>
  <c r="X176" i="5"/>
  <c r="S111" i="4"/>
  <c r="AA176" i="5"/>
  <c r="AH111" i="4"/>
  <c r="T111" i="4" a="1"/>
  <c r="T111" i="4"/>
  <c r="AC176" i="5"/>
  <c r="U111" i="4" a="1"/>
  <c r="U111" i="4"/>
  <c r="AD176" i="5"/>
  <c r="AF176" i="5"/>
  <c r="AG176" i="5"/>
  <c r="X111" i="4"/>
  <c r="AI176" i="5"/>
  <c r="Y111" i="4"/>
  <c r="AJ176" i="5"/>
  <c r="Z111" i="4"/>
  <c r="AL176" i="5"/>
  <c r="F176" i="5"/>
  <c r="L176" i="5"/>
  <c r="N176" i="5"/>
  <c r="O176" i="5"/>
  <c r="Z176" i="5"/>
  <c r="H176" i="5"/>
  <c r="I176" i="5"/>
  <c r="AN176" i="5"/>
  <c r="C112" i="4"/>
  <c r="C177" i="5"/>
  <c r="D112" i="4"/>
  <c r="E177" i="5"/>
  <c r="E112" i="4"/>
  <c r="F177" i="5"/>
  <c r="F112" i="4"/>
  <c r="H177" i="5"/>
  <c r="I177" i="5"/>
  <c r="H112" i="4"/>
  <c r="K177" i="5"/>
  <c r="L112" i="4"/>
  <c r="Q177" i="5"/>
  <c r="M112" i="4"/>
  <c r="R177" i="5"/>
  <c r="T177" i="5"/>
  <c r="U177" i="5"/>
  <c r="P112" i="4"/>
  <c r="W177" i="5"/>
  <c r="Q112" i="4"/>
  <c r="X177" i="5"/>
  <c r="S112" i="4"/>
  <c r="AA177" i="5"/>
  <c r="AH112" i="4"/>
  <c r="T112" i="4" a="1"/>
  <c r="T112" i="4"/>
  <c r="AC177" i="5"/>
  <c r="U112" i="4" a="1"/>
  <c r="U112" i="4"/>
  <c r="AD177" i="5"/>
  <c r="AF177" i="5"/>
  <c r="AG177" i="5"/>
  <c r="X112" i="4"/>
  <c r="AI177" i="5"/>
  <c r="Y112" i="4"/>
  <c r="AJ177" i="5"/>
  <c r="Z112" i="4"/>
  <c r="AL177" i="5"/>
  <c r="L177" i="5"/>
  <c r="N177" i="5"/>
  <c r="O177" i="5"/>
  <c r="Z177" i="5"/>
  <c r="AN177" i="5"/>
  <c r="B113" i="4"/>
  <c r="S113" i="4"/>
  <c r="AA178" i="5"/>
  <c r="P113" i="4"/>
  <c r="W178" i="5"/>
  <c r="O178" i="5"/>
  <c r="K178" i="5"/>
  <c r="C113" i="4"/>
  <c r="C178" i="5"/>
  <c r="D113" i="4"/>
  <c r="E178" i="5"/>
  <c r="E113" i="4"/>
  <c r="F178" i="5"/>
  <c r="F113" i="4"/>
  <c r="H178" i="5"/>
  <c r="I178" i="5"/>
  <c r="I113" i="4"/>
  <c r="L178" i="5"/>
  <c r="J113" i="4"/>
  <c r="N178" i="5"/>
  <c r="L113" i="4"/>
  <c r="Q178" i="5"/>
  <c r="M113" i="4"/>
  <c r="R178" i="5"/>
  <c r="T178" i="5"/>
  <c r="U178" i="5"/>
  <c r="Q113" i="4"/>
  <c r="X178" i="5"/>
  <c r="R113" i="4"/>
  <c r="Z178" i="5"/>
  <c r="AH113" i="4"/>
  <c r="T113" i="4" a="1"/>
  <c r="T113" i="4"/>
  <c r="AC178" i="5"/>
  <c r="U113" i="4" a="1"/>
  <c r="U113" i="4"/>
  <c r="AD178" i="5"/>
  <c r="AF178" i="5"/>
  <c r="AG178" i="5"/>
  <c r="X113" i="4"/>
  <c r="AI178" i="5"/>
  <c r="Y113" i="4"/>
  <c r="AJ178" i="5"/>
  <c r="Z113" i="4"/>
  <c r="AL178" i="5"/>
  <c r="AN178" i="5"/>
  <c r="B24" i="4"/>
  <c r="S24" i="4"/>
  <c r="AA179" i="5"/>
  <c r="P24" i="4"/>
  <c r="W179" i="5"/>
  <c r="O179" i="5"/>
  <c r="H3" i="2"/>
  <c r="H24" i="4"/>
  <c r="K179" i="5"/>
  <c r="C24" i="4"/>
  <c r="C179" i="5"/>
  <c r="D24" i="4"/>
  <c r="E179" i="5"/>
  <c r="E24" i="4"/>
  <c r="F179" i="5"/>
  <c r="F24" i="4"/>
  <c r="H179" i="5"/>
  <c r="I179" i="5"/>
  <c r="I24" i="4"/>
  <c r="L179" i="5"/>
  <c r="J24" i="4"/>
  <c r="N179" i="5"/>
  <c r="L24" i="4"/>
  <c r="Q179" i="5"/>
  <c r="M24" i="4"/>
  <c r="R179" i="5"/>
  <c r="T179" i="5"/>
  <c r="U179" i="5"/>
  <c r="Q24" i="4"/>
  <c r="X179" i="5"/>
  <c r="R40" i="2"/>
  <c r="R19" i="2"/>
  <c r="R3" i="2"/>
  <c r="R24" i="4"/>
  <c r="Z179" i="5"/>
  <c r="AH24" i="4"/>
  <c r="T24" i="4" a="1"/>
  <c r="T24" i="4"/>
  <c r="AC179" i="5"/>
  <c r="U24" i="4" a="1"/>
  <c r="U24" i="4"/>
  <c r="AD179" i="5"/>
  <c r="AF179" i="5"/>
  <c r="AG179" i="5"/>
  <c r="X24" i="4"/>
  <c r="AI179" i="5"/>
  <c r="Y24" i="4"/>
  <c r="AJ179" i="5"/>
  <c r="Z24" i="4"/>
  <c r="AL179" i="5"/>
  <c r="AN179" i="5"/>
  <c r="B25" i="4"/>
  <c r="S25" i="4"/>
  <c r="AA180" i="5"/>
  <c r="P25" i="4"/>
  <c r="W180" i="5"/>
  <c r="O180" i="5"/>
  <c r="H25" i="4"/>
  <c r="K180" i="5"/>
  <c r="C25" i="4"/>
  <c r="C180" i="5"/>
  <c r="D25" i="4"/>
  <c r="E180" i="5"/>
  <c r="E25" i="4"/>
  <c r="F180" i="5"/>
  <c r="F25" i="4"/>
  <c r="H180" i="5"/>
  <c r="I180" i="5"/>
  <c r="I25" i="4"/>
  <c r="L180" i="5"/>
  <c r="J25" i="4"/>
  <c r="N180" i="5"/>
  <c r="L25" i="4"/>
  <c r="Q180" i="5"/>
  <c r="M25" i="4"/>
  <c r="R180" i="5"/>
  <c r="T180" i="5"/>
  <c r="U180" i="5"/>
  <c r="Q25" i="4"/>
  <c r="X180" i="5"/>
  <c r="R21" i="2"/>
  <c r="R25" i="4"/>
  <c r="Z180" i="5"/>
  <c r="AH25" i="4"/>
  <c r="T25" i="4" a="1"/>
  <c r="T25" i="4"/>
  <c r="AC180" i="5"/>
  <c r="U25" i="4" a="1"/>
  <c r="U25" i="4"/>
  <c r="AD180" i="5"/>
  <c r="AF180" i="5"/>
  <c r="AG180" i="5"/>
  <c r="X25" i="4"/>
  <c r="AI180" i="5"/>
  <c r="Y25" i="4"/>
  <c r="AJ180" i="5"/>
  <c r="Z25" i="4"/>
  <c r="AL180" i="5"/>
  <c r="AN180" i="5"/>
  <c r="B26" i="4"/>
  <c r="S26" i="4"/>
  <c r="AA181" i="5"/>
  <c r="P26" i="4"/>
  <c r="W181" i="5"/>
  <c r="O181" i="5"/>
  <c r="K181" i="5"/>
  <c r="C26" i="4"/>
  <c r="C181" i="5"/>
  <c r="D26" i="4"/>
  <c r="E181" i="5"/>
  <c r="E26" i="4"/>
  <c r="F181" i="5"/>
  <c r="F26" i="4"/>
  <c r="H181" i="5"/>
  <c r="I181" i="5"/>
  <c r="I26" i="4"/>
  <c r="L181" i="5"/>
  <c r="J26" i="4"/>
  <c r="N181" i="5"/>
  <c r="L26" i="4"/>
  <c r="Q181" i="5"/>
  <c r="M26" i="4"/>
  <c r="R181" i="5"/>
  <c r="T181" i="5"/>
  <c r="U181" i="5"/>
  <c r="Q26" i="4"/>
  <c r="X181" i="5"/>
  <c r="R26" i="4"/>
  <c r="Z181" i="5"/>
  <c r="AH26" i="4"/>
  <c r="T26" i="4" a="1"/>
  <c r="T26" i="4"/>
  <c r="AC181" i="5"/>
  <c r="U26" i="4" a="1"/>
  <c r="U26" i="4"/>
  <c r="AD181" i="5"/>
  <c r="AF181" i="5"/>
  <c r="AG181" i="5"/>
  <c r="X26" i="4"/>
  <c r="AI181" i="5"/>
  <c r="Y26" i="4"/>
  <c r="AJ181" i="5"/>
  <c r="Z26" i="4"/>
  <c r="AL181" i="5"/>
  <c r="AN181" i="5"/>
  <c r="B130" i="4"/>
  <c r="S130" i="4"/>
  <c r="AA182" i="5"/>
  <c r="P130" i="4"/>
  <c r="W182" i="5"/>
  <c r="O182" i="5"/>
  <c r="K182" i="5"/>
  <c r="C130" i="4"/>
  <c r="C182" i="5"/>
  <c r="D130" i="4"/>
  <c r="E182" i="5"/>
  <c r="E130" i="4"/>
  <c r="F182" i="5"/>
  <c r="F130" i="4"/>
  <c r="H182" i="5"/>
  <c r="I182" i="5"/>
  <c r="I130" i="4"/>
  <c r="L182" i="5"/>
  <c r="J130" i="4"/>
  <c r="N182" i="5"/>
  <c r="L130" i="4"/>
  <c r="Q182" i="5"/>
  <c r="M130" i="4"/>
  <c r="R182" i="5"/>
  <c r="T182" i="5"/>
  <c r="U182" i="5"/>
  <c r="Q130" i="4"/>
  <c r="X182" i="5"/>
  <c r="R130" i="4"/>
  <c r="Z182" i="5"/>
  <c r="AH130" i="4"/>
  <c r="T130" i="4" a="1"/>
  <c r="T130" i="4"/>
  <c r="AC182" i="5"/>
  <c r="U130" i="4" a="1"/>
  <c r="U130" i="4"/>
  <c r="AD182" i="5"/>
  <c r="AF182" i="5"/>
  <c r="AG182" i="5"/>
  <c r="X130" i="4"/>
  <c r="AI182" i="5"/>
  <c r="Y130" i="4"/>
  <c r="AJ182" i="5"/>
  <c r="Z130" i="4"/>
  <c r="AL182" i="5"/>
  <c r="AN182" i="5"/>
  <c r="S131" i="4"/>
  <c r="AA183" i="5"/>
  <c r="P131" i="4"/>
  <c r="W183" i="5"/>
  <c r="O183" i="5"/>
  <c r="H131" i="4"/>
  <c r="K183" i="5"/>
  <c r="C131" i="4"/>
  <c r="C183" i="5"/>
  <c r="D131" i="4"/>
  <c r="E183" i="5"/>
  <c r="E131" i="4"/>
  <c r="F183" i="5"/>
  <c r="F131" i="4"/>
  <c r="H183" i="5"/>
  <c r="I183" i="5"/>
  <c r="I131" i="4"/>
  <c r="L183" i="5"/>
  <c r="J131" i="4"/>
  <c r="N183" i="5"/>
  <c r="L131" i="4"/>
  <c r="Q183" i="5"/>
  <c r="M131" i="4"/>
  <c r="R183" i="5"/>
  <c r="T183" i="5"/>
  <c r="U183" i="5"/>
  <c r="Q131" i="4"/>
  <c r="X183" i="5"/>
  <c r="R131" i="4"/>
  <c r="Z183" i="5"/>
  <c r="AH131" i="4"/>
  <c r="T131" i="4" a="1"/>
  <c r="T131" i="4"/>
  <c r="AC183" i="5"/>
  <c r="U131" i="4" a="1"/>
  <c r="U131" i="4"/>
  <c r="AD183" i="5"/>
  <c r="AF183" i="5"/>
  <c r="AG183" i="5"/>
  <c r="X131" i="4"/>
  <c r="AI183" i="5"/>
  <c r="Y131" i="4"/>
  <c r="AJ183" i="5"/>
  <c r="Z131" i="4"/>
  <c r="AL183" i="5"/>
  <c r="AN183" i="5"/>
  <c r="B132" i="4"/>
  <c r="S132" i="4"/>
  <c r="AA184" i="5"/>
  <c r="P132" i="4"/>
  <c r="W184" i="5"/>
  <c r="O184" i="5"/>
  <c r="K184" i="5"/>
  <c r="C132" i="4"/>
  <c r="C184" i="5"/>
  <c r="D132" i="4"/>
  <c r="E184" i="5"/>
  <c r="E132" i="4"/>
  <c r="F184" i="5"/>
  <c r="F132" i="4"/>
  <c r="H184" i="5"/>
  <c r="I184" i="5"/>
  <c r="I132" i="4"/>
  <c r="L184" i="5"/>
  <c r="J132" i="4"/>
  <c r="N184" i="5"/>
  <c r="L132" i="4"/>
  <c r="Q184" i="5"/>
  <c r="M132" i="4"/>
  <c r="R184" i="5"/>
  <c r="T184" i="5"/>
  <c r="U184" i="5"/>
  <c r="Q132" i="4"/>
  <c r="X184" i="5"/>
  <c r="R39" i="2"/>
  <c r="R132" i="4"/>
  <c r="Z184" i="5"/>
  <c r="AH132" i="4"/>
  <c r="T132" i="4" a="1"/>
  <c r="T132" i="4"/>
  <c r="AC184" i="5"/>
  <c r="U132" i="4" a="1"/>
  <c r="U132" i="4"/>
  <c r="AD184" i="5"/>
  <c r="AF184" i="5"/>
  <c r="AG184" i="5"/>
  <c r="X132" i="4"/>
  <c r="AI184" i="5"/>
  <c r="Y132" i="4"/>
  <c r="AJ184" i="5"/>
  <c r="Z132" i="4"/>
  <c r="AL184" i="5"/>
  <c r="AN184" i="5"/>
  <c r="B133" i="4"/>
  <c r="S133" i="4"/>
  <c r="AA185" i="5"/>
  <c r="P133" i="4"/>
  <c r="W185" i="5"/>
  <c r="O185" i="5"/>
  <c r="K185" i="5"/>
  <c r="C133" i="4"/>
  <c r="C185" i="5"/>
  <c r="D133" i="4"/>
  <c r="E185" i="5"/>
  <c r="E133" i="4"/>
  <c r="F185" i="5"/>
  <c r="F133" i="4"/>
  <c r="H185" i="5"/>
  <c r="I185" i="5"/>
  <c r="I32" i="2"/>
  <c r="I31" i="2"/>
  <c r="I133" i="4"/>
  <c r="L185" i="5"/>
  <c r="J32" i="2"/>
  <c r="J31" i="2"/>
  <c r="J133" i="4"/>
  <c r="N185" i="5"/>
  <c r="L133" i="4"/>
  <c r="Q185" i="5"/>
  <c r="M133" i="4"/>
  <c r="R185" i="5"/>
  <c r="T185" i="5"/>
  <c r="U185" i="5"/>
  <c r="Q133" i="4"/>
  <c r="X185" i="5"/>
  <c r="R133" i="4"/>
  <c r="Z185" i="5"/>
  <c r="AH133" i="4"/>
  <c r="T133" i="4" a="1"/>
  <c r="T133" i="4"/>
  <c r="AC185" i="5"/>
  <c r="U133" i="4" a="1"/>
  <c r="U133" i="4"/>
  <c r="AD185" i="5"/>
  <c r="AF185" i="5"/>
  <c r="AG185" i="5"/>
  <c r="X133" i="4"/>
  <c r="AI185" i="5"/>
  <c r="Y133" i="4"/>
  <c r="AJ185" i="5"/>
  <c r="Z133" i="4"/>
  <c r="AL185" i="5"/>
  <c r="AN185" i="5"/>
  <c r="AA186" i="5"/>
  <c r="P164" i="4"/>
  <c r="W186" i="5"/>
  <c r="O186" i="5"/>
  <c r="K186" i="5"/>
  <c r="C164" i="4"/>
  <c r="C186" i="5"/>
  <c r="D164" i="4"/>
  <c r="E186" i="5"/>
  <c r="L186" i="5"/>
  <c r="N186" i="5"/>
  <c r="L164" i="4"/>
  <c r="Q186" i="5"/>
  <c r="U186" i="5"/>
  <c r="Q164" i="4"/>
  <c r="X186" i="5"/>
  <c r="R164" i="4"/>
  <c r="Z186" i="5"/>
  <c r="AC186" i="5"/>
  <c r="AD186" i="5"/>
  <c r="AF186" i="5"/>
  <c r="AG186" i="5"/>
  <c r="X164" i="4"/>
  <c r="AI186" i="5"/>
  <c r="Y164" i="4"/>
  <c r="AJ186" i="5"/>
  <c r="Z164" i="4"/>
  <c r="AL186" i="5"/>
  <c r="R186" i="5"/>
  <c r="T186" i="5"/>
  <c r="F186" i="5"/>
  <c r="H186" i="5"/>
  <c r="I186" i="5"/>
  <c r="AN186" i="5"/>
  <c r="C165" i="4"/>
  <c r="C187" i="5"/>
  <c r="D165" i="4"/>
  <c r="E187" i="5"/>
  <c r="K187" i="5"/>
  <c r="L165" i="4"/>
  <c r="Q187" i="5"/>
  <c r="M165" i="4"/>
  <c r="R187" i="5"/>
  <c r="T187" i="5"/>
  <c r="U187" i="5"/>
  <c r="P165" i="4"/>
  <c r="W187" i="5"/>
  <c r="Q165" i="4"/>
  <c r="X187" i="5"/>
  <c r="S165" i="4"/>
  <c r="AA187" i="5"/>
  <c r="AH165" i="4"/>
  <c r="T165" i="4" a="1"/>
  <c r="T165" i="4"/>
  <c r="AC187" i="5"/>
  <c r="U165" i="4" a="1"/>
  <c r="U165" i="4"/>
  <c r="AD187" i="5"/>
  <c r="AF187" i="5"/>
  <c r="AG187" i="5"/>
  <c r="X165" i="4"/>
  <c r="AI187" i="5"/>
  <c r="Y165" i="4"/>
  <c r="AJ187" i="5"/>
  <c r="Z165" i="4"/>
  <c r="AL187" i="5"/>
  <c r="F187" i="5"/>
  <c r="H187" i="5"/>
  <c r="I187" i="5"/>
  <c r="L187" i="5"/>
  <c r="N187" i="5"/>
  <c r="O187" i="5"/>
  <c r="Z187" i="5"/>
  <c r="AN187" i="5"/>
  <c r="C166" i="4"/>
  <c r="C188" i="5"/>
  <c r="D166" i="4"/>
  <c r="E188" i="5"/>
  <c r="H166" i="4"/>
  <c r="K188" i="5"/>
  <c r="L166" i="4"/>
  <c r="Q188" i="5"/>
  <c r="M166" i="4"/>
  <c r="R188" i="5"/>
  <c r="T188" i="5"/>
  <c r="U188" i="5"/>
  <c r="P166" i="4"/>
  <c r="W188" i="5"/>
  <c r="Q166" i="4"/>
  <c r="X188" i="5"/>
  <c r="AA188" i="5"/>
  <c r="AH166" i="4"/>
  <c r="T166" i="4" a="1"/>
  <c r="T166" i="4"/>
  <c r="AC188" i="5"/>
  <c r="U166" i="4" a="1"/>
  <c r="U166" i="4"/>
  <c r="AD188" i="5"/>
  <c r="AF188" i="5"/>
  <c r="AG188" i="5"/>
  <c r="X166" i="4"/>
  <c r="AI188" i="5"/>
  <c r="Y166" i="4"/>
  <c r="AJ188" i="5"/>
  <c r="Z166" i="4"/>
  <c r="AL188" i="5"/>
  <c r="F188" i="5"/>
  <c r="H188" i="5"/>
  <c r="I188" i="5"/>
  <c r="L188" i="5"/>
  <c r="N188" i="5"/>
  <c r="O188" i="5"/>
  <c r="Z188" i="5"/>
  <c r="AN188" i="5"/>
  <c r="C167" i="4"/>
  <c r="C189" i="5"/>
  <c r="D167" i="4"/>
  <c r="E189" i="5"/>
  <c r="H167" i="4"/>
  <c r="K189" i="5"/>
  <c r="L167" i="4"/>
  <c r="Q189" i="5"/>
  <c r="M167" i="4"/>
  <c r="R189" i="5"/>
  <c r="T189" i="5"/>
  <c r="U189" i="5"/>
  <c r="P167" i="4"/>
  <c r="W189" i="5"/>
  <c r="Q167" i="4"/>
  <c r="X189" i="5"/>
  <c r="AA189" i="5"/>
  <c r="AH167" i="4"/>
  <c r="T167" i="4" a="1"/>
  <c r="T167" i="4"/>
  <c r="AC189" i="5"/>
  <c r="U167" i="4" a="1"/>
  <c r="U167" i="4"/>
  <c r="AD189" i="5"/>
  <c r="AF189" i="5"/>
  <c r="AG189" i="5"/>
  <c r="X167" i="4"/>
  <c r="AI189" i="5"/>
  <c r="Y167" i="4"/>
  <c r="AJ189" i="5"/>
  <c r="Z167" i="4"/>
  <c r="AL189" i="5"/>
  <c r="F189" i="5"/>
  <c r="H189" i="5"/>
  <c r="I189" i="5"/>
  <c r="L189" i="5"/>
  <c r="N189" i="5"/>
  <c r="O189" i="5"/>
  <c r="Z189" i="5"/>
  <c r="AN189" i="5"/>
  <c r="C168" i="4"/>
  <c r="C190" i="5"/>
  <c r="D168" i="4"/>
  <c r="E190" i="5"/>
  <c r="H168" i="4"/>
  <c r="K190" i="5"/>
  <c r="L168" i="4"/>
  <c r="Q190" i="5"/>
  <c r="M168" i="4"/>
  <c r="R190" i="5"/>
  <c r="T190" i="5"/>
  <c r="U190" i="5"/>
  <c r="P168" i="4"/>
  <c r="W190" i="5"/>
  <c r="Q168" i="4"/>
  <c r="X190" i="5"/>
  <c r="AA190" i="5"/>
  <c r="AH168" i="4"/>
  <c r="T168" i="4" a="1"/>
  <c r="T168" i="4"/>
  <c r="AC190" i="5"/>
  <c r="U168" i="4" a="1"/>
  <c r="U168" i="4"/>
  <c r="AD190" i="5"/>
  <c r="AF190" i="5"/>
  <c r="AG190" i="5"/>
  <c r="X168" i="4"/>
  <c r="AI190" i="5"/>
  <c r="Y168" i="4"/>
  <c r="AJ190" i="5"/>
  <c r="Z168" i="4"/>
  <c r="AL190" i="5"/>
  <c r="F190" i="5"/>
  <c r="H190" i="5"/>
  <c r="I190" i="5"/>
  <c r="L190" i="5"/>
  <c r="N190" i="5"/>
  <c r="O190" i="5"/>
  <c r="Z190" i="5"/>
  <c r="AN190" i="5"/>
  <c r="B195" i="4"/>
  <c r="C195" i="4"/>
  <c r="C191" i="5"/>
  <c r="D195" i="4"/>
  <c r="E191" i="5"/>
  <c r="H195" i="4"/>
  <c r="K191" i="5"/>
  <c r="L195" i="4"/>
  <c r="Q191" i="5"/>
  <c r="M195" i="4"/>
  <c r="R191" i="5"/>
  <c r="T191" i="5"/>
  <c r="U191" i="5"/>
  <c r="P195" i="4"/>
  <c r="W191" i="5"/>
  <c r="Q195" i="4"/>
  <c r="X191" i="5"/>
  <c r="S195" i="4"/>
  <c r="AA191" i="5"/>
  <c r="AH195" i="4"/>
  <c r="T195" i="4" a="1"/>
  <c r="T195" i="4"/>
  <c r="AC191" i="5"/>
  <c r="U195" i="4" a="1"/>
  <c r="U195" i="4"/>
  <c r="AD191" i="5"/>
  <c r="AF191" i="5"/>
  <c r="AG191" i="5"/>
  <c r="X195" i="4"/>
  <c r="AI191" i="5"/>
  <c r="Y195" i="4"/>
  <c r="AJ191" i="5"/>
  <c r="Z195" i="4"/>
  <c r="AL191" i="5"/>
  <c r="F191" i="5"/>
  <c r="H191" i="5"/>
  <c r="I191" i="5"/>
  <c r="L191" i="5"/>
  <c r="N191" i="5"/>
  <c r="O191" i="5"/>
  <c r="Z191" i="5"/>
  <c r="AN191" i="5"/>
  <c r="C205" i="4"/>
  <c r="C192" i="5"/>
  <c r="D205" i="4"/>
  <c r="E192" i="5"/>
  <c r="K192" i="5"/>
  <c r="L205" i="4"/>
  <c r="Q192" i="5"/>
  <c r="M205" i="4"/>
  <c r="R192" i="5"/>
  <c r="T192" i="5"/>
  <c r="U192" i="5"/>
  <c r="P205" i="4"/>
  <c r="W192" i="5"/>
  <c r="Q205" i="4"/>
  <c r="X192" i="5"/>
  <c r="S205" i="4"/>
  <c r="AA192" i="5"/>
  <c r="AH205" i="4"/>
  <c r="T205" i="4" a="1"/>
  <c r="T205" i="4"/>
  <c r="AC192" i="5"/>
  <c r="U205" i="4" a="1"/>
  <c r="U205" i="4"/>
  <c r="AD192" i="5"/>
  <c r="AF192" i="5"/>
  <c r="AG192" i="5"/>
  <c r="X205" i="4"/>
  <c r="AI192" i="5"/>
  <c r="Y205" i="4"/>
  <c r="AJ192" i="5"/>
  <c r="Z205" i="4"/>
  <c r="AL192" i="5"/>
  <c r="F192" i="5"/>
  <c r="H192" i="5"/>
  <c r="I192" i="5"/>
  <c r="L192" i="5"/>
  <c r="N192" i="5"/>
  <c r="O192" i="5"/>
  <c r="Z192" i="5"/>
  <c r="AN192" i="5"/>
  <c r="C206" i="4"/>
  <c r="C193" i="5"/>
  <c r="D206" i="4"/>
  <c r="E193" i="5"/>
  <c r="K193" i="5"/>
  <c r="L206" i="4"/>
  <c r="Q193" i="5"/>
  <c r="M206" i="4"/>
  <c r="R193" i="5"/>
  <c r="T193" i="5"/>
  <c r="U193" i="5"/>
  <c r="P206" i="4"/>
  <c r="W193" i="5"/>
  <c r="Q206" i="4"/>
  <c r="X193" i="5"/>
  <c r="S206" i="4"/>
  <c r="AA193" i="5"/>
  <c r="AH206" i="4"/>
  <c r="T206" i="4" a="1"/>
  <c r="T206" i="4"/>
  <c r="AC193" i="5"/>
  <c r="U206" i="4" a="1"/>
  <c r="U206" i="4"/>
  <c r="AD193" i="5"/>
  <c r="AF193" i="5"/>
  <c r="AG193" i="5"/>
  <c r="X206" i="4"/>
  <c r="AI193" i="5"/>
  <c r="Y206" i="4"/>
  <c r="AJ193" i="5"/>
  <c r="Z206" i="4"/>
  <c r="AL193" i="5"/>
  <c r="F193" i="5"/>
  <c r="H193" i="5"/>
  <c r="I193" i="5"/>
  <c r="L193" i="5"/>
  <c r="N193" i="5"/>
  <c r="O193" i="5"/>
  <c r="Z193" i="5"/>
  <c r="AN193" i="5"/>
  <c r="C225" i="4"/>
  <c r="C194" i="5"/>
  <c r="D225" i="4"/>
  <c r="E194" i="5"/>
  <c r="H225" i="4"/>
  <c r="K194" i="5"/>
  <c r="L225" i="4"/>
  <c r="Q194" i="5"/>
  <c r="M225" i="4"/>
  <c r="R194" i="5"/>
  <c r="T194" i="5"/>
  <c r="U194" i="5"/>
  <c r="P225" i="4"/>
  <c r="W194" i="5"/>
  <c r="Q225" i="4"/>
  <c r="X194" i="5"/>
  <c r="S225" i="4"/>
  <c r="AA194" i="5"/>
  <c r="AH225" i="4"/>
  <c r="T225" i="4" a="1"/>
  <c r="T225" i="4"/>
  <c r="AC194" i="5"/>
  <c r="U225" i="4" a="1"/>
  <c r="U225" i="4"/>
  <c r="AD194" i="5"/>
  <c r="AF194" i="5"/>
  <c r="AG194" i="5"/>
  <c r="X225" i="4"/>
  <c r="AI194" i="5"/>
  <c r="Y225" i="4"/>
  <c r="AJ194" i="5"/>
  <c r="Z225" i="4"/>
  <c r="AL194" i="5"/>
  <c r="F194" i="5"/>
  <c r="H194" i="5"/>
  <c r="I194" i="5"/>
  <c r="L194" i="5"/>
  <c r="N194" i="5"/>
  <c r="O194" i="5"/>
  <c r="Z194" i="5"/>
  <c r="AN194" i="5"/>
  <c r="C226" i="4"/>
  <c r="C195" i="5"/>
  <c r="D226" i="4"/>
  <c r="E195" i="5"/>
  <c r="H226" i="4"/>
  <c r="K195" i="5"/>
  <c r="I226" i="4"/>
  <c r="L195" i="5"/>
  <c r="J226" i="4"/>
  <c r="N195" i="5"/>
  <c r="O195" i="5"/>
  <c r="L226" i="4"/>
  <c r="Q195" i="5"/>
  <c r="M226" i="4"/>
  <c r="R195" i="5"/>
  <c r="N27" i="2"/>
  <c r="N226" i="4"/>
  <c r="T195" i="5"/>
  <c r="U195" i="5"/>
  <c r="P226" i="4"/>
  <c r="W195" i="5"/>
  <c r="Q226" i="4"/>
  <c r="X195" i="5"/>
  <c r="S226" i="4"/>
  <c r="AA195" i="5"/>
  <c r="AH226" i="4"/>
  <c r="T226" i="4" a="1"/>
  <c r="T226" i="4"/>
  <c r="AC195" i="5"/>
  <c r="U226" i="4" a="1"/>
  <c r="U226" i="4"/>
  <c r="AD195" i="5"/>
  <c r="AF195" i="5"/>
  <c r="AG195" i="5"/>
  <c r="X226" i="4"/>
  <c r="AI195" i="5"/>
  <c r="Y226" i="4"/>
  <c r="AJ195" i="5"/>
  <c r="Z226" i="4"/>
  <c r="AL195" i="5"/>
  <c r="F195" i="5"/>
  <c r="H195" i="5"/>
  <c r="I195" i="5"/>
  <c r="Z195" i="5"/>
  <c r="AN195" i="5"/>
  <c r="C227" i="4"/>
  <c r="C196" i="5"/>
  <c r="D227" i="4"/>
  <c r="E196" i="5"/>
  <c r="E227" i="4"/>
  <c r="F196" i="5"/>
  <c r="F227" i="4"/>
  <c r="H196" i="5"/>
  <c r="I196" i="5"/>
  <c r="H227" i="4"/>
  <c r="K196" i="5"/>
  <c r="L227" i="4"/>
  <c r="Q196" i="5"/>
  <c r="M227" i="4"/>
  <c r="R196" i="5"/>
  <c r="T196" i="5"/>
  <c r="U196" i="5"/>
  <c r="P227" i="4"/>
  <c r="W196" i="5"/>
  <c r="Q227" i="4"/>
  <c r="X196" i="5"/>
  <c r="S227" i="4"/>
  <c r="AA196" i="5"/>
  <c r="AH227" i="4"/>
  <c r="T227" i="4" a="1"/>
  <c r="T227" i="4"/>
  <c r="AC196" i="5"/>
  <c r="U227" i="4" a="1"/>
  <c r="U227" i="4"/>
  <c r="AD196" i="5"/>
  <c r="AF196" i="5"/>
  <c r="AG196" i="5"/>
  <c r="X227" i="4"/>
  <c r="AI196" i="5"/>
  <c r="Y227" i="4"/>
  <c r="AJ196" i="5"/>
  <c r="Z227" i="4"/>
  <c r="AL196" i="5"/>
  <c r="L196" i="5"/>
  <c r="N196" i="5"/>
  <c r="O196" i="5"/>
  <c r="Z196" i="5"/>
  <c r="AN196" i="5"/>
  <c r="C196" i="4"/>
  <c r="C197" i="5"/>
  <c r="D196" i="4"/>
  <c r="E197" i="5"/>
  <c r="F197" i="5"/>
  <c r="H197" i="5"/>
  <c r="I197" i="5"/>
  <c r="H196" i="4"/>
  <c r="K197" i="5"/>
  <c r="L196" i="4"/>
  <c r="Q197" i="5"/>
  <c r="M196" i="4"/>
  <c r="R197" i="5"/>
  <c r="T197" i="5"/>
  <c r="U197" i="5"/>
  <c r="P196" i="4"/>
  <c r="W197" i="5"/>
  <c r="Q196" i="4"/>
  <c r="X197" i="5"/>
  <c r="S196" i="4"/>
  <c r="AA197" i="5"/>
  <c r="AH196" i="4"/>
  <c r="T196" i="4" a="1"/>
  <c r="T196" i="4"/>
  <c r="AC197" i="5"/>
  <c r="U196" i="4" a="1"/>
  <c r="U196" i="4"/>
  <c r="AD197" i="5"/>
  <c r="AF197" i="5"/>
  <c r="AG197" i="5"/>
  <c r="X196" i="4"/>
  <c r="AI197" i="5"/>
  <c r="Y196" i="4"/>
  <c r="AJ197" i="5"/>
  <c r="Z196" i="4"/>
  <c r="AL197" i="5"/>
  <c r="L197" i="5"/>
  <c r="N197" i="5"/>
  <c r="O197" i="5"/>
  <c r="Z197" i="5"/>
  <c r="AN197" i="5"/>
  <c r="C89" i="4"/>
  <c r="C198" i="5"/>
  <c r="D89" i="4"/>
  <c r="E198" i="5"/>
  <c r="L89" i="4"/>
  <c r="Q198" i="5"/>
  <c r="M89" i="4"/>
  <c r="R198" i="5"/>
  <c r="T198" i="5"/>
  <c r="U198" i="5"/>
  <c r="P89" i="4"/>
  <c r="W198" i="5"/>
  <c r="Q89" i="4"/>
  <c r="X198" i="5"/>
  <c r="S89" i="4"/>
  <c r="AA198" i="5"/>
  <c r="AH89" i="4"/>
  <c r="T89" i="4" a="1"/>
  <c r="T89" i="4"/>
  <c r="AC198" i="5"/>
  <c r="U89" i="4" a="1"/>
  <c r="U89" i="4"/>
  <c r="AD198" i="5"/>
  <c r="AF198" i="5"/>
  <c r="AG198" i="5"/>
  <c r="X89" i="4"/>
  <c r="AI198" i="5"/>
  <c r="Y89" i="4"/>
  <c r="AJ198" i="5"/>
  <c r="Z89" i="4"/>
  <c r="AL198" i="5"/>
  <c r="L198" i="5"/>
  <c r="N198" i="5"/>
  <c r="O198" i="5"/>
  <c r="F198" i="5"/>
  <c r="H198" i="5"/>
  <c r="I198" i="5"/>
  <c r="Z198" i="5"/>
  <c r="AN198" i="5"/>
  <c r="B176" i="4"/>
  <c r="C176" i="4"/>
  <c r="C199" i="5"/>
  <c r="D176" i="4"/>
  <c r="E199" i="5"/>
  <c r="K199" i="5"/>
  <c r="L176" i="4"/>
  <c r="Q199" i="5"/>
  <c r="M176" i="4"/>
  <c r="R199" i="5"/>
  <c r="N32" i="2"/>
  <c r="N176" i="4"/>
  <c r="T199" i="5"/>
  <c r="O176" i="4"/>
  <c r="U199" i="5"/>
  <c r="P176" i="4"/>
  <c r="W199" i="5"/>
  <c r="Q176" i="4"/>
  <c r="X199" i="5"/>
  <c r="S176" i="4"/>
  <c r="AA199" i="5"/>
  <c r="AH176" i="4"/>
  <c r="T176" i="4" a="1"/>
  <c r="T176" i="4"/>
  <c r="AC199" i="5"/>
  <c r="U176" i="4" a="1"/>
  <c r="U176" i="4"/>
  <c r="AD199" i="5"/>
  <c r="AF199" i="5"/>
  <c r="AG199" i="5"/>
  <c r="X176" i="4"/>
  <c r="AI199" i="5"/>
  <c r="Y176" i="4"/>
  <c r="AJ199" i="5"/>
  <c r="Z176" i="4"/>
  <c r="AL199" i="5"/>
  <c r="L199" i="5"/>
  <c r="N199" i="5"/>
  <c r="O199" i="5"/>
  <c r="F199" i="5"/>
  <c r="H199" i="5"/>
  <c r="I199" i="5"/>
  <c r="Z199" i="5"/>
  <c r="AN199" i="5"/>
  <c r="B177" i="4"/>
  <c r="C177" i="4"/>
  <c r="C200" i="5"/>
  <c r="D177" i="4"/>
  <c r="E200" i="5"/>
  <c r="K200" i="5"/>
  <c r="I28" i="2"/>
  <c r="I177" i="4"/>
  <c r="L200" i="5"/>
  <c r="J28" i="2"/>
  <c r="J177" i="4"/>
  <c r="N200" i="5"/>
  <c r="O200" i="5"/>
  <c r="L177" i="4"/>
  <c r="Q200" i="5"/>
  <c r="M177" i="4"/>
  <c r="R200" i="5"/>
  <c r="N28" i="2"/>
  <c r="N177" i="4"/>
  <c r="T200" i="5"/>
  <c r="O177" i="4"/>
  <c r="U200" i="5"/>
  <c r="P177" i="4"/>
  <c r="W200" i="5"/>
  <c r="Q177" i="4"/>
  <c r="X200" i="5"/>
  <c r="S177" i="4"/>
  <c r="AA200" i="5"/>
  <c r="AH177" i="4"/>
  <c r="T177" i="4" a="1"/>
  <c r="T177" i="4"/>
  <c r="AC200" i="5"/>
  <c r="U177" i="4" a="1"/>
  <c r="U177" i="4"/>
  <c r="AD200" i="5"/>
  <c r="AF200" i="5"/>
  <c r="AG200" i="5"/>
  <c r="X177" i="4"/>
  <c r="AI200" i="5"/>
  <c r="Y177" i="4"/>
  <c r="AJ200" i="5"/>
  <c r="Z177" i="4"/>
  <c r="AL200" i="5"/>
  <c r="F200" i="5"/>
  <c r="H200" i="5"/>
  <c r="I200" i="5"/>
  <c r="Z200" i="5"/>
  <c r="AN200" i="5"/>
  <c r="B137" i="4"/>
  <c r="C137" i="4"/>
  <c r="C201" i="5"/>
  <c r="D137" i="4"/>
  <c r="E201" i="5"/>
  <c r="K201" i="5"/>
  <c r="L137" i="4"/>
  <c r="Q201" i="5"/>
  <c r="M137" i="4"/>
  <c r="R201" i="5"/>
  <c r="N137" i="4"/>
  <c r="T201" i="5"/>
  <c r="O137" i="4"/>
  <c r="U201" i="5"/>
  <c r="P137" i="4"/>
  <c r="W201" i="5"/>
  <c r="Q137" i="4"/>
  <c r="X201" i="5"/>
  <c r="S137" i="4"/>
  <c r="AA201" i="5"/>
  <c r="AH137" i="4"/>
  <c r="T137" i="4" a="1"/>
  <c r="T137" i="4"/>
  <c r="AC201" i="5"/>
  <c r="U137" i="4" a="1"/>
  <c r="U137" i="4"/>
  <c r="AD201" i="5"/>
  <c r="AF201" i="5"/>
  <c r="AG201" i="5"/>
  <c r="X137" i="4"/>
  <c r="AI201" i="5"/>
  <c r="Y137" i="4"/>
  <c r="AJ201" i="5"/>
  <c r="Z137" i="4"/>
  <c r="AL201" i="5"/>
  <c r="L201" i="5"/>
  <c r="N201" i="5"/>
  <c r="O201" i="5"/>
  <c r="F201" i="5"/>
  <c r="H201" i="5"/>
  <c r="I201" i="5"/>
  <c r="Z201" i="5"/>
  <c r="AN201" i="5"/>
  <c r="B138" i="4"/>
  <c r="C138" i="4"/>
  <c r="C202" i="5"/>
  <c r="D138" i="4"/>
  <c r="E202" i="5"/>
  <c r="K202" i="5"/>
  <c r="L138" i="4"/>
  <c r="Q202" i="5"/>
  <c r="M138" i="4"/>
  <c r="R202" i="5"/>
  <c r="T202" i="5"/>
  <c r="U202" i="5"/>
  <c r="P138" i="4"/>
  <c r="W202" i="5"/>
  <c r="Q138" i="4"/>
  <c r="X202" i="5"/>
  <c r="S138" i="4"/>
  <c r="AA202" i="5"/>
  <c r="AH138" i="4"/>
  <c r="T138" i="4" a="1"/>
  <c r="T138" i="4"/>
  <c r="AC202" i="5"/>
  <c r="U138" i="4" a="1"/>
  <c r="U138" i="4"/>
  <c r="AD202" i="5"/>
  <c r="AF202" i="5"/>
  <c r="AG202" i="5"/>
  <c r="X138" i="4"/>
  <c r="AI202" i="5"/>
  <c r="Y138" i="4"/>
  <c r="AJ202" i="5"/>
  <c r="Z138" i="4"/>
  <c r="AL202" i="5"/>
  <c r="L202" i="5"/>
  <c r="N202" i="5"/>
  <c r="O202" i="5"/>
  <c r="F202" i="5"/>
  <c r="H202" i="5"/>
  <c r="I202" i="5"/>
  <c r="Z202" i="5"/>
  <c r="AN202" i="5"/>
  <c r="B139" i="4"/>
  <c r="C139" i="4"/>
  <c r="C203" i="5"/>
  <c r="D139" i="4"/>
  <c r="E203" i="5"/>
  <c r="K203" i="5"/>
  <c r="I139" i="4"/>
  <c r="L203" i="5"/>
  <c r="J139" i="4"/>
  <c r="N203" i="5"/>
  <c r="O203" i="5"/>
  <c r="L139" i="4"/>
  <c r="Q203" i="5"/>
  <c r="M139" i="4"/>
  <c r="R203" i="5"/>
  <c r="N31" i="2"/>
  <c r="N139" i="4"/>
  <c r="T203" i="5"/>
  <c r="O139" i="4"/>
  <c r="U203" i="5"/>
  <c r="P139" i="4"/>
  <c r="W203" i="5"/>
  <c r="Q139" i="4"/>
  <c r="X203" i="5"/>
  <c r="S139" i="4"/>
  <c r="AA203" i="5"/>
  <c r="AH139" i="4"/>
  <c r="T139" i="4" a="1"/>
  <c r="T139" i="4"/>
  <c r="AC203" i="5"/>
  <c r="U139" i="4" a="1"/>
  <c r="U139" i="4"/>
  <c r="AD203" i="5"/>
  <c r="AF203" i="5"/>
  <c r="AG203" i="5"/>
  <c r="X139" i="4"/>
  <c r="AI203" i="5"/>
  <c r="Y139" i="4"/>
  <c r="AJ203" i="5"/>
  <c r="Z139" i="4"/>
  <c r="AL203" i="5"/>
  <c r="F203" i="5"/>
  <c r="H203" i="5"/>
  <c r="I203" i="5"/>
  <c r="Z203" i="5"/>
  <c r="AN203" i="5"/>
  <c r="B140" i="4"/>
  <c r="C140" i="4"/>
  <c r="C204" i="5"/>
  <c r="D140" i="4"/>
  <c r="E204" i="5"/>
  <c r="K204" i="5"/>
  <c r="L140" i="4"/>
  <c r="Q204" i="5"/>
  <c r="M140" i="4"/>
  <c r="R204" i="5"/>
  <c r="N30" i="2"/>
  <c r="N140" i="4"/>
  <c r="T204" i="5"/>
  <c r="O140" i="4"/>
  <c r="U204" i="5"/>
  <c r="P140" i="4"/>
  <c r="W204" i="5"/>
  <c r="Q140" i="4"/>
  <c r="X204" i="5"/>
  <c r="S140" i="4"/>
  <c r="AA204" i="5"/>
  <c r="AH140" i="4"/>
  <c r="T140" i="4" a="1"/>
  <c r="T140" i="4"/>
  <c r="AC204" i="5"/>
  <c r="U140" i="4" a="1"/>
  <c r="U140" i="4"/>
  <c r="AD204" i="5"/>
  <c r="AF204" i="5"/>
  <c r="AG204" i="5"/>
  <c r="X140" i="4"/>
  <c r="AI204" i="5"/>
  <c r="Y140" i="4"/>
  <c r="AJ204" i="5"/>
  <c r="Z140" i="4"/>
  <c r="AL204" i="5"/>
  <c r="L204" i="5"/>
  <c r="N204" i="5"/>
  <c r="O204" i="5"/>
  <c r="F204" i="5"/>
  <c r="H204" i="5"/>
  <c r="I204" i="5"/>
  <c r="Z204" i="5"/>
  <c r="AN204" i="5"/>
  <c r="C94" i="4"/>
  <c r="C205" i="5"/>
  <c r="D94" i="4"/>
  <c r="E205" i="5"/>
  <c r="H94" i="4"/>
  <c r="K205" i="5"/>
  <c r="I94" i="4"/>
  <c r="L205" i="5"/>
  <c r="J94" i="4"/>
  <c r="N205" i="5"/>
  <c r="O205" i="5"/>
  <c r="L94" i="4"/>
  <c r="Q205" i="5"/>
  <c r="M94" i="4"/>
  <c r="R205" i="5"/>
  <c r="N34" i="2"/>
  <c r="N94" i="4"/>
  <c r="T205" i="5"/>
  <c r="U205" i="5"/>
  <c r="P94" i="4"/>
  <c r="W205" i="5"/>
  <c r="Q94" i="4"/>
  <c r="X205" i="5"/>
  <c r="S94" i="4"/>
  <c r="AA205" i="5"/>
  <c r="AF205" i="5"/>
  <c r="AG205" i="5"/>
  <c r="X94" i="4"/>
  <c r="AI205" i="5"/>
  <c r="Y94" i="4"/>
  <c r="AJ205" i="5"/>
  <c r="Z94" i="4"/>
  <c r="AL205" i="5"/>
  <c r="F205" i="5"/>
  <c r="H205" i="5"/>
  <c r="I205" i="5"/>
  <c r="Z205" i="5"/>
  <c r="AN205" i="5"/>
  <c r="C218" i="4"/>
  <c r="C206" i="5"/>
  <c r="D218" i="4"/>
  <c r="E206" i="5"/>
  <c r="H218" i="4"/>
  <c r="K206" i="5"/>
  <c r="L218" i="4"/>
  <c r="Q206" i="5"/>
  <c r="M218" i="4"/>
  <c r="R206" i="5"/>
  <c r="T206" i="5"/>
  <c r="U206" i="5"/>
  <c r="P218" i="4"/>
  <c r="W206" i="5"/>
  <c r="Q218" i="4"/>
  <c r="X206" i="5"/>
  <c r="S218" i="4"/>
  <c r="AA206" i="5"/>
  <c r="AH218" i="4"/>
  <c r="T218" i="4" a="1"/>
  <c r="T218" i="4"/>
  <c r="AC206" i="5"/>
  <c r="U218" i="4" a="1"/>
  <c r="U218" i="4"/>
  <c r="AD206" i="5"/>
  <c r="AF206" i="5"/>
  <c r="AG206" i="5"/>
  <c r="X218" i="4"/>
  <c r="AI206" i="5"/>
  <c r="Y218" i="4"/>
  <c r="AJ206" i="5"/>
  <c r="Z218" i="4"/>
  <c r="AL206" i="5"/>
  <c r="F206" i="5"/>
  <c r="H206" i="5"/>
  <c r="I206" i="5"/>
  <c r="L206" i="5"/>
  <c r="N206" i="5"/>
  <c r="O206" i="5"/>
  <c r="Z206" i="5"/>
  <c r="AN206" i="5"/>
  <c r="C228" i="4"/>
  <c r="C207" i="5"/>
  <c r="D228" i="4"/>
  <c r="E207" i="5"/>
  <c r="E228" i="4"/>
  <c r="F207" i="5"/>
  <c r="F228" i="4"/>
  <c r="H207" i="5"/>
  <c r="I207" i="5"/>
  <c r="H228" i="4"/>
  <c r="K207" i="5"/>
  <c r="L228" i="4"/>
  <c r="Q207" i="5"/>
  <c r="M228" i="4"/>
  <c r="R207" i="5"/>
  <c r="T207" i="5"/>
  <c r="U207" i="5"/>
  <c r="P228" i="4"/>
  <c r="W207" i="5"/>
  <c r="Q228" i="4"/>
  <c r="X207" i="5"/>
  <c r="S228" i="4"/>
  <c r="AA207" i="5"/>
  <c r="AH228" i="4"/>
  <c r="T228" i="4" a="1"/>
  <c r="T228" i="4"/>
  <c r="AC207" i="5"/>
  <c r="U228" i="4" a="1"/>
  <c r="U228" i="4"/>
  <c r="AD207" i="5"/>
  <c r="AF207" i="5"/>
  <c r="AG207" i="5"/>
  <c r="X228" i="4"/>
  <c r="AI207" i="5"/>
  <c r="Y228" i="4"/>
  <c r="AJ207" i="5"/>
  <c r="Z228" i="4"/>
  <c r="AL207" i="5"/>
  <c r="L207" i="5"/>
  <c r="N207" i="5"/>
  <c r="O207" i="5"/>
  <c r="Z207" i="5"/>
  <c r="AN207" i="5"/>
  <c r="C289" i="4"/>
  <c r="C208" i="5"/>
  <c r="D289" i="4"/>
  <c r="E208" i="5"/>
  <c r="E289" i="4"/>
  <c r="F208" i="5"/>
  <c r="F289" i="4"/>
  <c r="H208" i="5"/>
  <c r="I208" i="5"/>
  <c r="H289" i="4"/>
  <c r="K208" i="5"/>
  <c r="L289" i="4"/>
  <c r="Q208" i="5"/>
  <c r="M289" i="4"/>
  <c r="R208" i="5"/>
  <c r="N289" i="4"/>
  <c r="T208" i="5"/>
  <c r="U208" i="5"/>
  <c r="P289" i="4"/>
  <c r="W208" i="5"/>
  <c r="Q289" i="4"/>
  <c r="X208" i="5"/>
  <c r="S289" i="4"/>
  <c r="AA208" i="5"/>
  <c r="AF208" i="5"/>
  <c r="AG208" i="5"/>
  <c r="X289" i="4"/>
  <c r="AI208" i="5"/>
  <c r="Y289" i="4"/>
  <c r="AJ208" i="5"/>
  <c r="Z289" i="4"/>
  <c r="AL208" i="5"/>
  <c r="L208" i="5"/>
  <c r="N208" i="5"/>
  <c r="O208" i="5"/>
  <c r="Z208" i="5"/>
  <c r="AN208" i="5"/>
  <c r="C229" i="4"/>
  <c r="C209" i="5"/>
  <c r="D229" i="4"/>
  <c r="E209" i="5"/>
  <c r="E229" i="4"/>
  <c r="F209" i="5"/>
  <c r="F229" i="4"/>
  <c r="H209" i="5"/>
  <c r="I209" i="5"/>
  <c r="H229" i="4"/>
  <c r="K209" i="5"/>
  <c r="L229" i="4"/>
  <c r="Q209" i="5"/>
  <c r="M229" i="4"/>
  <c r="R209" i="5"/>
  <c r="T209" i="5"/>
  <c r="U209" i="5"/>
  <c r="P229" i="4"/>
  <c r="W209" i="5"/>
  <c r="Q229" i="4"/>
  <c r="X209" i="5"/>
  <c r="S229" i="4"/>
  <c r="AA209" i="5"/>
  <c r="AH229" i="4"/>
  <c r="T229" i="4" a="1"/>
  <c r="T229" i="4"/>
  <c r="AC209" i="5"/>
  <c r="U229" i="4" a="1"/>
  <c r="U229" i="4"/>
  <c r="AD209" i="5"/>
  <c r="AF209" i="5"/>
  <c r="AG209" i="5"/>
  <c r="X229" i="4"/>
  <c r="AI209" i="5"/>
  <c r="Y229" i="4"/>
  <c r="AJ209" i="5"/>
  <c r="Z229" i="4"/>
  <c r="AL209" i="5"/>
  <c r="L209" i="5"/>
  <c r="N209" i="5"/>
  <c r="O209" i="5"/>
  <c r="Z209" i="5"/>
  <c r="AN209" i="5"/>
  <c r="C230" i="4"/>
  <c r="C210" i="5"/>
  <c r="D230" i="4"/>
  <c r="E210" i="5"/>
  <c r="E230" i="4"/>
  <c r="F210" i="5"/>
  <c r="F230" i="4"/>
  <c r="H210" i="5"/>
  <c r="I210" i="5"/>
  <c r="H230" i="4"/>
  <c r="K210" i="5"/>
  <c r="L230" i="4"/>
  <c r="Q210" i="5"/>
  <c r="M230" i="4"/>
  <c r="R210" i="5"/>
  <c r="T210" i="5"/>
  <c r="U210" i="5"/>
  <c r="P230" i="4"/>
  <c r="W210" i="5"/>
  <c r="Q230" i="4"/>
  <c r="X210" i="5"/>
  <c r="S230" i="4"/>
  <c r="AA210" i="5"/>
  <c r="AH230" i="4"/>
  <c r="T230" i="4" a="1"/>
  <c r="T230" i="4"/>
  <c r="AC210" i="5"/>
  <c r="U230" i="4" a="1"/>
  <c r="U230" i="4"/>
  <c r="AD210" i="5"/>
  <c r="AF210" i="5"/>
  <c r="AG210" i="5"/>
  <c r="X230" i="4"/>
  <c r="AI210" i="5"/>
  <c r="Y230" i="4"/>
  <c r="AJ210" i="5"/>
  <c r="Z230" i="4"/>
  <c r="AL210" i="5"/>
  <c r="L210" i="5"/>
  <c r="N210" i="5"/>
  <c r="O210" i="5"/>
  <c r="Z210" i="5"/>
  <c r="AN210" i="5"/>
  <c r="C141" i="4"/>
  <c r="C211" i="5"/>
  <c r="D141" i="4"/>
  <c r="E211" i="5"/>
  <c r="E141" i="4"/>
  <c r="F211" i="5"/>
  <c r="F141" i="4"/>
  <c r="H211" i="5"/>
  <c r="I211" i="5"/>
  <c r="H141" i="4"/>
  <c r="K211" i="5"/>
  <c r="L141" i="4"/>
  <c r="Q211" i="5"/>
  <c r="M141" i="4"/>
  <c r="R211" i="5"/>
  <c r="T211" i="5"/>
  <c r="U211" i="5"/>
  <c r="P141" i="4"/>
  <c r="W211" i="5"/>
  <c r="Q141" i="4"/>
  <c r="X211" i="5"/>
  <c r="S141" i="4"/>
  <c r="AA211" i="5"/>
  <c r="AH141" i="4"/>
  <c r="T141" i="4" a="1"/>
  <c r="T141" i="4"/>
  <c r="AC211" i="5"/>
  <c r="U141" i="4" a="1"/>
  <c r="U141" i="4"/>
  <c r="AD211" i="5"/>
  <c r="AF211" i="5"/>
  <c r="AG211" i="5"/>
  <c r="X141" i="4"/>
  <c r="AI211" i="5"/>
  <c r="Y141" i="4"/>
  <c r="AJ211" i="5"/>
  <c r="Z141" i="4"/>
  <c r="AL211" i="5"/>
  <c r="L211" i="5"/>
  <c r="N211" i="5"/>
  <c r="O211" i="5"/>
  <c r="Z211" i="5"/>
  <c r="AN211" i="5"/>
  <c r="C294" i="4"/>
  <c r="C212" i="5"/>
  <c r="D294" i="4"/>
  <c r="E212" i="5"/>
  <c r="E294" i="4"/>
  <c r="F212" i="5"/>
  <c r="F294" i="4"/>
  <c r="H212" i="5"/>
  <c r="I212" i="5"/>
  <c r="H294" i="4"/>
  <c r="K212" i="5"/>
  <c r="L294" i="4"/>
  <c r="Q212" i="5"/>
  <c r="M294" i="4"/>
  <c r="R212" i="5"/>
  <c r="T212" i="5"/>
  <c r="U212" i="5"/>
  <c r="P294" i="4"/>
  <c r="W212" i="5"/>
  <c r="Q294" i="4"/>
  <c r="X212" i="5"/>
  <c r="S294" i="4"/>
  <c r="AA212" i="5"/>
  <c r="AH294" i="4"/>
  <c r="T294" i="4" a="1"/>
  <c r="T294" i="4"/>
  <c r="AC212" i="5"/>
  <c r="U294" i="4" a="1"/>
  <c r="U294" i="4"/>
  <c r="AD212" i="5"/>
  <c r="AF212" i="5"/>
  <c r="AG212" i="5"/>
  <c r="X294" i="4"/>
  <c r="AI212" i="5"/>
  <c r="Y294" i="4"/>
  <c r="AJ212" i="5"/>
  <c r="Z294" i="4"/>
  <c r="AL212" i="5"/>
  <c r="L212" i="5"/>
  <c r="N212" i="5"/>
  <c r="O212" i="5"/>
  <c r="Z212" i="5"/>
  <c r="AN212" i="5"/>
  <c r="O213" i="5"/>
  <c r="H258" i="4"/>
  <c r="K213" i="5"/>
  <c r="C258" i="4"/>
  <c r="C213" i="5"/>
  <c r="D258" i="4"/>
  <c r="E213" i="5"/>
  <c r="E258" i="4"/>
  <c r="F213" i="5"/>
  <c r="F258" i="4"/>
  <c r="H213" i="5"/>
  <c r="I213" i="5"/>
  <c r="I258" i="4"/>
  <c r="L213" i="5"/>
  <c r="J258" i="4"/>
  <c r="N213" i="5"/>
  <c r="L258" i="4"/>
  <c r="Q213" i="5"/>
  <c r="M258" i="4"/>
  <c r="R213" i="5"/>
  <c r="N39" i="2"/>
  <c r="N258" i="4"/>
  <c r="T213" i="5"/>
  <c r="U213" i="5"/>
  <c r="P258" i="4"/>
  <c r="W213" i="5"/>
  <c r="Q258" i="4"/>
  <c r="X213" i="5"/>
  <c r="S258" i="4"/>
  <c r="AA213" i="5"/>
  <c r="AF213" i="5"/>
  <c r="AG213" i="5"/>
  <c r="X258" i="4"/>
  <c r="AI213" i="5"/>
  <c r="Y258" i="4"/>
  <c r="AJ213" i="5"/>
  <c r="Z258" i="4"/>
  <c r="AL213" i="5"/>
  <c r="Z213" i="5"/>
  <c r="AN213" i="5"/>
  <c r="O214" i="5"/>
  <c r="H259" i="4"/>
  <c r="K214" i="5"/>
  <c r="C259" i="4"/>
  <c r="C214" i="5"/>
  <c r="D259" i="4"/>
  <c r="E214" i="5"/>
  <c r="E259" i="4"/>
  <c r="F214" i="5"/>
  <c r="F259" i="4"/>
  <c r="H214" i="5"/>
  <c r="I214" i="5"/>
  <c r="L259" i="4"/>
  <c r="Q214" i="5"/>
  <c r="M259" i="4"/>
  <c r="R214" i="5"/>
  <c r="T214" i="5"/>
  <c r="U214" i="5"/>
  <c r="P259" i="4"/>
  <c r="W214" i="5"/>
  <c r="Q259" i="4"/>
  <c r="X214" i="5"/>
  <c r="S259" i="4"/>
  <c r="AA214" i="5"/>
  <c r="AH259" i="4"/>
  <c r="T259" i="4" a="1"/>
  <c r="T259" i="4"/>
  <c r="AC214" i="5"/>
  <c r="U259" i="4" a="1"/>
  <c r="U259" i="4"/>
  <c r="AD214" i="5"/>
  <c r="AF214" i="5"/>
  <c r="AG214" i="5"/>
  <c r="X259" i="4"/>
  <c r="AI214" i="5"/>
  <c r="Y259" i="4"/>
  <c r="AJ214" i="5"/>
  <c r="Z259" i="4"/>
  <c r="AL214" i="5"/>
  <c r="Z214" i="5"/>
  <c r="AN214" i="5"/>
  <c r="O215" i="5"/>
  <c r="H260" i="4"/>
  <c r="K215" i="5"/>
  <c r="C260" i="4"/>
  <c r="C215" i="5"/>
  <c r="D260" i="4"/>
  <c r="E215" i="5"/>
  <c r="E260" i="4"/>
  <c r="F215" i="5"/>
  <c r="F260" i="4"/>
  <c r="H215" i="5"/>
  <c r="I215" i="5"/>
  <c r="I260" i="4"/>
  <c r="L215" i="5"/>
  <c r="J260" i="4"/>
  <c r="N215" i="5"/>
  <c r="L260" i="4"/>
  <c r="Q215" i="5"/>
  <c r="M260" i="4"/>
  <c r="R215" i="5"/>
  <c r="T215" i="5"/>
  <c r="U215" i="5"/>
  <c r="P260" i="4"/>
  <c r="W215" i="5"/>
  <c r="Q260" i="4"/>
  <c r="X215" i="5"/>
  <c r="S260" i="4"/>
  <c r="AA215" i="5"/>
  <c r="AH260" i="4"/>
  <c r="T260" i="4" a="1"/>
  <c r="T260" i="4"/>
  <c r="AC215" i="5"/>
  <c r="U260" i="4" a="1"/>
  <c r="U260" i="4"/>
  <c r="AD215" i="5"/>
  <c r="AF215" i="5"/>
  <c r="AG215" i="5"/>
  <c r="X260" i="4"/>
  <c r="AI215" i="5"/>
  <c r="Y260" i="4"/>
  <c r="AJ215" i="5"/>
  <c r="Z260" i="4"/>
  <c r="AL215" i="5"/>
  <c r="Z215" i="5"/>
  <c r="AN215" i="5"/>
  <c r="C197" i="4"/>
  <c r="C216" i="5"/>
  <c r="N197" i="4"/>
  <c r="T216" i="5"/>
  <c r="U216" i="5"/>
  <c r="P197" i="4"/>
  <c r="W216" i="5"/>
  <c r="Q197" i="4"/>
  <c r="X216" i="5"/>
  <c r="S197" i="4"/>
  <c r="AA216" i="5"/>
  <c r="AH197" i="4"/>
  <c r="T197" i="4" a="1"/>
  <c r="T197" i="4"/>
  <c r="AC216" i="5"/>
  <c r="U197" i="4" a="1"/>
  <c r="U197" i="4"/>
  <c r="AD216" i="5"/>
  <c r="AF216" i="5"/>
  <c r="AG216" i="5"/>
  <c r="X197" i="4"/>
  <c r="AI216" i="5"/>
  <c r="Y197" i="4"/>
  <c r="AJ216" i="5"/>
  <c r="Z197" i="4"/>
  <c r="AL216" i="5"/>
  <c r="F216" i="5"/>
  <c r="H216" i="5"/>
  <c r="I216" i="5"/>
  <c r="L216" i="5"/>
  <c r="N216" i="5"/>
  <c r="O216" i="5"/>
  <c r="Z216" i="5"/>
  <c r="AN216" i="5"/>
  <c r="C179" i="4"/>
  <c r="C217" i="5"/>
  <c r="D179" i="4"/>
  <c r="E217" i="5"/>
  <c r="E179" i="4"/>
  <c r="F217" i="5"/>
  <c r="F179" i="4"/>
  <c r="H217" i="5"/>
  <c r="I217" i="5"/>
  <c r="H179" i="4"/>
  <c r="K217" i="5"/>
  <c r="L179" i="4"/>
  <c r="Q217" i="5"/>
  <c r="M179" i="4"/>
  <c r="R217" i="5"/>
  <c r="T217" i="5"/>
  <c r="U217" i="5"/>
  <c r="P179" i="4"/>
  <c r="W217" i="5"/>
  <c r="Q179" i="4"/>
  <c r="X217" i="5"/>
  <c r="AA217" i="5"/>
  <c r="AH179" i="4"/>
  <c r="T179" i="4" a="1"/>
  <c r="T179" i="4"/>
  <c r="AC217" i="5"/>
  <c r="U179" i="4" a="1"/>
  <c r="U179" i="4"/>
  <c r="AD217" i="5"/>
  <c r="AF217" i="5"/>
  <c r="AG217" i="5"/>
  <c r="X179" i="4"/>
  <c r="AI217" i="5"/>
  <c r="L217" i="5"/>
  <c r="N217" i="5"/>
  <c r="O217" i="5"/>
  <c r="Z217" i="5"/>
  <c r="AN217" i="5"/>
  <c r="C180" i="4"/>
  <c r="C218" i="5"/>
  <c r="D180" i="4"/>
  <c r="E218" i="5"/>
  <c r="E180" i="4"/>
  <c r="F218" i="5"/>
  <c r="F180" i="4"/>
  <c r="H218" i="5"/>
  <c r="I218" i="5"/>
  <c r="H180" i="4"/>
  <c r="K218" i="5"/>
  <c r="L180" i="4"/>
  <c r="Q218" i="5"/>
  <c r="M180" i="4"/>
  <c r="R218" i="5"/>
  <c r="T218" i="5"/>
  <c r="U218" i="5"/>
  <c r="P180" i="4"/>
  <c r="W218" i="5"/>
  <c r="Q180" i="4"/>
  <c r="X218" i="5"/>
  <c r="S180" i="4"/>
  <c r="AA218" i="5"/>
  <c r="AH180" i="4"/>
  <c r="T180" i="4" a="1"/>
  <c r="T180" i="4"/>
  <c r="AC218" i="5"/>
  <c r="U180" i="4" a="1"/>
  <c r="U180" i="4"/>
  <c r="AD218" i="5"/>
  <c r="AF218" i="5"/>
  <c r="AG218" i="5"/>
  <c r="X180" i="4"/>
  <c r="AI218" i="5"/>
  <c r="Y180" i="4"/>
  <c r="AJ218" i="5"/>
  <c r="Z180" i="4"/>
  <c r="AL218" i="5"/>
  <c r="L218" i="5"/>
  <c r="N218" i="5"/>
  <c r="O218" i="5"/>
  <c r="Z218" i="5"/>
  <c r="AN218" i="5"/>
  <c r="O219" i="5"/>
  <c r="H198" i="4"/>
  <c r="K219" i="5"/>
  <c r="C198" i="4"/>
  <c r="C219" i="5"/>
  <c r="D198" i="4"/>
  <c r="E219" i="5"/>
  <c r="E198" i="4"/>
  <c r="F219" i="5"/>
  <c r="F198" i="4"/>
  <c r="H219" i="5"/>
  <c r="I219" i="5"/>
  <c r="I12" i="2"/>
  <c r="I198" i="4"/>
  <c r="L219" i="5"/>
  <c r="J198" i="4"/>
  <c r="N219" i="5"/>
  <c r="L198" i="4"/>
  <c r="Q219" i="5"/>
  <c r="M198" i="4"/>
  <c r="R219" i="5"/>
  <c r="T219" i="5"/>
  <c r="U219" i="5"/>
  <c r="P198" i="4"/>
  <c r="W219" i="5"/>
  <c r="Q198" i="4"/>
  <c r="X219" i="5"/>
  <c r="S198" i="4"/>
  <c r="AA219" i="5"/>
  <c r="AH198" i="4"/>
  <c r="T198" i="4" a="1"/>
  <c r="T198" i="4"/>
  <c r="AC219" i="5"/>
  <c r="U198" i="4" a="1"/>
  <c r="U198" i="4"/>
  <c r="AD219" i="5"/>
  <c r="AF219" i="5"/>
  <c r="AG219" i="5"/>
  <c r="X198" i="4"/>
  <c r="AI219" i="5"/>
  <c r="Y198" i="4"/>
  <c r="AJ219" i="5"/>
  <c r="Z198" i="4"/>
  <c r="AL219" i="5"/>
  <c r="Z219" i="5"/>
  <c r="AN219" i="5"/>
  <c r="C199" i="4"/>
  <c r="C220" i="5"/>
  <c r="D199" i="4"/>
  <c r="E220" i="5"/>
  <c r="E199" i="4"/>
  <c r="F220" i="5"/>
  <c r="F199" i="4"/>
  <c r="H220" i="5"/>
  <c r="I220" i="5"/>
  <c r="H199" i="4"/>
  <c r="K220" i="5"/>
  <c r="L199" i="4"/>
  <c r="Q220" i="5"/>
  <c r="M199" i="4"/>
  <c r="R220" i="5"/>
  <c r="T220" i="5"/>
  <c r="U220" i="5"/>
  <c r="P199" i="4"/>
  <c r="W220" i="5"/>
  <c r="Q199" i="4"/>
  <c r="X220" i="5"/>
  <c r="S199" i="4"/>
  <c r="AA220" i="5"/>
  <c r="AH199" i="4"/>
  <c r="T199" i="4" a="1"/>
  <c r="T199" i="4"/>
  <c r="AC220" i="5"/>
  <c r="U199" i="4" a="1"/>
  <c r="U199" i="4"/>
  <c r="AD220" i="5"/>
  <c r="AF220" i="5"/>
  <c r="AG220" i="5"/>
  <c r="X199" i="4"/>
  <c r="AI220" i="5"/>
  <c r="Y199" i="4"/>
  <c r="AJ220" i="5"/>
  <c r="Z199" i="4"/>
  <c r="AL220" i="5"/>
  <c r="L220" i="5"/>
  <c r="N220" i="5"/>
  <c r="O220" i="5"/>
  <c r="Z220" i="5"/>
  <c r="AN220" i="5"/>
  <c r="C98" i="4"/>
  <c r="C221" i="5"/>
  <c r="D98" i="4"/>
  <c r="E221" i="5"/>
  <c r="K221" i="5"/>
  <c r="L98" i="4"/>
  <c r="Q221" i="5"/>
  <c r="M98" i="4"/>
  <c r="R221" i="5"/>
  <c r="T221" i="5"/>
  <c r="U221" i="5"/>
  <c r="P98" i="4"/>
  <c r="W221" i="5"/>
  <c r="X221" i="5"/>
  <c r="S98" i="4"/>
  <c r="AA221" i="5"/>
  <c r="AH98" i="4"/>
  <c r="T98" i="4" a="1"/>
  <c r="T98" i="4"/>
  <c r="AC221" i="5"/>
  <c r="U98" i="4" a="1"/>
  <c r="U98" i="4"/>
  <c r="AD221" i="5"/>
  <c r="AF221" i="5"/>
  <c r="AG221" i="5"/>
  <c r="X98" i="4"/>
  <c r="AI221" i="5"/>
  <c r="Y98" i="4"/>
  <c r="AJ221" i="5"/>
  <c r="Z98" i="4"/>
  <c r="AL221" i="5"/>
  <c r="F221" i="5"/>
  <c r="H221" i="5"/>
  <c r="I221" i="5"/>
  <c r="L221" i="5"/>
  <c r="N221" i="5"/>
  <c r="O221" i="5"/>
  <c r="Z221" i="5"/>
  <c r="AN221" i="5"/>
  <c r="O222" i="5"/>
  <c r="H12" i="4"/>
  <c r="K222" i="5"/>
  <c r="C12" i="4"/>
  <c r="C222" i="5"/>
  <c r="D12" i="4"/>
  <c r="E222" i="5"/>
  <c r="I12" i="4"/>
  <c r="L222" i="5"/>
  <c r="J12" i="4"/>
  <c r="N222" i="5"/>
  <c r="L12" i="4"/>
  <c r="Q222" i="5"/>
  <c r="M12" i="4"/>
  <c r="R222" i="5"/>
  <c r="T222" i="5"/>
  <c r="U222" i="5"/>
  <c r="P12" i="4"/>
  <c r="W222" i="5"/>
  <c r="Q12" i="4"/>
  <c r="X222" i="5"/>
  <c r="AA222" i="5"/>
  <c r="AH12" i="4"/>
  <c r="T12" i="4" a="1"/>
  <c r="T12" i="4"/>
  <c r="AC222" i="5"/>
  <c r="U12" i="4" a="1"/>
  <c r="U12" i="4"/>
  <c r="AD222" i="5"/>
  <c r="AF222" i="5"/>
  <c r="AG222" i="5"/>
  <c r="X12" i="4"/>
  <c r="AI222" i="5"/>
  <c r="Y12" i="4"/>
  <c r="AJ222" i="5"/>
  <c r="Z12" i="4"/>
  <c r="AL222" i="5"/>
  <c r="F222" i="5"/>
  <c r="H222" i="5"/>
  <c r="I222" i="5"/>
  <c r="Z222" i="5"/>
  <c r="AN222" i="5"/>
  <c r="C290" i="4"/>
  <c r="C223" i="5"/>
  <c r="D290" i="4"/>
  <c r="E223" i="5"/>
  <c r="E18" i="2"/>
  <c r="E290" i="4"/>
  <c r="F223" i="5"/>
  <c r="F18" i="2"/>
  <c r="F290" i="4"/>
  <c r="H223" i="5"/>
  <c r="I223" i="5"/>
  <c r="H290" i="4"/>
  <c r="K223" i="5"/>
  <c r="L290" i="4"/>
  <c r="Q223" i="5"/>
  <c r="M290" i="4"/>
  <c r="R223" i="5"/>
  <c r="T223" i="5"/>
  <c r="U223" i="5"/>
  <c r="P290" i="4"/>
  <c r="W223" i="5"/>
  <c r="S290" i="4"/>
  <c r="AA223" i="5"/>
  <c r="AH290" i="4"/>
  <c r="T290" i="4" a="1"/>
  <c r="T290" i="4"/>
  <c r="AC223" i="5"/>
  <c r="U290" i="4" a="1"/>
  <c r="U290" i="4"/>
  <c r="AD223" i="5"/>
  <c r="AF223" i="5"/>
  <c r="AG223" i="5"/>
  <c r="X290" i="4"/>
  <c r="AI223" i="5"/>
  <c r="Y290" i="4"/>
  <c r="AJ223" i="5"/>
  <c r="Z290" i="4"/>
  <c r="AL223" i="5"/>
  <c r="L223" i="5"/>
  <c r="N223" i="5"/>
  <c r="O223" i="5"/>
  <c r="X223" i="5"/>
  <c r="Z223" i="5"/>
  <c r="AN223" i="5"/>
  <c r="B181" i="4"/>
  <c r="S181" i="4"/>
  <c r="AA224" i="5"/>
  <c r="P181" i="4"/>
  <c r="W224" i="5"/>
  <c r="O224" i="5"/>
  <c r="H181" i="4"/>
  <c r="K224" i="5"/>
  <c r="C181" i="4"/>
  <c r="C224" i="5"/>
  <c r="D181" i="4"/>
  <c r="E224" i="5"/>
  <c r="E181" i="4"/>
  <c r="F224" i="5"/>
  <c r="F181" i="4"/>
  <c r="H224" i="5"/>
  <c r="I224" i="5"/>
  <c r="I181" i="4"/>
  <c r="L224" i="5"/>
  <c r="J181" i="4"/>
  <c r="N224" i="5"/>
  <c r="L181" i="4"/>
  <c r="Q224" i="5"/>
  <c r="M181" i="4"/>
  <c r="R224" i="5"/>
  <c r="T224" i="5"/>
  <c r="U224" i="5"/>
  <c r="Q181" i="4"/>
  <c r="X224" i="5"/>
  <c r="R181" i="4"/>
  <c r="Z224" i="5"/>
  <c r="AH181" i="4"/>
  <c r="T181" i="4" a="1"/>
  <c r="T181" i="4"/>
  <c r="AC224" i="5"/>
  <c r="U181" i="4" a="1"/>
  <c r="U181" i="4"/>
  <c r="AD224" i="5"/>
  <c r="AF224" i="5"/>
  <c r="AG224" i="5"/>
  <c r="X181" i="4"/>
  <c r="AI224" i="5"/>
  <c r="Y181" i="4"/>
  <c r="AJ224" i="5"/>
  <c r="Z181" i="4"/>
  <c r="AL224" i="5"/>
  <c r="AN224" i="5"/>
  <c r="C114" i="4"/>
  <c r="C225" i="5"/>
  <c r="D114" i="4"/>
  <c r="E225" i="5"/>
  <c r="H114" i="4"/>
  <c r="K225" i="5"/>
  <c r="L114" i="4"/>
  <c r="Q225" i="5"/>
  <c r="M114" i="4"/>
  <c r="R225" i="5"/>
  <c r="T225" i="5"/>
  <c r="U225" i="5"/>
  <c r="P114" i="4"/>
  <c r="W225" i="5"/>
  <c r="X225" i="5"/>
  <c r="AA225" i="5"/>
  <c r="AH114" i="4"/>
  <c r="T114" i="4" a="1"/>
  <c r="T114" i="4"/>
  <c r="AC225" i="5"/>
  <c r="U114" i="4" a="1"/>
  <c r="U114" i="4"/>
  <c r="AD225" i="5"/>
  <c r="AF225" i="5"/>
  <c r="AG225" i="5"/>
  <c r="X114" i="4"/>
  <c r="AI225" i="5"/>
  <c r="Y114" i="4"/>
  <c r="AJ225" i="5"/>
  <c r="Z114" i="4"/>
  <c r="AL225" i="5"/>
  <c r="F225" i="5"/>
  <c r="H225" i="5"/>
  <c r="I225" i="5"/>
  <c r="L225" i="5"/>
  <c r="N225" i="5"/>
  <c r="O225" i="5"/>
  <c r="Z225" i="5"/>
  <c r="AN225" i="5"/>
  <c r="O226" i="5"/>
  <c r="K226" i="5"/>
  <c r="C48" i="4"/>
  <c r="C226" i="5"/>
  <c r="D48" i="4"/>
  <c r="E226" i="5"/>
  <c r="E48" i="4"/>
  <c r="F226" i="5"/>
  <c r="F48" i="4"/>
  <c r="H226" i="5"/>
  <c r="I226" i="5"/>
  <c r="I48" i="4"/>
  <c r="L226" i="5"/>
  <c r="J48" i="4"/>
  <c r="N226" i="5"/>
  <c r="L48" i="4"/>
  <c r="Q226" i="5"/>
  <c r="M48" i="4"/>
  <c r="R226" i="5"/>
  <c r="T226" i="5"/>
  <c r="U226" i="5"/>
  <c r="P48" i="4"/>
  <c r="W226" i="5"/>
  <c r="Q48" i="4"/>
  <c r="X226" i="5"/>
  <c r="S4" i="2"/>
  <c r="S48" i="4"/>
  <c r="AA226" i="5"/>
  <c r="AH48" i="4"/>
  <c r="T48" i="4" a="1"/>
  <c r="T48" i="4"/>
  <c r="AC226" i="5"/>
  <c r="U48" i="4" a="1"/>
  <c r="U48" i="4"/>
  <c r="AD226" i="5"/>
  <c r="AF226" i="5"/>
  <c r="AG226" i="5"/>
  <c r="X48" i="4"/>
  <c r="AI226" i="5"/>
  <c r="Y48" i="4"/>
  <c r="AJ226" i="5"/>
  <c r="Z48" i="4"/>
  <c r="AL226" i="5"/>
  <c r="Z226" i="5"/>
  <c r="AN226" i="5"/>
  <c r="C291" i="4"/>
  <c r="C227" i="5"/>
  <c r="D291" i="4"/>
  <c r="E227" i="5"/>
  <c r="E291" i="4"/>
  <c r="F227" i="5"/>
  <c r="F291" i="4"/>
  <c r="H227" i="5"/>
  <c r="I227" i="5"/>
  <c r="H291" i="4"/>
  <c r="K227" i="5"/>
  <c r="L291" i="4"/>
  <c r="Q227" i="5"/>
  <c r="M291" i="4"/>
  <c r="R227" i="5"/>
  <c r="T227" i="5"/>
  <c r="U227" i="5"/>
  <c r="P291" i="4"/>
  <c r="W227" i="5"/>
  <c r="Q291" i="4"/>
  <c r="X227" i="5"/>
  <c r="S291" i="4"/>
  <c r="AA227" i="5"/>
  <c r="AH291" i="4"/>
  <c r="T291" i="4" a="1"/>
  <c r="T291" i="4"/>
  <c r="AC227" i="5"/>
  <c r="U291" i="4" a="1"/>
  <c r="U291" i="4"/>
  <c r="AD227" i="5"/>
  <c r="AF227" i="5"/>
  <c r="AG227" i="5"/>
  <c r="X291" i="4"/>
  <c r="AI227" i="5"/>
  <c r="Y291" i="4"/>
  <c r="AJ227" i="5"/>
  <c r="Z291" i="4"/>
  <c r="AL227" i="5"/>
  <c r="L227" i="5"/>
  <c r="N227" i="5"/>
  <c r="O227" i="5"/>
  <c r="Z227" i="5"/>
  <c r="AN227" i="5"/>
  <c r="B231" i="4"/>
  <c r="C231" i="4"/>
  <c r="C228" i="5"/>
  <c r="D231" i="4"/>
  <c r="E228" i="5"/>
  <c r="E231" i="4"/>
  <c r="F228" i="5"/>
  <c r="F231" i="4"/>
  <c r="H228" i="5"/>
  <c r="I228" i="5"/>
  <c r="H231" i="4"/>
  <c r="K228" i="5"/>
  <c r="L231" i="4"/>
  <c r="Q228" i="5"/>
  <c r="M231" i="4"/>
  <c r="R228" i="5"/>
  <c r="T228" i="5"/>
  <c r="U228" i="5"/>
  <c r="P231" i="4"/>
  <c r="W228" i="5"/>
  <c r="Q231" i="4"/>
  <c r="X228" i="5"/>
  <c r="S231" i="4"/>
  <c r="AA228" i="5"/>
  <c r="AH231" i="4"/>
  <c r="T231" i="4" a="1"/>
  <c r="T231" i="4"/>
  <c r="AC228" i="5"/>
  <c r="U231" i="4" a="1"/>
  <c r="U231" i="4"/>
  <c r="AD228" i="5"/>
  <c r="AF228" i="5"/>
  <c r="AG228" i="5"/>
  <c r="X231" i="4"/>
  <c r="AI228" i="5"/>
  <c r="Y231" i="4"/>
  <c r="AJ228" i="5"/>
  <c r="Z231" i="4"/>
  <c r="AL228" i="5"/>
  <c r="L228" i="5"/>
  <c r="N228" i="5"/>
  <c r="O228" i="5"/>
  <c r="Z228" i="5"/>
  <c r="AN228" i="5"/>
  <c r="C209" i="4"/>
  <c r="C229" i="5"/>
  <c r="D209" i="4"/>
  <c r="E229" i="5"/>
  <c r="H209" i="4"/>
  <c r="K229" i="5"/>
  <c r="L209" i="4"/>
  <c r="Q229" i="5"/>
  <c r="M209" i="4"/>
  <c r="R229" i="5"/>
  <c r="T229" i="5"/>
  <c r="U229" i="5"/>
  <c r="P209" i="4"/>
  <c r="W229" i="5"/>
  <c r="Q209" i="4"/>
  <c r="X229" i="5"/>
  <c r="S209" i="4"/>
  <c r="AA229" i="5"/>
  <c r="AH209" i="4"/>
  <c r="T209" i="4" a="1"/>
  <c r="T209" i="4"/>
  <c r="AC229" i="5"/>
  <c r="U209" i="4" a="1"/>
  <c r="U209" i="4"/>
  <c r="AD229" i="5"/>
  <c r="AF229" i="5"/>
  <c r="AG229" i="5"/>
  <c r="X209" i="4"/>
  <c r="AI229" i="5"/>
  <c r="Y209" i="4"/>
  <c r="AJ229" i="5"/>
  <c r="Z209" i="4"/>
  <c r="AL229" i="5"/>
  <c r="L229" i="5"/>
  <c r="N229" i="5"/>
  <c r="O229" i="5"/>
  <c r="F229" i="5"/>
  <c r="H229" i="5"/>
  <c r="I229" i="5"/>
  <c r="Z229" i="5"/>
  <c r="AN229" i="5"/>
  <c r="C281" i="4"/>
  <c r="C230" i="5"/>
  <c r="D281" i="4"/>
  <c r="E230" i="5"/>
  <c r="H281" i="4"/>
  <c r="K230" i="5"/>
  <c r="L281" i="4"/>
  <c r="Q230" i="5"/>
  <c r="M281" i="4"/>
  <c r="R230" i="5"/>
  <c r="T230" i="5"/>
  <c r="U230" i="5"/>
  <c r="P281" i="4"/>
  <c r="W230" i="5"/>
  <c r="Q281" i="4"/>
  <c r="X230" i="5"/>
  <c r="S281" i="4"/>
  <c r="AA230" i="5"/>
  <c r="AH281" i="4"/>
  <c r="T281" i="4" a="1"/>
  <c r="T281" i="4"/>
  <c r="AC230" i="5"/>
  <c r="U281" i="4" a="1"/>
  <c r="U281" i="4"/>
  <c r="AD230" i="5"/>
  <c r="AF230" i="5"/>
  <c r="AG230" i="5"/>
  <c r="X281" i="4"/>
  <c r="AI230" i="5"/>
  <c r="Y281" i="4"/>
  <c r="AJ230" i="5"/>
  <c r="Z281" i="4"/>
  <c r="AL230" i="5"/>
  <c r="L230" i="5"/>
  <c r="N230" i="5"/>
  <c r="O230" i="5"/>
  <c r="F230" i="5"/>
  <c r="H230" i="5"/>
  <c r="I230" i="5"/>
  <c r="Z230" i="5"/>
  <c r="AN230" i="5"/>
  <c r="B142" i="4"/>
  <c r="S142" i="4"/>
  <c r="AA231" i="5"/>
  <c r="P142" i="4"/>
  <c r="W231" i="5"/>
  <c r="C142" i="4"/>
  <c r="C231" i="5"/>
  <c r="D142" i="4"/>
  <c r="E231" i="5"/>
  <c r="K231" i="5"/>
  <c r="L142" i="4"/>
  <c r="Q231" i="5"/>
  <c r="M142" i="4"/>
  <c r="R231" i="5"/>
  <c r="T231" i="5"/>
  <c r="U231" i="5"/>
  <c r="Q142" i="4"/>
  <c r="X231" i="5"/>
  <c r="R142" i="4"/>
  <c r="Z231" i="5"/>
  <c r="AH142" i="4"/>
  <c r="T142" i="4" a="1"/>
  <c r="T142" i="4"/>
  <c r="AC231" i="5"/>
  <c r="U142" i="4" a="1"/>
  <c r="U142" i="4"/>
  <c r="AD231" i="5"/>
  <c r="AF231" i="5"/>
  <c r="AG231" i="5"/>
  <c r="X142" i="4"/>
  <c r="AI231" i="5"/>
  <c r="Y142" i="4"/>
  <c r="AJ231" i="5"/>
  <c r="Z142" i="4"/>
  <c r="AL231" i="5"/>
  <c r="L231" i="5"/>
  <c r="N231" i="5"/>
  <c r="O231" i="5"/>
  <c r="F231" i="5"/>
  <c r="H231" i="5"/>
  <c r="I231" i="5"/>
  <c r="AN231" i="5"/>
  <c r="B27" i="4"/>
  <c r="C27" i="4"/>
  <c r="C232" i="5"/>
  <c r="D27" i="4"/>
  <c r="E232" i="5"/>
  <c r="K232" i="5"/>
  <c r="L27" i="4"/>
  <c r="Q232" i="5"/>
  <c r="M27" i="4"/>
  <c r="R232" i="5"/>
  <c r="T232" i="5"/>
  <c r="U232" i="5"/>
  <c r="P27" i="4"/>
  <c r="W232" i="5"/>
  <c r="Q27" i="4"/>
  <c r="X232" i="5"/>
  <c r="S27" i="4"/>
  <c r="AA232" i="5"/>
  <c r="AH27" i="4"/>
  <c r="T27" i="4" a="1"/>
  <c r="T27" i="4"/>
  <c r="AC232" i="5"/>
  <c r="U27" i="4" a="1"/>
  <c r="U27" i="4"/>
  <c r="AD232" i="5"/>
  <c r="AF232" i="5"/>
  <c r="AG232" i="5"/>
  <c r="X27" i="4"/>
  <c r="AI232" i="5"/>
  <c r="Y27" i="4"/>
  <c r="AJ232" i="5"/>
  <c r="Z27" i="4"/>
  <c r="AL232" i="5"/>
  <c r="F232" i="5"/>
  <c r="H232" i="5"/>
  <c r="I232" i="5"/>
  <c r="L232" i="5"/>
  <c r="N232" i="5"/>
  <c r="O232" i="5"/>
  <c r="Z232" i="5"/>
  <c r="AN232" i="5"/>
  <c r="B143" i="4"/>
  <c r="C143" i="4"/>
  <c r="C233" i="5"/>
  <c r="D143" i="4"/>
  <c r="E233" i="5"/>
  <c r="K233" i="5"/>
  <c r="L143" i="4"/>
  <c r="Q233" i="5"/>
  <c r="M143" i="4"/>
  <c r="R233" i="5"/>
  <c r="T233" i="5"/>
  <c r="U233" i="5"/>
  <c r="P143" i="4"/>
  <c r="W233" i="5"/>
  <c r="Q143" i="4"/>
  <c r="X233" i="5"/>
  <c r="S143" i="4"/>
  <c r="AA233" i="5"/>
  <c r="AH143" i="4"/>
  <c r="T143" i="4" a="1"/>
  <c r="T143" i="4"/>
  <c r="AC233" i="5"/>
  <c r="U143" i="4" a="1"/>
  <c r="U143" i="4"/>
  <c r="AD233" i="5"/>
  <c r="AF233" i="5"/>
  <c r="AG233" i="5"/>
  <c r="X143" i="4"/>
  <c r="AI233" i="5"/>
  <c r="Y143" i="4"/>
  <c r="AJ233" i="5"/>
  <c r="Z143" i="4"/>
  <c r="AL233" i="5"/>
  <c r="F233" i="5"/>
  <c r="H233" i="5"/>
  <c r="I233" i="5"/>
  <c r="L233" i="5"/>
  <c r="N233" i="5"/>
  <c r="O233" i="5"/>
  <c r="Z233" i="5"/>
  <c r="AN233" i="5"/>
  <c r="B144" i="4"/>
  <c r="C144" i="4"/>
  <c r="C234" i="5"/>
  <c r="D144" i="4"/>
  <c r="E234" i="5"/>
  <c r="K234" i="5"/>
  <c r="L144" i="4"/>
  <c r="Q234" i="5"/>
  <c r="M144" i="4"/>
  <c r="R234" i="5"/>
  <c r="T234" i="5"/>
  <c r="U234" i="5"/>
  <c r="P144" i="4"/>
  <c r="W234" i="5"/>
  <c r="Q144" i="4"/>
  <c r="X234" i="5"/>
  <c r="S144" i="4"/>
  <c r="AA234" i="5"/>
  <c r="AH144" i="4"/>
  <c r="T144" i="4" a="1"/>
  <c r="T144" i="4"/>
  <c r="AC234" i="5"/>
  <c r="U144" i="4" a="1"/>
  <c r="U144" i="4"/>
  <c r="AD234" i="5"/>
  <c r="AF234" i="5"/>
  <c r="AG234" i="5"/>
  <c r="X144" i="4"/>
  <c r="AI234" i="5"/>
  <c r="Y144" i="4"/>
  <c r="AJ234" i="5"/>
  <c r="Z144" i="4"/>
  <c r="AL234" i="5"/>
  <c r="F234" i="5"/>
  <c r="H234" i="5"/>
  <c r="I234" i="5"/>
  <c r="L234" i="5"/>
  <c r="N234" i="5"/>
  <c r="O234" i="5"/>
  <c r="Z234" i="5"/>
  <c r="AN234" i="5"/>
  <c r="B28" i="4"/>
  <c r="C28" i="4"/>
  <c r="C235" i="5"/>
  <c r="D28" i="4"/>
  <c r="E235" i="5"/>
  <c r="K235" i="5"/>
  <c r="L28" i="4"/>
  <c r="Q235" i="5"/>
  <c r="M28" i="4"/>
  <c r="R235" i="5"/>
  <c r="T235" i="5"/>
  <c r="U235" i="5"/>
  <c r="P28" i="4"/>
  <c r="W235" i="5"/>
  <c r="Q28" i="4"/>
  <c r="X235" i="5"/>
  <c r="S28" i="4"/>
  <c r="AA235" i="5"/>
  <c r="AH28" i="4"/>
  <c r="T28" i="4" a="1"/>
  <c r="T28" i="4"/>
  <c r="AC235" i="5"/>
  <c r="U28" i="4" a="1"/>
  <c r="U28" i="4"/>
  <c r="AD235" i="5"/>
  <c r="AF235" i="5"/>
  <c r="AG235" i="5"/>
  <c r="X28" i="4"/>
  <c r="AI235" i="5"/>
  <c r="Y28" i="4"/>
  <c r="AJ235" i="5"/>
  <c r="Z28" i="4"/>
  <c r="AL235" i="5"/>
  <c r="F235" i="5"/>
  <c r="H235" i="5"/>
  <c r="I235" i="5"/>
  <c r="L235" i="5"/>
  <c r="N235" i="5"/>
  <c r="O235" i="5"/>
  <c r="Z235" i="5"/>
  <c r="AN235" i="5"/>
  <c r="B145" i="4"/>
  <c r="C145" i="4"/>
  <c r="C236" i="5"/>
  <c r="D145" i="4"/>
  <c r="E236" i="5"/>
  <c r="K236" i="5"/>
  <c r="L145" i="4"/>
  <c r="Q236" i="5"/>
  <c r="M145" i="4"/>
  <c r="R236" i="5"/>
  <c r="T236" i="5"/>
  <c r="U236" i="5"/>
  <c r="P145" i="4"/>
  <c r="W236" i="5"/>
  <c r="Q145" i="4"/>
  <c r="X236" i="5"/>
  <c r="S145" i="4"/>
  <c r="AA236" i="5"/>
  <c r="AH145" i="4"/>
  <c r="T145" i="4" a="1"/>
  <c r="T145" i="4"/>
  <c r="AC236" i="5"/>
  <c r="U145" i="4" a="1"/>
  <c r="U145" i="4"/>
  <c r="AD236" i="5"/>
  <c r="AF236" i="5"/>
  <c r="AG236" i="5"/>
  <c r="X145" i="4"/>
  <c r="AI236" i="5"/>
  <c r="Y145" i="4"/>
  <c r="AJ236" i="5"/>
  <c r="Z145" i="4"/>
  <c r="AL236" i="5"/>
  <c r="F236" i="5"/>
  <c r="H236" i="5"/>
  <c r="I236" i="5"/>
  <c r="L236" i="5"/>
  <c r="N236" i="5"/>
  <c r="O236" i="5"/>
  <c r="Z236" i="5"/>
  <c r="AN236" i="5"/>
  <c r="C282" i="4"/>
  <c r="C237" i="5"/>
  <c r="D282" i="4"/>
  <c r="E237" i="5"/>
  <c r="E282" i="4"/>
  <c r="F237" i="5"/>
  <c r="F282" i="4"/>
  <c r="H237" i="5"/>
  <c r="I237" i="5"/>
  <c r="K237" i="5"/>
  <c r="L282" i="4"/>
  <c r="Q237" i="5"/>
  <c r="M282" i="4"/>
  <c r="R237" i="5"/>
  <c r="T237" i="5"/>
  <c r="U237" i="5"/>
  <c r="P282" i="4"/>
  <c r="W237" i="5"/>
  <c r="Q282" i="4"/>
  <c r="X237" i="5"/>
  <c r="S282" i="4"/>
  <c r="AA237" i="5"/>
  <c r="AH282" i="4"/>
  <c r="T282" i="4" a="1"/>
  <c r="T282" i="4"/>
  <c r="AC237" i="5"/>
  <c r="U282" i="4" a="1"/>
  <c r="U282" i="4"/>
  <c r="AD237" i="5"/>
  <c r="AF237" i="5"/>
  <c r="AG237" i="5"/>
  <c r="X282" i="4"/>
  <c r="AI237" i="5"/>
  <c r="Y282" i="4"/>
  <c r="AJ237" i="5"/>
  <c r="Z282" i="4"/>
  <c r="AL237" i="5"/>
  <c r="L237" i="5"/>
  <c r="N237" i="5"/>
  <c r="O237" i="5"/>
  <c r="Z237" i="5"/>
  <c r="AN237" i="5"/>
  <c r="AA383" i="5"/>
  <c r="B392" i="4"/>
  <c r="P392" i="4"/>
  <c r="W383" i="5"/>
  <c r="O383" i="5"/>
  <c r="K383" i="5"/>
  <c r="C383" i="5"/>
  <c r="L383" i="5"/>
  <c r="N383" i="5"/>
  <c r="L392" i="4"/>
  <c r="Q383" i="5"/>
  <c r="U383" i="5"/>
  <c r="Q392" i="4"/>
  <c r="X383" i="5"/>
  <c r="R392" i="4"/>
  <c r="Z383" i="5"/>
  <c r="AC383" i="5"/>
  <c r="AD383" i="5"/>
  <c r="AF383" i="5"/>
  <c r="AG383" i="5"/>
  <c r="X392" i="4"/>
  <c r="AI383" i="5"/>
  <c r="Y392" i="4"/>
  <c r="AJ383" i="5"/>
  <c r="AL383" i="5"/>
  <c r="F383" i="5"/>
  <c r="E383" i="5"/>
  <c r="H383" i="5"/>
  <c r="I383" i="5"/>
  <c r="R383" i="5"/>
  <c r="T383" i="5"/>
  <c r="AN383" i="5"/>
  <c r="AA384" i="5"/>
  <c r="B384" i="4"/>
  <c r="P384" i="4"/>
  <c r="W384" i="5"/>
  <c r="O384" i="5"/>
  <c r="K384" i="5"/>
  <c r="C384" i="5"/>
  <c r="L384" i="5"/>
  <c r="N384" i="5"/>
  <c r="L384" i="4"/>
  <c r="Q384" i="5"/>
  <c r="U384" i="5"/>
  <c r="Q384" i="4"/>
  <c r="X384" i="5"/>
  <c r="R10" i="2"/>
  <c r="R384" i="4"/>
  <c r="Z384" i="5"/>
  <c r="AC384" i="5"/>
  <c r="AD384" i="5"/>
  <c r="AF384" i="5"/>
  <c r="AG384" i="5"/>
  <c r="X384" i="4"/>
  <c r="AI384" i="5"/>
  <c r="Y384" i="4"/>
  <c r="AJ384" i="5"/>
  <c r="AL384" i="5"/>
  <c r="F384" i="5"/>
  <c r="E384" i="5"/>
  <c r="H384" i="5"/>
  <c r="I384" i="5"/>
  <c r="R384" i="5"/>
  <c r="T384" i="5"/>
  <c r="AN384" i="5"/>
  <c r="AA385" i="5"/>
  <c r="B385" i="4"/>
  <c r="P385" i="4"/>
  <c r="W385" i="5"/>
  <c r="O385" i="5"/>
  <c r="K385" i="5"/>
  <c r="C385" i="5"/>
  <c r="L385" i="5"/>
  <c r="N385" i="5"/>
  <c r="L385" i="4"/>
  <c r="Q385" i="5"/>
  <c r="U385" i="5"/>
  <c r="Q385" i="4"/>
  <c r="X385" i="5"/>
  <c r="R14" i="2"/>
  <c r="R385" i="4"/>
  <c r="Z385" i="5"/>
  <c r="AC385" i="5"/>
  <c r="AD385" i="5"/>
  <c r="AF385" i="5"/>
  <c r="AG385" i="5"/>
  <c r="X385" i="4"/>
  <c r="AI385" i="5"/>
  <c r="Y385" i="4"/>
  <c r="AJ385" i="5"/>
  <c r="AL385" i="5"/>
  <c r="F385" i="5"/>
  <c r="E385" i="5"/>
  <c r="H385" i="5"/>
  <c r="I385" i="5"/>
  <c r="R385" i="5"/>
  <c r="T385" i="5"/>
  <c r="AN385" i="5"/>
  <c r="AA386" i="5"/>
  <c r="B386" i="4"/>
  <c r="P386" i="4"/>
  <c r="W386" i="5"/>
  <c r="O386" i="5"/>
  <c r="K386" i="5"/>
  <c r="C386" i="5"/>
  <c r="L386" i="5"/>
  <c r="N386" i="5"/>
  <c r="L386" i="4"/>
  <c r="Q386" i="5"/>
  <c r="U386" i="5"/>
  <c r="Q386" i="4"/>
  <c r="X386" i="5"/>
  <c r="R386" i="4"/>
  <c r="Z386" i="5"/>
  <c r="AC386" i="5"/>
  <c r="AD386" i="5"/>
  <c r="AF386" i="5"/>
  <c r="AG386" i="5"/>
  <c r="X386" i="4"/>
  <c r="AI386" i="5"/>
  <c r="Y386" i="4"/>
  <c r="AJ386" i="5"/>
  <c r="F386" i="5"/>
  <c r="E386" i="5"/>
  <c r="H386" i="5"/>
  <c r="I386" i="5"/>
  <c r="R386" i="5"/>
  <c r="T386" i="5"/>
  <c r="AN386" i="5"/>
  <c r="AA387" i="5"/>
  <c r="B393" i="4"/>
  <c r="P393" i="4"/>
  <c r="W387" i="5"/>
  <c r="O387" i="5"/>
  <c r="K387" i="5"/>
  <c r="C387" i="5"/>
  <c r="L387" i="5"/>
  <c r="N387" i="5"/>
  <c r="L393" i="4"/>
  <c r="Q387" i="5"/>
  <c r="U387" i="5"/>
  <c r="Q393" i="4"/>
  <c r="X387" i="5"/>
  <c r="R393" i="4"/>
  <c r="Z387" i="5"/>
  <c r="AC387" i="5"/>
  <c r="AD387" i="5"/>
  <c r="AF387" i="5"/>
  <c r="AG387" i="5"/>
  <c r="X393" i="4"/>
  <c r="AI387" i="5"/>
  <c r="Y393" i="4"/>
  <c r="AJ387" i="5"/>
  <c r="AL387" i="5"/>
  <c r="F387" i="5"/>
  <c r="E387" i="5"/>
  <c r="H387" i="5"/>
  <c r="I387" i="5"/>
  <c r="R387" i="5"/>
  <c r="T387" i="5"/>
  <c r="AN387" i="5"/>
  <c r="AA388" i="5"/>
  <c r="B394" i="4"/>
  <c r="P394" i="4"/>
  <c r="W388" i="5"/>
  <c r="O388" i="5"/>
  <c r="K388" i="5"/>
  <c r="C388" i="5"/>
  <c r="L388" i="5"/>
  <c r="N388" i="5"/>
  <c r="L394" i="4"/>
  <c r="Q388" i="5"/>
  <c r="U388" i="5"/>
  <c r="Q394" i="4"/>
  <c r="X388" i="5"/>
  <c r="R394" i="4"/>
  <c r="Z388" i="5"/>
  <c r="AC388" i="5"/>
  <c r="AD388" i="5"/>
  <c r="AF388" i="5"/>
  <c r="AG388" i="5"/>
  <c r="X394" i="4"/>
  <c r="AI388" i="5"/>
  <c r="Y394" i="4"/>
  <c r="AJ388" i="5"/>
  <c r="AL388" i="5"/>
  <c r="F388" i="5"/>
  <c r="E388" i="5"/>
  <c r="H388" i="5"/>
  <c r="I388" i="5"/>
  <c r="R388" i="5"/>
  <c r="T388" i="5"/>
  <c r="AN388" i="5"/>
  <c r="AA389" i="5"/>
  <c r="B395" i="4"/>
  <c r="P395" i="4"/>
  <c r="W389" i="5"/>
  <c r="O389" i="5"/>
  <c r="K389" i="5"/>
  <c r="C389" i="5"/>
  <c r="L389" i="5"/>
  <c r="N389" i="5"/>
  <c r="L395" i="4"/>
  <c r="Q389" i="5"/>
  <c r="U389" i="5"/>
  <c r="Q395" i="4"/>
  <c r="X389" i="5"/>
  <c r="R395" i="4"/>
  <c r="Z389" i="5"/>
  <c r="AC389" i="5"/>
  <c r="AD389" i="5"/>
  <c r="AF389" i="5"/>
  <c r="AG389" i="5"/>
  <c r="X395" i="4"/>
  <c r="AI389" i="5"/>
  <c r="Y395" i="4"/>
  <c r="AJ389" i="5"/>
  <c r="AL389" i="5"/>
  <c r="F389" i="5"/>
  <c r="E389" i="5"/>
  <c r="H389" i="5"/>
  <c r="I389" i="5"/>
  <c r="R389" i="5"/>
  <c r="T389" i="5"/>
  <c r="AN389" i="5"/>
  <c r="AA390" i="5"/>
  <c r="B396" i="4"/>
  <c r="P396" i="4"/>
  <c r="W390" i="5"/>
  <c r="O390" i="5"/>
  <c r="K390" i="5"/>
  <c r="C390" i="5"/>
  <c r="L390" i="5"/>
  <c r="N390" i="5"/>
  <c r="L396" i="4"/>
  <c r="Q390" i="5"/>
  <c r="U390" i="5"/>
  <c r="Q396" i="4"/>
  <c r="X390" i="5"/>
  <c r="R396" i="4"/>
  <c r="Z390" i="5"/>
  <c r="AC390" i="5"/>
  <c r="AD390" i="5"/>
  <c r="AF390" i="5"/>
  <c r="AG390" i="5"/>
  <c r="X396" i="4"/>
  <c r="AI390" i="5"/>
  <c r="Y396" i="4"/>
  <c r="AJ390" i="5"/>
  <c r="AL390" i="5"/>
  <c r="F390" i="5"/>
  <c r="E390" i="5"/>
  <c r="H390" i="5"/>
  <c r="I390" i="5"/>
  <c r="R390" i="5"/>
  <c r="T390" i="5"/>
  <c r="AN390" i="5"/>
  <c r="AA391" i="5"/>
  <c r="B397" i="4"/>
  <c r="P397" i="4"/>
  <c r="W391" i="5"/>
  <c r="O391" i="5"/>
  <c r="K391" i="5"/>
  <c r="C391" i="5"/>
  <c r="L391" i="5"/>
  <c r="N391" i="5"/>
  <c r="L397" i="4"/>
  <c r="Q391" i="5"/>
  <c r="U391" i="5"/>
  <c r="Q397" i="4"/>
  <c r="X391" i="5"/>
  <c r="R22" i="2"/>
  <c r="R397" i="4"/>
  <c r="Z391" i="5"/>
  <c r="AC391" i="5"/>
  <c r="AD391" i="5"/>
  <c r="AF391" i="5"/>
  <c r="AG391" i="5"/>
  <c r="X397" i="4"/>
  <c r="AI391" i="5"/>
  <c r="Y397" i="4"/>
  <c r="AJ391" i="5"/>
  <c r="AL391" i="5"/>
  <c r="F391" i="5"/>
  <c r="E391" i="5"/>
  <c r="H391" i="5"/>
  <c r="I391" i="5"/>
  <c r="R391" i="5"/>
  <c r="T391" i="5"/>
  <c r="AN391" i="5"/>
  <c r="AA392" i="5"/>
  <c r="B387" i="4"/>
  <c r="P387" i="4"/>
  <c r="W392" i="5"/>
  <c r="O392" i="5"/>
  <c r="K392" i="5"/>
  <c r="C392" i="5"/>
  <c r="L392" i="5"/>
  <c r="N392" i="5"/>
  <c r="L387" i="4"/>
  <c r="Q392" i="5"/>
  <c r="U392" i="5"/>
  <c r="Q387" i="4"/>
  <c r="X392" i="5"/>
  <c r="R387" i="4"/>
  <c r="Z392" i="5"/>
  <c r="AC392" i="5"/>
  <c r="AD392" i="5"/>
  <c r="AF392" i="5"/>
  <c r="AG392" i="5"/>
  <c r="X387" i="4"/>
  <c r="AI392" i="5"/>
  <c r="Y387" i="4"/>
  <c r="AJ392" i="5"/>
  <c r="AL392" i="5"/>
  <c r="F392" i="5"/>
  <c r="E392" i="5"/>
  <c r="H392" i="5"/>
  <c r="I392" i="5"/>
  <c r="R392" i="5"/>
  <c r="T392" i="5"/>
  <c r="AN392" i="5"/>
  <c r="AA393" i="5"/>
  <c r="B388" i="4"/>
  <c r="P388" i="4"/>
  <c r="W393" i="5"/>
  <c r="O393" i="5"/>
  <c r="K393" i="5"/>
  <c r="C393" i="5"/>
  <c r="L393" i="5"/>
  <c r="N393" i="5"/>
  <c r="L388" i="4"/>
  <c r="Q393" i="5"/>
  <c r="U393" i="5"/>
  <c r="Q388" i="4"/>
  <c r="X393" i="5"/>
  <c r="R388" i="4"/>
  <c r="Z393" i="5"/>
  <c r="AC393" i="5"/>
  <c r="AD393" i="5"/>
  <c r="AF393" i="5"/>
  <c r="AG393" i="5"/>
  <c r="X388" i="4"/>
  <c r="AI393" i="5"/>
  <c r="Y388" i="4"/>
  <c r="AJ393" i="5"/>
  <c r="AL393" i="5"/>
  <c r="F393" i="5"/>
  <c r="E393" i="5"/>
  <c r="H393" i="5"/>
  <c r="I393" i="5"/>
  <c r="R393" i="5"/>
  <c r="T393" i="5"/>
  <c r="AN393" i="5"/>
  <c r="AA394" i="5"/>
  <c r="B389" i="4"/>
  <c r="P389" i="4"/>
  <c r="W394" i="5"/>
  <c r="O394" i="5"/>
  <c r="K394" i="5"/>
  <c r="C394" i="5"/>
  <c r="L394" i="5"/>
  <c r="N394" i="5"/>
  <c r="L389" i="4"/>
  <c r="Q394" i="5"/>
  <c r="U394" i="5"/>
  <c r="Q389" i="4"/>
  <c r="X394" i="5"/>
  <c r="R389" i="4"/>
  <c r="Z394" i="5"/>
  <c r="AC394" i="5"/>
  <c r="AD394" i="5"/>
  <c r="AF394" i="5"/>
  <c r="AG394" i="5"/>
  <c r="X389" i="4"/>
  <c r="AI394" i="5"/>
  <c r="Y389" i="4"/>
  <c r="AJ394" i="5"/>
  <c r="AL394" i="5"/>
  <c r="F394" i="5"/>
  <c r="E394" i="5"/>
  <c r="H394" i="5"/>
  <c r="I394" i="5"/>
  <c r="R394" i="5"/>
  <c r="T394" i="5"/>
  <c r="AN394" i="5"/>
  <c r="AA395" i="5"/>
  <c r="B398" i="4"/>
  <c r="P398" i="4"/>
  <c r="W395" i="5"/>
  <c r="O395" i="5"/>
  <c r="K395" i="5"/>
  <c r="C395" i="5"/>
  <c r="L395" i="5"/>
  <c r="N395" i="5"/>
  <c r="L398" i="4"/>
  <c r="Q395" i="5"/>
  <c r="U395" i="5"/>
  <c r="Q398" i="4"/>
  <c r="X395" i="5"/>
  <c r="R398" i="4"/>
  <c r="Z395" i="5"/>
  <c r="AC395" i="5"/>
  <c r="AD395" i="5"/>
  <c r="AF395" i="5"/>
  <c r="AG395" i="5"/>
  <c r="X398" i="4"/>
  <c r="AI395" i="5"/>
  <c r="Y398" i="4"/>
  <c r="AJ395" i="5"/>
  <c r="AL395" i="5"/>
  <c r="F395" i="5"/>
  <c r="E395" i="5"/>
  <c r="H395" i="5"/>
  <c r="I395" i="5"/>
  <c r="R395" i="5"/>
  <c r="T395" i="5"/>
  <c r="AN395" i="5"/>
  <c r="AA396" i="5"/>
  <c r="B399" i="4"/>
  <c r="P399" i="4"/>
  <c r="W396" i="5"/>
  <c r="O396" i="5"/>
  <c r="K396" i="5"/>
  <c r="C396" i="5"/>
  <c r="L396" i="5"/>
  <c r="N396" i="5"/>
  <c r="L399" i="4"/>
  <c r="Q396" i="5"/>
  <c r="U396" i="5"/>
  <c r="Q399" i="4"/>
  <c r="X396" i="5"/>
  <c r="R399" i="4"/>
  <c r="Z396" i="5"/>
  <c r="AC396" i="5"/>
  <c r="AD396" i="5"/>
  <c r="AF396" i="5"/>
  <c r="AG396" i="5"/>
  <c r="X399" i="4"/>
  <c r="AI396" i="5"/>
  <c r="Y399" i="4"/>
  <c r="AJ396" i="5"/>
  <c r="AL396" i="5"/>
  <c r="F396" i="5"/>
  <c r="E396" i="5"/>
  <c r="H396" i="5"/>
  <c r="I396" i="5"/>
  <c r="R396" i="5"/>
  <c r="T396" i="5"/>
  <c r="AN396" i="5"/>
  <c r="AA397" i="5"/>
  <c r="B383" i="4"/>
  <c r="P383" i="4"/>
  <c r="W397" i="5"/>
  <c r="O397" i="5"/>
  <c r="K397" i="5"/>
  <c r="C397" i="5"/>
  <c r="L397" i="5"/>
  <c r="N397" i="5"/>
  <c r="L383" i="4"/>
  <c r="Q397" i="5"/>
  <c r="U397" i="5"/>
  <c r="Q383" i="4"/>
  <c r="X397" i="5"/>
  <c r="R383" i="4"/>
  <c r="Z397" i="5"/>
  <c r="AC397" i="5"/>
  <c r="AD397" i="5"/>
  <c r="AF397" i="5"/>
  <c r="AG397" i="5"/>
  <c r="X383" i="4"/>
  <c r="AI397" i="5"/>
  <c r="Y383" i="4"/>
  <c r="AJ397" i="5"/>
  <c r="AL397" i="5"/>
  <c r="F397" i="5"/>
  <c r="E397" i="5"/>
  <c r="H397" i="5"/>
  <c r="I397" i="5"/>
  <c r="R397" i="5"/>
  <c r="T397" i="5"/>
  <c r="AN397" i="5"/>
  <c r="AA398" i="5"/>
  <c r="B400" i="4"/>
  <c r="P400" i="4"/>
  <c r="W398" i="5"/>
  <c r="O398" i="5"/>
  <c r="K398" i="5"/>
  <c r="C398" i="5"/>
  <c r="L398" i="5"/>
  <c r="N398" i="5"/>
  <c r="L400" i="4"/>
  <c r="Q398" i="5"/>
  <c r="U398" i="5"/>
  <c r="Q400" i="4"/>
  <c r="X398" i="5"/>
  <c r="R400" i="4"/>
  <c r="Z398" i="5"/>
  <c r="AC398" i="5"/>
  <c r="AD398" i="5"/>
  <c r="AF398" i="5"/>
  <c r="AG398" i="5"/>
  <c r="X400" i="4"/>
  <c r="AI398" i="5"/>
  <c r="Y400" i="4"/>
  <c r="AJ398" i="5"/>
  <c r="AL398" i="5"/>
  <c r="F398" i="5"/>
  <c r="E398" i="5"/>
  <c r="H398" i="5"/>
  <c r="I398" i="5"/>
  <c r="R398" i="5"/>
  <c r="T398" i="5"/>
  <c r="AN398" i="5"/>
  <c r="AA399" i="5"/>
  <c r="B401" i="4"/>
  <c r="P401" i="4"/>
  <c r="W399" i="5"/>
  <c r="O399" i="5"/>
  <c r="K399" i="5"/>
  <c r="C399" i="5"/>
  <c r="L399" i="5"/>
  <c r="N399" i="5"/>
  <c r="L401" i="4"/>
  <c r="Q399" i="5"/>
  <c r="U399" i="5"/>
  <c r="Q401" i="4"/>
  <c r="X399" i="5"/>
  <c r="R401" i="4"/>
  <c r="Z399" i="5"/>
  <c r="AC399" i="5"/>
  <c r="AD399" i="5"/>
  <c r="AF399" i="5"/>
  <c r="AG399" i="5"/>
  <c r="X401" i="4"/>
  <c r="AI399" i="5"/>
  <c r="Y401" i="4"/>
  <c r="AJ399" i="5"/>
  <c r="AL399" i="5"/>
  <c r="F399" i="5"/>
  <c r="E399" i="5"/>
  <c r="H399" i="5"/>
  <c r="I399" i="5"/>
  <c r="R399" i="5"/>
  <c r="T399" i="5"/>
  <c r="AN399" i="5"/>
  <c r="AA400" i="5"/>
  <c r="B390" i="4"/>
  <c r="P390" i="4"/>
  <c r="W400" i="5"/>
  <c r="O400" i="5"/>
  <c r="K400" i="5"/>
  <c r="C400" i="5"/>
  <c r="L400" i="5"/>
  <c r="N400" i="5"/>
  <c r="L390" i="4"/>
  <c r="Q400" i="5"/>
  <c r="U400" i="5"/>
  <c r="Q390" i="4"/>
  <c r="X400" i="5"/>
  <c r="R390" i="4"/>
  <c r="Z400" i="5"/>
  <c r="AC400" i="5"/>
  <c r="AD400" i="5"/>
  <c r="AF400" i="5"/>
  <c r="AG400" i="5"/>
  <c r="X390" i="4"/>
  <c r="AI400" i="5"/>
  <c r="Y390" i="4"/>
  <c r="AJ400" i="5"/>
  <c r="AL400" i="5"/>
  <c r="F400" i="5"/>
  <c r="E400" i="5"/>
  <c r="H400" i="5"/>
  <c r="I400" i="5"/>
  <c r="R400" i="5"/>
  <c r="T400" i="5"/>
  <c r="AN400" i="5"/>
  <c r="C283" i="4"/>
  <c r="C238" i="5"/>
  <c r="D283" i="4"/>
  <c r="E238" i="5"/>
  <c r="E283" i="4"/>
  <c r="F238" i="5"/>
  <c r="F283" i="4"/>
  <c r="H238" i="5"/>
  <c r="I238" i="5"/>
  <c r="K238" i="5"/>
  <c r="L283" i="4"/>
  <c r="Q238" i="5"/>
  <c r="M283" i="4"/>
  <c r="R238" i="5"/>
  <c r="T238" i="5"/>
  <c r="U238" i="5"/>
  <c r="P283" i="4"/>
  <c r="W238" i="5"/>
  <c r="S283" i="4"/>
  <c r="AA238" i="5"/>
  <c r="AH283" i="4"/>
  <c r="T283" i="4" a="1"/>
  <c r="T283" i="4"/>
  <c r="AC238" i="5"/>
  <c r="U283" i="4" a="1"/>
  <c r="U283" i="4"/>
  <c r="AD238" i="5"/>
  <c r="AF238" i="5"/>
  <c r="AG238" i="5"/>
  <c r="X283" i="4"/>
  <c r="AI238" i="5"/>
  <c r="Y283" i="4"/>
  <c r="AJ238" i="5"/>
  <c r="Z283" i="4"/>
  <c r="AL238" i="5"/>
  <c r="L238" i="5"/>
  <c r="N238" i="5"/>
  <c r="O238" i="5"/>
  <c r="X238" i="5"/>
  <c r="Z238" i="5"/>
  <c r="AN238" i="5"/>
  <c r="AA401" i="5"/>
  <c r="B391" i="4"/>
  <c r="P391" i="4"/>
  <c r="W401" i="5"/>
  <c r="O401" i="5"/>
  <c r="K401" i="5"/>
  <c r="C401" i="5"/>
  <c r="L401" i="5"/>
  <c r="N401" i="5"/>
  <c r="L391" i="4"/>
  <c r="Q401" i="5"/>
  <c r="U401" i="5"/>
  <c r="Q391" i="4"/>
  <c r="X401" i="5"/>
  <c r="R35" i="2"/>
  <c r="R391" i="4"/>
  <c r="Z401" i="5"/>
  <c r="AC401" i="5"/>
  <c r="AD401" i="5"/>
  <c r="AF401" i="5"/>
  <c r="AG401" i="5"/>
  <c r="X391" i="4"/>
  <c r="AI401" i="5"/>
  <c r="Y39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AF402" i="5"/>
  <c r="AG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AF403" i="5"/>
  <c r="AG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C404" i="5"/>
  <c r="L404" i="5"/>
  <c r="N404" i="5"/>
  <c r="L404" i="4"/>
  <c r="Q404" i="5"/>
  <c r="U404" i="5"/>
  <c r="Q404" i="4"/>
  <c r="X404" i="5"/>
  <c r="R20" i="2"/>
  <c r="R404" i="4"/>
  <c r="Z404" i="5"/>
  <c r="AC404" i="5"/>
  <c r="AD404" i="5"/>
  <c r="AF404" i="5"/>
  <c r="AG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AF405" i="5"/>
  <c r="AG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AF406" i="5"/>
  <c r="AG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AF407" i="5"/>
  <c r="AG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B51" i="4"/>
  <c r="C51" i="4"/>
  <c r="C239" i="5"/>
  <c r="D51" i="4"/>
  <c r="E239" i="5"/>
  <c r="H51" i="4"/>
  <c r="K239" i="5"/>
  <c r="L51" i="4"/>
  <c r="Q239" i="5"/>
  <c r="M51" i="4"/>
  <c r="R239" i="5"/>
  <c r="T239" i="5"/>
  <c r="U239" i="5"/>
  <c r="P51" i="4"/>
  <c r="W239" i="5"/>
  <c r="Q51" i="4"/>
  <c r="X239" i="5"/>
  <c r="AA239" i="5"/>
  <c r="AH51" i="4"/>
  <c r="T51" i="4" a="1"/>
  <c r="T51" i="4"/>
  <c r="AC239" i="5"/>
  <c r="U51" i="4" a="1"/>
  <c r="U51" i="4"/>
  <c r="AD239" i="5"/>
  <c r="AF239" i="5"/>
  <c r="AG239" i="5"/>
  <c r="Y51" i="4"/>
  <c r="AJ239" i="5"/>
  <c r="Z51" i="4"/>
  <c r="AL239" i="5"/>
  <c r="F239" i="5"/>
  <c r="H239" i="5"/>
  <c r="I239" i="5"/>
  <c r="L239" i="5"/>
  <c r="N239" i="5"/>
  <c r="O239" i="5"/>
  <c r="Z239" i="5"/>
  <c r="AN239" i="5"/>
  <c r="C52" i="4"/>
  <c r="C240" i="5"/>
  <c r="D52" i="4"/>
  <c r="E240" i="5"/>
  <c r="H52" i="4"/>
  <c r="K240" i="5"/>
  <c r="L52" i="4"/>
  <c r="Q240" i="5"/>
  <c r="M52" i="4"/>
  <c r="R240" i="5"/>
  <c r="T240" i="5"/>
  <c r="U240" i="5"/>
  <c r="P52" i="4"/>
  <c r="W240" i="5"/>
  <c r="Q52" i="4"/>
  <c r="X240" i="5"/>
  <c r="AA240" i="5"/>
  <c r="AH52" i="4"/>
  <c r="T52" i="4" a="1"/>
  <c r="T52" i="4"/>
  <c r="AC240" i="5"/>
  <c r="U52" i="4" a="1"/>
  <c r="U52" i="4"/>
  <c r="AD240" i="5"/>
  <c r="AF240" i="5"/>
  <c r="AG240" i="5"/>
  <c r="AI240" i="5"/>
  <c r="Y52" i="4"/>
  <c r="AJ240" i="5"/>
  <c r="Z52" i="4"/>
  <c r="AL240" i="5"/>
  <c r="F240" i="5"/>
  <c r="H240" i="5"/>
  <c r="I240" i="5"/>
  <c r="L240" i="5"/>
  <c r="N240" i="5"/>
  <c r="O240" i="5"/>
  <c r="Z240" i="5"/>
  <c r="AN240" i="5"/>
  <c r="C53" i="4"/>
  <c r="C241" i="5"/>
  <c r="D53" i="4"/>
  <c r="E241" i="5"/>
  <c r="H53" i="4"/>
  <c r="K241" i="5"/>
  <c r="L53" i="4"/>
  <c r="Q241" i="5"/>
  <c r="M53" i="4"/>
  <c r="R241" i="5"/>
  <c r="T241" i="5"/>
  <c r="U241" i="5"/>
  <c r="P53" i="4"/>
  <c r="W241" i="5"/>
  <c r="Q53" i="4"/>
  <c r="X241" i="5"/>
  <c r="AA241" i="5"/>
  <c r="AH53" i="4"/>
  <c r="T53" i="4" a="1"/>
  <c r="T53" i="4"/>
  <c r="AC241" i="5"/>
  <c r="U53" i="4" a="1"/>
  <c r="U53" i="4"/>
  <c r="AD241" i="5"/>
  <c r="AF241" i="5"/>
  <c r="AG241" i="5"/>
  <c r="AI241" i="5"/>
  <c r="Y53" i="4"/>
  <c r="AJ241" i="5"/>
  <c r="Z53" i="4"/>
  <c r="AL241" i="5"/>
  <c r="F241" i="5"/>
  <c r="H241" i="5"/>
  <c r="I241" i="5"/>
  <c r="L241" i="5"/>
  <c r="N241" i="5"/>
  <c r="O241" i="5"/>
  <c r="Z241" i="5"/>
  <c r="AN241" i="5"/>
  <c r="B54" i="4"/>
  <c r="C54" i="4"/>
  <c r="C242" i="5"/>
  <c r="D54" i="4"/>
  <c r="E242" i="5"/>
  <c r="H54" i="4"/>
  <c r="K242" i="5"/>
  <c r="L54" i="4"/>
  <c r="Q242" i="5"/>
  <c r="M54" i="4"/>
  <c r="R242" i="5"/>
  <c r="T242" i="5"/>
  <c r="U242" i="5"/>
  <c r="P54" i="4"/>
  <c r="W242" i="5"/>
  <c r="Q54" i="4"/>
  <c r="X242" i="5"/>
  <c r="AA242" i="5"/>
  <c r="AH54" i="4"/>
  <c r="T54" i="4" a="1"/>
  <c r="T54" i="4"/>
  <c r="AC242" i="5"/>
  <c r="U54" i="4" a="1"/>
  <c r="U54" i="4"/>
  <c r="AD242" i="5"/>
  <c r="AF242" i="5"/>
  <c r="AG242" i="5"/>
  <c r="X54" i="4"/>
  <c r="AI242" i="5"/>
  <c r="Y54" i="4"/>
  <c r="AJ242" i="5"/>
  <c r="Z54" i="4"/>
  <c r="AL242" i="5"/>
  <c r="F242" i="5"/>
  <c r="H242" i="5"/>
  <c r="I242" i="5"/>
  <c r="L242" i="5"/>
  <c r="N242" i="5"/>
  <c r="O242" i="5"/>
  <c r="Z242" i="5"/>
  <c r="AN242" i="5"/>
  <c r="B55" i="4"/>
  <c r="C55" i="4"/>
  <c r="C243" i="5"/>
  <c r="D55" i="4"/>
  <c r="E243" i="5"/>
  <c r="H55" i="4"/>
  <c r="K243" i="5"/>
  <c r="L55" i="4"/>
  <c r="Q243" i="5"/>
  <c r="M55" i="4"/>
  <c r="R243" i="5"/>
  <c r="T243" i="5"/>
  <c r="U243" i="5"/>
  <c r="P55" i="4"/>
  <c r="W243" i="5"/>
  <c r="Q55" i="4"/>
  <c r="X243" i="5"/>
  <c r="AA243" i="5"/>
  <c r="AH55" i="4"/>
  <c r="T55" i="4" a="1"/>
  <c r="T55" i="4"/>
  <c r="AC243" i="5"/>
  <c r="U55" i="4" a="1"/>
  <c r="U55" i="4"/>
  <c r="AD243" i="5"/>
  <c r="AF243" i="5"/>
  <c r="AG243" i="5"/>
  <c r="X55" i="4"/>
  <c r="AI243" i="5"/>
  <c r="Y55" i="4"/>
  <c r="AJ243" i="5"/>
  <c r="Z55" i="4"/>
  <c r="AL243" i="5"/>
  <c r="F243" i="5"/>
  <c r="H243" i="5"/>
  <c r="I243" i="5"/>
  <c r="L243" i="5"/>
  <c r="N243" i="5"/>
  <c r="O243" i="5"/>
  <c r="Z243" i="5"/>
  <c r="AN243" i="5"/>
  <c r="B56" i="4"/>
  <c r="C56" i="4"/>
  <c r="C244" i="5"/>
  <c r="D56" i="4"/>
  <c r="E244" i="5"/>
  <c r="H56" i="4"/>
  <c r="K244" i="5"/>
  <c r="L56" i="4"/>
  <c r="Q244" i="5"/>
  <c r="M56" i="4"/>
  <c r="R244" i="5"/>
  <c r="T244" i="5"/>
  <c r="U244" i="5"/>
  <c r="P56" i="4"/>
  <c r="W244" i="5"/>
  <c r="Q56" i="4"/>
  <c r="X244" i="5"/>
  <c r="AA244" i="5"/>
  <c r="AH56" i="4"/>
  <c r="T56" i="4" a="1"/>
  <c r="T56" i="4"/>
  <c r="AC244" i="5"/>
  <c r="U56" i="4" a="1"/>
  <c r="U56" i="4"/>
  <c r="AD244" i="5"/>
  <c r="AF244" i="5"/>
  <c r="AG244" i="5"/>
  <c r="X56" i="4"/>
  <c r="AI244" i="5"/>
  <c r="Y56" i="4"/>
  <c r="AJ244" i="5"/>
  <c r="Z56" i="4"/>
  <c r="AL244" i="5"/>
  <c r="F244" i="5"/>
  <c r="H244" i="5"/>
  <c r="I244" i="5"/>
  <c r="L244" i="5"/>
  <c r="N244" i="5"/>
  <c r="O244" i="5"/>
  <c r="Z244" i="5"/>
  <c r="AN244" i="5"/>
  <c r="B57" i="4"/>
  <c r="C57" i="4"/>
  <c r="C245" i="5"/>
  <c r="D57" i="4"/>
  <c r="E245" i="5"/>
  <c r="H57" i="4"/>
  <c r="K245" i="5"/>
  <c r="L57" i="4"/>
  <c r="Q245" i="5"/>
  <c r="M57" i="4"/>
  <c r="R245" i="5"/>
  <c r="T245" i="5"/>
  <c r="U245" i="5"/>
  <c r="P57" i="4"/>
  <c r="W245" i="5"/>
  <c r="Q57" i="4"/>
  <c r="X245" i="5"/>
  <c r="AA245" i="5"/>
  <c r="AH57" i="4"/>
  <c r="T57" i="4" a="1"/>
  <c r="T57" i="4"/>
  <c r="AC245" i="5"/>
  <c r="U57" i="4" a="1"/>
  <c r="U57" i="4"/>
  <c r="AD245" i="5"/>
  <c r="AF245" i="5"/>
  <c r="AG245" i="5"/>
  <c r="X57" i="4"/>
  <c r="AI245" i="5"/>
  <c r="Y57" i="4"/>
  <c r="AJ245" i="5"/>
  <c r="Z57" i="4"/>
  <c r="AL245" i="5"/>
  <c r="F245" i="5"/>
  <c r="H245" i="5"/>
  <c r="I245" i="5"/>
  <c r="L245" i="5"/>
  <c r="N245" i="5"/>
  <c r="O245" i="5"/>
  <c r="Z245" i="5"/>
  <c r="AN245" i="5"/>
  <c r="C99" i="4"/>
  <c r="C246" i="5"/>
  <c r="D99" i="4"/>
  <c r="E246" i="5"/>
  <c r="H99" i="4"/>
  <c r="K246" i="5"/>
  <c r="L99" i="4"/>
  <c r="Q246" i="5"/>
  <c r="M99" i="4"/>
  <c r="R246" i="5"/>
  <c r="T246" i="5"/>
  <c r="U246" i="5"/>
  <c r="P99" i="4"/>
  <c r="W246" i="5"/>
  <c r="Q99" i="4"/>
  <c r="X246" i="5"/>
  <c r="S99" i="4"/>
  <c r="AA246" i="5"/>
  <c r="AH99" i="4"/>
  <c r="T99" i="4" a="1"/>
  <c r="T99" i="4"/>
  <c r="AC246" i="5"/>
  <c r="U99" i="4" a="1"/>
  <c r="U99" i="4"/>
  <c r="AD246" i="5"/>
  <c r="AF246" i="5"/>
  <c r="AG246" i="5"/>
  <c r="X99" i="4"/>
  <c r="AI246" i="5"/>
  <c r="Y99" i="4"/>
  <c r="AJ246" i="5"/>
  <c r="Z99" i="4"/>
  <c r="AL246" i="5"/>
  <c r="F246" i="5"/>
  <c r="H246" i="5"/>
  <c r="I246" i="5"/>
  <c r="L246" i="5"/>
  <c r="N246" i="5"/>
  <c r="O246" i="5"/>
  <c r="Z246" i="5"/>
  <c r="AN246" i="5"/>
  <c r="C100" i="4"/>
  <c r="C247" i="5"/>
  <c r="D100" i="4"/>
  <c r="E247" i="5"/>
  <c r="H100" i="4"/>
  <c r="K247" i="5"/>
  <c r="L100" i="4"/>
  <c r="Q247" i="5"/>
  <c r="M100" i="4"/>
  <c r="R247" i="5"/>
  <c r="T247" i="5"/>
  <c r="U247" i="5"/>
  <c r="P100" i="4"/>
  <c r="W247" i="5"/>
  <c r="Q100" i="4"/>
  <c r="X247" i="5"/>
  <c r="S100" i="4"/>
  <c r="AA247" i="5"/>
  <c r="AH100" i="4"/>
  <c r="T100" i="4" a="1"/>
  <c r="T100" i="4"/>
  <c r="AC247" i="5"/>
  <c r="U100" i="4" a="1"/>
  <c r="U100" i="4"/>
  <c r="AD247" i="5"/>
  <c r="AF247" i="5"/>
  <c r="AG247" i="5"/>
  <c r="X100" i="4"/>
  <c r="AI247" i="5"/>
  <c r="Y100" i="4"/>
  <c r="AJ247" i="5"/>
  <c r="Z100" i="4"/>
  <c r="AL247" i="5"/>
  <c r="F247" i="5"/>
  <c r="H247" i="5"/>
  <c r="I247" i="5"/>
  <c r="L247" i="5"/>
  <c r="N247" i="5"/>
  <c r="O247" i="5"/>
  <c r="Z247" i="5"/>
  <c r="AN247" i="5"/>
  <c r="C101" i="4"/>
  <c r="C248" i="5"/>
  <c r="D101" i="4"/>
  <c r="E248" i="5"/>
  <c r="K248" i="5"/>
  <c r="L101" i="4"/>
  <c r="Q248" i="5"/>
  <c r="M101" i="4"/>
  <c r="R248" i="5"/>
  <c r="T248" i="5"/>
  <c r="U248" i="5"/>
  <c r="P101" i="4"/>
  <c r="W248" i="5"/>
  <c r="Q101" i="4"/>
  <c r="X248" i="5"/>
  <c r="S101" i="4"/>
  <c r="AA248" i="5"/>
  <c r="AH101" i="4"/>
  <c r="T101" i="4" a="1"/>
  <c r="T101" i="4"/>
  <c r="AC248" i="5"/>
  <c r="U101" i="4" a="1"/>
  <c r="U101" i="4"/>
  <c r="AD248" i="5"/>
  <c r="AF248" i="5"/>
  <c r="AG248" i="5"/>
  <c r="X101" i="4"/>
  <c r="AI248" i="5"/>
  <c r="Y101" i="4"/>
  <c r="AJ248" i="5"/>
  <c r="Z101" i="4"/>
  <c r="AL248" i="5"/>
  <c r="F248" i="5"/>
  <c r="H248" i="5"/>
  <c r="I248" i="5"/>
  <c r="L248" i="5"/>
  <c r="N248" i="5"/>
  <c r="O248" i="5"/>
  <c r="Z248" i="5"/>
  <c r="AN248" i="5"/>
  <c r="B261" i="4"/>
  <c r="C261" i="4"/>
  <c r="C249" i="5"/>
  <c r="D261" i="4"/>
  <c r="E249" i="5"/>
  <c r="K249" i="5"/>
  <c r="L261" i="4"/>
  <c r="Q249" i="5"/>
  <c r="M261" i="4"/>
  <c r="R249" i="5"/>
  <c r="T249" i="5"/>
  <c r="U249" i="5"/>
  <c r="P261" i="4"/>
  <c r="W249" i="5"/>
  <c r="Q261" i="4"/>
  <c r="X249" i="5"/>
  <c r="AA249" i="5"/>
  <c r="AH261" i="4"/>
  <c r="T261" i="4" a="1"/>
  <c r="T261" i="4"/>
  <c r="AC249" i="5"/>
  <c r="U261" i="4" a="1"/>
  <c r="U261" i="4"/>
  <c r="AD249" i="5"/>
  <c r="AF249" i="5"/>
  <c r="AG249" i="5"/>
  <c r="X261" i="4"/>
  <c r="AI249" i="5"/>
  <c r="Y261" i="4"/>
  <c r="AJ249" i="5"/>
  <c r="Z261" i="4"/>
  <c r="AL249" i="5"/>
  <c r="F249" i="5"/>
  <c r="H249" i="5"/>
  <c r="I249" i="5"/>
  <c r="L249" i="5"/>
  <c r="N249" i="5"/>
  <c r="O249" i="5"/>
  <c r="Z249" i="5"/>
  <c r="AN249" i="5"/>
  <c r="O250" i="5"/>
  <c r="K250" i="5"/>
  <c r="B244" i="4"/>
  <c r="C244" i="4"/>
  <c r="C250" i="5"/>
  <c r="D244" i="4"/>
  <c r="E250" i="5"/>
  <c r="I244" i="4"/>
  <c r="L250" i="5"/>
  <c r="J244" i="4"/>
  <c r="N250" i="5"/>
  <c r="L244" i="4"/>
  <c r="Q250" i="5"/>
  <c r="M244" i="4"/>
  <c r="R250" i="5"/>
  <c r="T250" i="5"/>
  <c r="U250" i="5"/>
  <c r="P244" i="4"/>
  <c r="W250" i="5"/>
  <c r="Q244" i="4"/>
  <c r="X250" i="5"/>
  <c r="S244" i="4"/>
  <c r="AA250" i="5"/>
  <c r="AH244" i="4"/>
  <c r="T244" i="4" a="1"/>
  <c r="T244" i="4"/>
  <c r="AC250" i="5"/>
  <c r="U244" i="4" a="1"/>
  <c r="U244" i="4"/>
  <c r="AD250" i="5"/>
  <c r="AF250" i="5"/>
  <c r="AG250" i="5"/>
  <c r="X244" i="4"/>
  <c r="AI250" i="5"/>
  <c r="Y244" i="4"/>
  <c r="AJ250" i="5"/>
  <c r="Z244" i="4"/>
  <c r="AL250" i="5"/>
  <c r="F250" i="5"/>
  <c r="H250" i="5"/>
  <c r="I250" i="5"/>
  <c r="Z250" i="5"/>
  <c r="AN250" i="5"/>
  <c r="B41" i="4"/>
  <c r="C41" i="4"/>
  <c r="C251" i="5"/>
  <c r="D41" i="4"/>
  <c r="E251" i="5"/>
  <c r="H41" i="4"/>
  <c r="K251" i="5"/>
  <c r="L41" i="4"/>
  <c r="Q251" i="5"/>
  <c r="M41" i="4"/>
  <c r="R251" i="5"/>
  <c r="T251" i="5"/>
  <c r="U251" i="5"/>
  <c r="P41" i="4"/>
  <c r="W251" i="5"/>
  <c r="Q41" i="4"/>
  <c r="X251" i="5"/>
  <c r="AA251" i="5"/>
  <c r="AH41" i="4"/>
  <c r="T41" i="4" a="1"/>
  <c r="T41" i="4"/>
  <c r="AC251" i="5"/>
  <c r="U41" i="4" a="1"/>
  <c r="U41" i="4"/>
  <c r="AD251" i="5"/>
  <c r="AF251" i="5"/>
  <c r="AG251" i="5"/>
  <c r="X41" i="4"/>
  <c r="AI251" i="5"/>
  <c r="Y41" i="4"/>
  <c r="AJ251" i="5"/>
  <c r="Z41" i="4"/>
  <c r="AL251" i="5"/>
  <c r="L251" i="5"/>
  <c r="N251" i="5"/>
  <c r="O251" i="5"/>
  <c r="F251" i="5"/>
  <c r="H251" i="5"/>
  <c r="I251" i="5"/>
  <c r="Z251" i="5"/>
  <c r="AN251" i="5"/>
  <c r="O252" i="5"/>
  <c r="H76" i="4"/>
  <c r="K252" i="5"/>
  <c r="C76" i="4"/>
  <c r="C252" i="5"/>
  <c r="D76" i="4"/>
  <c r="E252" i="5"/>
  <c r="I76" i="4"/>
  <c r="L252" i="5"/>
  <c r="J76" i="4"/>
  <c r="N252" i="5"/>
  <c r="L76" i="4"/>
  <c r="Q252" i="5"/>
  <c r="M76" i="4"/>
  <c r="R252" i="5"/>
  <c r="T252" i="5"/>
  <c r="U252" i="5"/>
  <c r="P76" i="4"/>
  <c r="W252" i="5"/>
  <c r="Q76" i="4"/>
  <c r="X252" i="5"/>
  <c r="AA252" i="5"/>
  <c r="AH76" i="4"/>
  <c r="T76" i="4" a="1"/>
  <c r="T76" i="4"/>
  <c r="AC252" i="5"/>
  <c r="U76" i="4" a="1"/>
  <c r="U76" i="4"/>
  <c r="AD252" i="5"/>
  <c r="AF252" i="5"/>
  <c r="AG252" i="5"/>
  <c r="X76" i="4"/>
  <c r="AI252" i="5"/>
  <c r="Y76" i="4"/>
  <c r="AJ252" i="5"/>
  <c r="Z76" i="4"/>
  <c r="AL252" i="5"/>
  <c r="F252" i="5"/>
  <c r="H252" i="5"/>
  <c r="I252" i="5"/>
  <c r="Z252" i="5"/>
  <c r="AN252" i="5"/>
  <c r="C81" i="4"/>
  <c r="C253" i="5"/>
  <c r="D81" i="4"/>
  <c r="E253" i="5"/>
  <c r="H81" i="4"/>
  <c r="K253" i="5"/>
  <c r="L81" i="4"/>
  <c r="Q253" i="5"/>
  <c r="M81" i="4"/>
  <c r="R253" i="5"/>
  <c r="T253" i="5"/>
  <c r="U253" i="5"/>
  <c r="W253" i="5"/>
  <c r="Q81" i="4"/>
  <c r="X253" i="5"/>
  <c r="AA253" i="5"/>
  <c r="AH81" i="4"/>
  <c r="T81" i="4" a="1"/>
  <c r="T81" i="4"/>
  <c r="AC253" i="5"/>
  <c r="U81" i="4" a="1"/>
  <c r="U81" i="4"/>
  <c r="AD253" i="5"/>
  <c r="AF253" i="5"/>
  <c r="AG253" i="5"/>
  <c r="X81" i="4"/>
  <c r="AI253" i="5"/>
  <c r="Y81" i="4"/>
  <c r="AJ253" i="5"/>
  <c r="Z81" i="4"/>
  <c r="AL253" i="5"/>
  <c r="F253" i="5"/>
  <c r="H253" i="5"/>
  <c r="I253" i="5"/>
  <c r="L253" i="5"/>
  <c r="N253" i="5"/>
  <c r="O253" i="5"/>
  <c r="Z253" i="5"/>
  <c r="AN253" i="5"/>
  <c r="B110" i="4"/>
  <c r="C110" i="4"/>
  <c r="C254" i="5"/>
  <c r="D110" i="4"/>
  <c r="E254" i="5"/>
  <c r="K254" i="5"/>
  <c r="L110" i="4"/>
  <c r="Q254" i="5"/>
  <c r="M110" i="4"/>
  <c r="R254" i="5"/>
  <c r="T254" i="5"/>
  <c r="U254" i="5"/>
  <c r="W254" i="5"/>
  <c r="Q110" i="4"/>
  <c r="X254" i="5"/>
  <c r="AA254" i="5"/>
  <c r="AH110" i="4"/>
  <c r="T110" i="4" a="1"/>
  <c r="T110" i="4"/>
  <c r="AC254" i="5"/>
  <c r="U110" i="4" a="1"/>
  <c r="U110" i="4"/>
  <c r="AD254" i="5"/>
  <c r="AF254" i="5"/>
  <c r="AG254" i="5"/>
  <c r="X110" i="4"/>
  <c r="AI254" i="5"/>
  <c r="Y110" i="4"/>
  <c r="AJ254" i="5"/>
  <c r="Z110" i="4"/>
  <c r="AL254" i="5"/>
  <c r="F254" i="5"/>
  <c r="H254" i="5"/>
  <c r="I254" i="5"/>
  <c r="L254" i="5"/>
  <c r="N254" i="5"/>
  <c r="O254" i="5"/>
  <c r="Z254" i="5"/>
  <c r="AN254" i="5"/>
  <c r="C256" i="4"/>
  <c r="C255" i="5"/>
  <c r="D256" i="4"/>
  <c r="E255" i="5"/>
  <c r="H256" i="4"/>
  <c r="K255" i="5"/>
  <c r="L256" i="4"/>
  <c r="Q255" i="5"/>
  <c r="M256" i="4"/>
  <c r="R255" i="5"/>
  <c r="T255" i="5"/>
  <c r="U255" i="5"/>
  <c r="P256" i="4"/>
  <c r="W255" i="5"/>
  <c r="Q256" i="4"/>
  <c r="X255" i="5"/>
  <c r="S256" i="4"/>
  <c r="AA255" i="5"/>
  <c r="AH256" i="4"/>
  <c r="T256" i="4" a="1"/>
  <c r="T256" i="4"/>
  <c r="AC255" i="5"/>
  <c r="U256" i="4" a="1"/>
  <c r="U256" i="4"/>
  <c r="AD255" i="5"/>
  <c r="AF255" i="5"/>
  <c r="AG255" i="5"/>
  <c r="X256" i="4"/>
  <c r="AI255" i="5"/>
  <c r="Y256" i="4"/>
  <c r="AJ255" i="5"/>
  <c r="Z256" i="4"/>
  <c r="AL255" i="5"/>
  <c r="F255" i="5"/>
  <c r="H255" i="5"/>
  <c r="I255" i="5"/>
  <c r="L255" i="5"/>
  <c r="N255" i="5"/>
  <c r="O255" i="5"/>
  <c r="Z255" i="5"/>
  <c r="AN255" i="5"/>
  <c r="B242" i="4"/>
  <c r="C242" i="4"/>
  <c r="C256" i="5"/>
  <c r="D242" i="4"/>
  <c r="E256" i="5"/>
  <c r="K256" i="5"/>
  <c r="L242" i="4"/>
  <c r="Q256" i="5"/>
  <c r="M242" i="4"/>
  <c r="R256" i="5"/>
  <c r="T256" i="5"/>
  <c r="U256" i="5"/>
  <c r="P242" i="4"/>
  <c r="W256" i="5"/>
  <c r="Q242" i="4"/>
  <c r="X256" i="5"/>
  <c r="S242" i="4"/>
  <c r="AA256" i="5"/>
  <c r="AH242" i="4"/>
  <c r="T242" i="4" a="1"/>
  <c r="T242" i="4"/>
  <c r="AC256" i="5"/>
  <c r="U242" i="4" a="1"/>
  <c r="U242" i="4"/>
  <c r="AD256" i="5"/>
  <c r="AF256" i="5"/>
  <c r="AG256" i="5"/>
  <c r="X242" i="4"/>
  <c r="AI256" i="5"/>
  <c r="Y242" i="4"/>
  <c r="AJ256" i="5"/>
  <c r="Z242" i="4"/>
  <c r="AL256" i="5"/>
  <c r="F256" i="5"/>
  <c r="H256" i="5"/>
  <c r="I256" i="5"/>
  <c r="L256" i="5"/>
  <c r="N256" i="5"/>
  <c r="O256" i="5"/>
  <c r="Z256" i="5"/>
  <c r="AN256" i="5"/>
  <c r="B265" i="4"/>
  <c r="C265" i="4"/>
  <c r="C257" i="5"/>
  <c r="D265" i="4"/>
  <c r="E257" i="5"/>
  <c r="K257" i="5"/>
  <c r="L265" i="4"/>
  <c r="Q257" i="5"/>
  <c r="M265" i="4"/>
  <c r="R257" i="5"/>
  <c r="T257" i="5"/>
  <c r="U257" i="5"/>
  <c r="P265" i="4"/>
  <c r="W257" i="5"/>
  <c r="Q265" i="4"/>
  <c r="X257" i="5"/>
  <c r="S265" i="4"/>
  <c r="AA257" i="5"/>
  <c r="AH265" i="4"/>
  <c r="T265" i="4" a="1"/>
  <c r="T265" i="4"/>
  <c r="AC257" i="5"/>
  <c r="U265" i="4" a="1"/>
  <c r="U265" i="4"/>
  <c r="AD257" i="5"/>
  <c r="AF257" i="5"/>
  <c r="AG257" i="5"/>
  <c r="X265" i="4"/>
  <c r="AI257" i="5"/>
  <c r="Y265" i="4"/>
  <c r="AJ257" i="5"/>
  <c r="Z265" i="4"/>
  <c r="AL257" i="5"/>
  <c r="F257" i="5"/>
  <c r="H257" i="5"/>
  <c r="I257" i="5"/>
  <c r="L257" i="5"/>
  <c r="N257" i="5"/>
  <c r="O257" i="5"/>
  <c r="Z257" i="5"/>
  <c r="AN257" i="5"/>
  <c r="B151" i="4"/>
  <c r="C151" i="4"/>
  <c r="C259" i="5"/>
  <c r="D151" i="4"/>
  <c r="E259" i="5"/>
  <c r="K259" i="5"/>
  <c r="L151" i="4"/>
  <c r="Q259" i="5"/>
  <c r="M151" i="4"/>
  <c r="R259" i="5"/>
  <c r="T259" i="5"/>
  <c r="U259" i="5"/>
  <c r="P151" i="4"/>
  <c r="W259" i="5"/>
  <c r="Q151" i="4"/>
  <c r="X259" i="5"/>
  <c r="S151" i="4"/>
  <c r="AA259" i="5"/>
  <c r="AH151" i="4"/>
  <c r="T151" i="4" a="1"/>
  <c r="T151" i="4"/>
  <c r="AC259" i="5"/>
  <c r="U151" i="4" a="1"/>
  <c r="U151" i="4"/>
  <c r="AD259" i="5"/>
  <c r="AF259" i="5"/>
  <c r="AG259" i="5"/>
  <c r="X151" i="4"/>
  <c r="AI259" i="5"/>
  <c r="Y151" i="4"/>
  <c r="AJ259" i="5"/>
  <c r="Z151" i="4"/>
  <c r="AL259" i="5"/>
  <c r="F259" i="5"/>
  <c r="H259" i="5"/>
  <c r="I259" i="5"/>
  <c r="L259" i="5"/>
  <c r="N259" i="5"/>
  <c r="O259" i="5"/>
  <c r="Z259" i="5"/>
  <c r="AN259" i="5"/>
  <c r="C66" i="4"/>
  <c r="C260" i="5"/>
  <c r="D66" i="4"/>
  <c r="E260" i="5"/>
  <c r="H66" i="4"/>
  <c r="K260" i="5"/>
  <c r="L66" i="4"/>
  <c r="Q260" i="5"/>
  <c r="M66" i="4"/>
  <c r="R260" i="5"/>
  <c r="N4" i="2"/>
  <c r="N66" i="4"/>
  <c r="T260" i="5"/>
  <c r="U260" i="5"/>
  <c r="P66" i="4"/>
  <c r="W260" i="5"/>
  <c r="Q66" i="4"/>
  <c r="X260" i="5"/>
  <c r="AA260" i="5"/>
  <c r="AH66" i="4"/>
  <c r="T66" i="4" a="1"/>
  <c r="T66" i="4"/>
  <c r="AC260" i="5"/>
  <c r="U66" i="4" a="1"/>
  <c r="U66" i="4"/>
  <c r="AD260" i="5"/>
  <c r="AF260" i="5"/>
  <c r="AG260" i="5"/>
  <c r="X66" i="4"/>
  <c r="AI260" i="5"/>
  <c r="Y66" i="4"/>
  <c r="AJ260" i="5"/>
  <c r="Z66" i="4"/>
  <c r="AL260" i="5"/>
  <c r="F260" i="5"/>
  <c r="H260" i="5"/>
  <c r="I260" i="5"/>
  <c r="L260" i="5"/>
  <c r="N260" i="5"/>
  <c r="O260" i="5"/>
  <c r="Z260" i="5"/>
  <c r="AN260" i="5"/>
  <c r="O261" i="5"/>
  <c r="K261" i="5"/>
  <c r="B285" i="4"/>
  <c r="C285" i="4"/>
  <c r="C261" i="5"/>
  <c r="D285" i="4"/>
  <c r="E261" i="5"/>
  <c r="E285" i="4"/>
  <c r="F261" i="5"/>
  <c r="F285" i="4"/>
  <c r="H261" i="5"/>
  <c r="I261" i="5"/>
  <c r="I285" i="4"/>
  <c r="L261" i="5"/>
  <c r="J285" i="4"/>
  <c r="N261" i="5"/>
  <c r="L285" i="4"/>
  <c r="Q261" i="5"/>
  <c r="M285" i="4"/>
  <c r="R261" i="5"/>
  <c r="N285" i="4"/>
  <c r="T261" i="5"/>
  <c r="U261" i="5"/>
  <c r="P285" i="4"/>
  <c r="W261" i="5"/>
  <c r="Q285" i="4"/>
  <c r="X261" i="5"/>
  <c r="S285" i="4"/>
  <c r="AA261" i="5"/>
  <c r="AH285" i="4"/>
  <c r="T285" i="4" a="1"/>
  <c r="T285" i="4"/>
  <c r="AC261" i="5"/>
  <c r="U285" i="4" a="1"/>
  <c r="U285" i="4"/>
  <c r="AD261" i="5"/>
  <c r="AF261" i="5"/>
  <c r="AG261" i="5"/>
  <c r="X285" i="4"/>
  <c r="AI261" i="5"/>
  <c r="Y285" i="4"/>
  <c r="AJ261" i="5"/>
  <c r="Z285" i="4"/>
  <c r="AL261" i="5"/>
  <c r="Z261" i="5"/>
  <c r="AN261" i="5"/>
  <c r="C262" i="4"/>
  <c r="C262" i="5"/>
  <c r="D262" i="4"/>
  <c r="E262" i="5"/>
  <c r="H262" i="4"/>
  <c r="K262" i="5"/>
  <c r="I262" i="4"/>
  <c r="L262" i="5"/>
  <c r="J262" i="4"/>
  <c r="N262" i="5"/>
  <c r="O262" i="5"/>
  <c r="L262" i="4"/>
  <c r="Q262" i="5"/>
  <c r="M262" i="4"/>
  <c r="R262" i="5"/>
  <c r="N262" i="4"/>
  <c r="T262" i="5"/>
  <c r="U262" i="5"/>
  <c r="P262" i="4"/>
  <c r="W262" i="5"/>
  <c r="Q262" i="4"/>
  <c r="X262" i="5"/>
  <c r="S262" i="4"/>
  <c r="AA262" i="5"/>
  <c r="AH262" i="4"/>
  <c r="T262" i="4" a="1"/>
  <c r="T262" i="4"/>
  <c r="AC262" i="5"/>
  <c r="U262" i="4" a="1"/>
  <c r="U262" i="4"/>
  <c r="AD262" i="5"/>
  <c r="AF262" i="5"/>
  <c r="AG262" i="5"/>
  <c r="X262" i="4"/>
  <c r="AI262" i="5"/>
  <c r="Y262" i="4"/>
  <c r="AJ262" i="5"/>
  <c r="Z262" i="4"/>
  <c r="AL262" i="5"/>
  <c r="F262" i="5"/>
  <c r="H262" i="5"/>
  <c r="I262" i="5"/>
  <c r="Z262" i="5"/>
  <c r="AN262" i="5"/>
  <c r="O263" i="5"/>
  <c r="K263" i="5"/>
  <c r="B263" i="4"/>
  <c r="C263" i="4"/>
  <c r="C263" i="5"/>
  <c r="D263" i="4"/>
  <c r="E263" i="5"/>
  <c r="I263" i="4"/>
  <c r="L263" i="5"/>
  <c r="J263" i="4"/>
  <c r="N263" i="5"/>
  <c r="L263" i="4"/>
  <c r="Q263" i="5"/>
  <c r="M263" i="4"/>
  <c r="R263" i="5"/>
  <c r="N263" i="4"/>
  <c r="T263" i="5"/>
  <c r="U263" i="5"/>
  <c r="P263" i="4"/>
  <c r="W263" i="5"/>
  <c r="Q263" i="4"/>
  <c r="X263" i="5"/>
  <c r="S263" i="4"/>
  <c r="AA263" i="5"/>
  <c r="AH263" i="4"/>
  <c r="T263" i="4" a="1"/>
  <c r="T263" i="4"/>
  <c r="AC263" i="5"/>
  <c r="U263" i="4" a="1"/>
  <c r="U263" i="4"/>
  <c r="AD263" i="5"/>
  <c r="AF263" i="5"/>
  <c r="AG263" i="5"/>
  <c r="X263" i="4"/>
  <c r="AI263" i="5"/>
  <c r="Y263" i="4"/>
  <c r="AJ263" i="5"/>
  <c r="Z263" i="4"/>
  <c r="AL263" i="5"/>
  <c r="F263" i="5"/>
  <c r="H263" i="5"/>
  <c r="I263" i="5"/>
  <c r="Z263" i="5"/>
  <c r="AN263" i="5"/>
  <c r="O312" i="5"/>
  <c r="K312" i="5"/>
  <c r="C312" i="5"/>
  <c r="B340" i="4"/>
  <c r="D340" i="4"/>
  <c r="E312" i="5"/>
  <c r="I312" i="5"/>
  <c r="I340" i="4"/>
  <c r="L312" i="5"/>
  <c r="J340" i="4"/>
  <c r="N312" i="5"/>
  <c r="L340" i="4"/>
  <c r="Q312" i="5"/>
  <c r="M340" i="4"/>
  <c r="R312" i="5"/>
  <c r="N43" i="2"/>
  <c r="N340" i="4"/>
  <c r="T312" i="5"/>
  <c r="O43" i="2"/>
  <c r="O340" i="4"/>
  <c r="U312" i="5"/>
  <c r="P340" i="4"/>
  <c r="W312" i="5"/>
  <c r="Q340" i="4"/>
  <c r="X312" i="5"/>
  <c r="AA312" i="5"/>
  <c r="AC312" i="5"/>
  <c r="AD312" i="5"/>
  <c r="V43" i="2"/>
  <c r="V340" i="4"/>
  <c r="AF312" i="5"/>
  <c r="AG312" i="5"/>
  <c r="X340" i="4"/>
  <c r="AI312" i="5"/>
  <c r="Y340" i="4"/>
  <c r="AJ312" i="5"/>
  <c r="AL312" i="5"/>
  <c r="Z312" i="5"/>
  <c r="AN312" i="5"/>
  <c r="O313" i="5"/>
  <c r="K313" i="5"/>
  <c r="C313" i="5"/>
  <c r="B341" i="4"/>
  <c r="D341" i="4"/>
  <c r="E313" i="5"/>
  <c r="I313" i="5"/>
  <c r="I341" i="4"/>
  <c r="L313" i="5"/>
  <c r="J341" i="4"/>
  <c r="N313" i="5"/>
  <c r="L341" i="4"/>
  <c r="Q313" i="5"/>
  <c r="M341" i="4"/>
  <c r="R313" i="5"/>
  <c r="N341" i="4"/>
  <c r="T313" i="5"/>
  <c r="O341" i="4"/>
  <c r="U313" i="5"/>
  <c r="P341" i="4"/>
  <c r="W313" i="5"/>
  <c r="Q341" i="4"/>
  <c r="X313" i="5"/>
  <c r="AA313" i="5"/>
  <c r="AC313" i="5"/>
  <c r="AD313" i="5"/>
  <c r="V341" i="4"/>
  <c r="AF313" i="5"/>
  <c r="AG313" i="5"/>
  <c r="X341" i="4"/>
  <c r="AI313" i="5"/>
  <c r="Y341" i="4"/>
  <c r="AJ313" i="5"/>
  <c r="AL313" i="5"/>
  <c r="Z313" i="5"/>
  <c r="AN313" i="5"/>
  <c r="O314" i="5"/>
  <c r="K314" i="5"/>
  <c r="C314" i="5"/>
  <c r="B342" i="4"/>
  <c r="D342" i="4"/>
  <c r="E314" i="5"/>
  <c r="I314" i="5"/>
  <c r="I342" i="4"/>
  <c r="L314" i="5"/>
  <c r="J342" i="4"/>
  <c r="N314" i="5"/>
  <c r="L342" i="4"/>
  <c r="Q314" i="5"/>
  <c r="M342" i="4"/>
  <c r="R314" i="5"/>
  <c r="N342" i="4"/>
  <c r="T314" i="5"/>
  <c r="O342" i="4"/>
  <c r="U314" i="5"/>
  <c r="P342" i="4"/>
  <c r="W314" i="5"/>
  <c r="Q342" i="4"/>
  <c r="X314" i="5"/>
  <c r="AA314" i="5"/>
  <c r="AC314" i="5"/>
  <c r="AD314" i="5"/>
  <c r="V342" i="4"/>
  <c r="AF314" i="5"/>
  <c r="AG314" i="5"/>
  <c r="X342" i="4"/>
  <c r="AI314" i="5"/>
  <c r="Y342" i="4"/>
  <c r="AJ314" i="5"/>
  <c r="AL314" i="5"/>
  <c r="Z314" i="5"/>
  <c r="AN314" i="5"/>
  <c r="O315" i="5"/>
  <c r="K315" i="5"/>
  <c r="C315" i="5"/>
  <c r="B332" i="4"/>
  <c r="D332" i="4"/>
  <c r="E315" i="5"/>
  <c r="I315" i="5"/>
  <c r="I332" i="4"/>
  <c r="L315" i="5"/>
  <c r="J332" i="4"/>
  <c r="N315" i="5"/>
  <c r="L332" i="4"/>
  <c r="Q315" i="5"/>
  <c r="M332" i="4"/>
  <c r="R315" i="5"/>
  <c r="N332" i="4"/>
  <c r="T315" i="5"/>
  <c r="O332" i="4"/>
  <c r="U315" i="5"/>
  <c r="P332" i="4"/>
  <c r="W315" i="5"/>
  <c r="Q332" i="4"/>
  <c r="X315" i="5"/>
  <c r="AA315" i="5"/>
  <c r="AC315" i="5"/>
  <c r="AD315" i="5"/>
  <c r="V332" i="4"/>
  <c r="AF315" i="5"/>
  <c r="AG315" i="5"/>
  <c r="X332" i="4"/>
  <c r="AI315" i="5"/>
  <c r="Y332" i="4"/>
  <c r="AJ315" i="5"/>
  <c r="AL315" i="5"/>
  <c r="Z315" i="5"/>
  <c r="AN315" i="5"/>
  <c r="O316" i="5"/>
  <c r="K316" i="5"/>
  <c r="C316" i="5"/>
  <c r="B333" i="4"/>
  <c r="D333" i="4"/>
  <c r="E316" i="5"/>
  <c r="I316" i="5"/>
  <c r="I333" i="4"/>
  <c r="L316" i="5"/>
  <c r="J333" i="4"/>
  <c r="N316" i="5"/>
  <c r="L333" i="4"/>
  <c r="Q316" i="5"/>
  <c r="M333" i="4"/>
  <c r="R316" i="5"/>
  <c r="N333" i="4"/>
  <c r="T316" i="5"/>
  <c r="O333" i="4"/>
  <c r="U316" i="5"/>
  <c r="P333" i="4"/>
  <c r="W316" i="5"/>
  <c r="Q333" i="4"/>
  <c r="X316" i="5"/>
  <c r="AA316" i="5"/>
  <c r="AC316" i="5"/>
  <c r="AD316" i="5"/>
  <c r="V333" i="4"/>
  <c r="AF316" i="5"/>
  <c r="AG316" i="5"/>
  <c r="X333" i="4"/>
  <c r="AI316" i="5"/>
  <c r="Y333" i="4"/>
  <c r="AJ316" i="5"/>
  <c r="AL316" i="5"/>
  <c r="Z316" i="5"/>
  <c r="AN316" i="5"/>
  <c r="O317" i="5"/>
  <c r="K317" i="5"/>
  <c r="C317" i="5"/>
  <c r="B315" i="4"/>
  <c r="D315" i="4"/>
  <c r="E317" i="5"/>
  <c r="I315" i="4"/>
  <c r="L317" i="5"/>
  <c r="J315" i="4"/>
  <c r="N317" i="5"/>
  <c r="L315" i="4"/>
  <c r="Q317" i="5"/>
  <c r="M315" i="4"/>
  <c r="R317" i="5"/>
  <c r="N315" i="4"/>
  <c r="T317" i="5"/>
  <c r="O315" i="4"/>
  <c r="U317" i="5"/>
  <c r="P315" i="4"/>
  <c r="W317" i="5"/>
  <c r="Q315" i="4"/>
  <c r="X317" i="5"/>
  <c r="AA317" i="5"/>
  <c r="AC317" i="5"/>
  <c r="AD317" i="5"/>
  <c r="V315" i="4"/>
  <c r="AF317" i="5"/>
  <c r="AG317" i="5"/>
  <c r="X315" i="4"/>
  <c r="AI317" i="5"/>
  <c r="Y315" i="4"/>
  <c r="AJ317" i="5"/>
  <c r="AL317" i="5"/>
  <c r="F317" i="5"/>
  <c r="H317" i="5"/>
  <c r="I317" i="5"/>
  <c r="Z317" i="5"/>
  <c r="AN317" i="5"/>
  <c r="O318" i="5"/>
  <c r="K318" i="5"/>
  <c r="C318" i="5"/>
  <c r="B312" i="4"/>
  <c r="D312" i="4"/>
  <c r="E318" i="5"/>
  <c r="I318" i="5"/>
  <c r="I312" i="4"/>
  <c r="L318" i="5"/>
  <c r="J312" i="4"/>
  <c r="N318" i="5"/>
  <c r="L312" i="4"/>
  <c r="Q318" i="5"/>
  <c r="M312" i="4"/>
  <c r="R318" i="5"/>
  <c r="N312" i="4"/>
  <c r="T318" i="5"/>
  <c r="O312" i="4"/>
  <c r="U318" i="5"/>
  <c r="P312" i="4"/>
  <c r="W318" i="5"/>
  <c r="Q312" i="4"/>
  <c r="X318" i="5"/>
  <c r="AA318" i="5"/>
  <c r="AC318" i="5"/>
  <c r="AD318" i="5"/>
  <c r="AF318" i="5"/>
  <c r="AG318" i="5"/>
  <c r="X312" i="4"/>
  <c r="AI318" i="5"/>
  <c r="Y312" i="4"/>
  <c r="AJ318" i="5"/>
  <c r="AL318" i="5"/>
  <c r="Z318" i="5"/>
  <c r="AN318" i="5"/>
  <c r="O319" i="5"/>
  <c r="K319" i="5"/>
  <c r="C319" i="5"/>
  <c r="B316" i="4"/>
  <c r="D316" i="4"/>
  <c r="E319" i="5"/>
  <c r="I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V316" i="4"/>
  <c r="AF319" i="5"/>
  <c r="AG319" i="5"/>
  <c r="X316" i="4"/>
  <c r="AI319" i="5"/>
  <c r="Y316" i="4"/>
  <c r="AJ319" i="5"/>
  <c r="AL319" i="5"/>
  <c r="Z319" i="5"/>
  <c r="AN319" i="5"/>
  <c r="O320" i="5"/>
  <c r="K320" i="5"/>
  <c r="C320" i="5"/>
  <c r="B317" i="4"/>
  <c r="D317" i="4"/>
  <c r="E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V317" i="4"/>
  <c r="AF320" i="5"/>
  <c r="AG320" i="5"/>
  <c r="X317" i="4"/>
  <c r="AI320" i="5"/>
  <c r="Y317" i="4"/>
  <c r="AJ320" i="5"/>
  <c r="AL320" i="5"/>
  <c r="F320" i="5"/>
  <c r="H320" i="5"/>
  <c r="I320" i="5"/>
  <c r="Z320" i="5"/>
  <c r="AN320" i="5"/>
  <c r="O321" i="5"/>
  <c r="K321" i="5"/>
  <c r="C321" i="5"/>
  <c r="B318" i="4"/>
  <c r="D318" i="4"/>
  <c r="E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V318" i="4"/>
  <c r="AF321" i="5"/>
  <c r="AG321" i="5"/>
  <c r="X318" i="4"/>
  <c r="AI321" i="5"/>
  <c r="Y318" i="4"/>
  <c r="AJ321" i="5"/>
  <c r="AL321" i="5"/>
  <c r="F321" i="5"/>
  <c r="H321" i="5"/>
  <c r="I321" i="5"/>
  <c r="Z321" i="5"/>
  <c r="AN321" i="5"/>
  <c r="O322" i="5"/>
  <c r="K322" i="5"/>
  <c r="C322" i="5"/>
  <c r="B344" i="4"/>
  <c r="D344" i="4"/>
  <c r="E322" i="5"/>
  <c r="I344" i="4"/>
  <c r="L322" i="5"/>
  <c r="J344" i="4"/>
  <c r="N322" i="5"/>
  <c r="L344" i="4"/>
  <c r="Q322" i="5"/>
  <c r="M344" i="4"/>
  <c r="R322" i="5"/>
  <c r="N344" i="4"/>
  <c r="T322" i="5"/>
  <c r="O344" i="4"/>
  <c r="U322" i="5"/>
  <c r="P344" i="4"/>
  <c r="W322" i="5"/>
  <c r="Q344" i="4"/>
  <c r="X322" i="5"/>
  <c r="AA322" i="5"/>
  <c r="AC322" i="5"/>
  <c r="AD322" i="5"/>
  <c r="V6" i="2"/>
  <c r="V344" i="4"/>
  <c r="AF322" i="5"/>
  <c r="AG322" i="5"/>
  <c r="X344" i="4"/>
  <c r="AI322" i="5"/>
  <c r="Y344" i="4"/>
  <c r="AJ322" i="5"/>
  <c r="AL322" i="5"/>
  <c r="F322" i="5"/>
  <c r="H322" i="5"/>
  <c r="I322" i="5"/>
  <c r="Z322" i="5"/>
  <c r="AN322" i="5"/>
  <c r="O323" i="5"/>
  <c r="K323" i="5"/>
  <c r="C323" i="5"/>
  <c r="B334" i="4"/>
  <c r="D334" i="4"/>
  <c r="E323" i="5"/>
  <c r="I323" i="5"/>
  <c r="I334" i="4"/>
  <c r="L323" i="5"/>
  <c r="J334" i="4"/>
  <c r="N323" i="5"/>
  <c r="L334" i="4"/>
  <c r="Q323" i="5"/>
  <c r="M334" i="4"/>
  <c r="R323" i="5"/>
  <c r="N334" i="4"/>
  <c r="T323" i="5"/>
  <c r="O334" i="4"/>
  <c r="U323" i="5"/>
  <c r="P334" i="4"/>
  <c r="W323" i="5"/>
  <c r="Q334" i="4"/>
  <c r="X323" i="5"/>
  <c r="AA323" i="5"/>
  <c r="AC323" i="5"/>
  <c r="AD323" i="5"/>
  <c r="V334" i="4"/>
  <c r="AF323" i="5"/>
  <c r="AG323" i="5"/>
  <c r="X334" i="4"/>
  <c r="AI323" i="5"/>
  <c r="Y334" i="4"/>
  <c r="AJ323" i="5"/>
  <c r="AL323" i="5"/>
  <c r="Z323" i="5"/>
  <c r="AN323" i="5"/>
  <c r="O324" i="5"/>
  <c r="K324" i="5"/>
  <c r="C324" i="5"/>
  <c r="B313" i="4"/>
  <c r="D313" i="4"/>
  <c r="E324" i="5"/>
  <c r="I324" i="5"/>
  <c r="I313" i="4"/>
  <c r="L324" i="5"/>
  <c r="J313" i="4"/>
  <c r="N324" i="5"/>
  <c r="L313" i="4"/>
  <c r="Q324" i="5"/>
  <c r="M313" i="4"/>
  <c r="R324" i="5"/>
  <c r="N313" i="4"/>
  <c r="T324" i="5"/>
  <c r="O313" i="4"/>
  <c r="U324" i="5"/>
  <c r="P313" i="4"/>
  <c r="W324" i="5"/>
  <c r="Q313" i="4"/>
  <c r="X324" i="5"/>
  <c r="AA324" i="5"/>
  <c r="AC324" i="5"/>
  <c r="AD324" i="5"/>
  <c r="V15" i="2"/>
  <c r="V313" i="4"/>
  <c r="AF324" i="5"/>
  <c r="AG324" i="5"/>
  <c r="X313" i="4"/>
  <c r="AI324" i="5"/>
  <c r="Z324" i="5"/>
  <c r="AN324" i="5"/>
  <c r="O325" i="5"/>
  <c r="K325" i="5"/>
  <c r="C325" i="5"/>
  <c r="B335" i="4"/>
  <c r="D335" i="4"/>
  <c r="E325" i="5"/>
  <c r="I325" i="5"/>
  <c r="I335" i="4"/>
  <c r="L325" i="5"/>
  <c r="J335" i="4"/>
  <c r="N325" i="5"/>
  <c r="L335" i="4"/>
  <c r="Q325" i="5"/>
  <c r="M335" i="4"/>
  <c r="R325" i="5"/>
  <c r="N335" i="4"/>
  <c r="T325" i="5"/>
  <c r="O335" i="4"/>
  <c r="U325" i="5"/>
  <c r="P335" i="4"/>
  <c r="W325" i="5"/>
  <c r="Q335" i="4"/>
  <c r="X325" i="5"/>
  <c r="AA325" i="5"/>
  <c r="AC325" i="5"/>
  <c r="AD325" i="5"/>
  <c r="V335" i="4"/>
  <c r="AF325" i="5"/>
  <c r="AG325" i="5"/>
  <c r="X335" i="4"/>
  <c r="AI325" i="5"/>
  <c r="Y335" i="4"/>
  <c r="AJ325" i="5"/>
  <c r="AL325" i="5"/>
  <c r="Z325" i="5"/>
  <c r="AN325" i="5"/>
  <c r="O326" i="5"/>
  <c r="K326" i="5"/>
  <c r="C326" i="5"/>
  <c r="B336" i="4"/>
  <c r="D336" i="4"/>
  <c r="E326" i="5"/>
  <c r="I326" i="5"/>
  <c r="I336" i="4"/>
  <c r="L326" i="5"/>
  <c r="J336" i="4"/>
  <c r="N326" i="5"/>
  <c r="L336" i="4"/>
  <c r="Q326" i="5"/>
  <c r="M336" i="4"/>
  <c r="R326" i="5"/>
  <c r="N336" i="4"/>
  <c r="T326" i="5"/>
  <c r="O336" i="4"/>
  <c r="U326" i="5"/>
  <c r="P336" i="4"/>
  <c r="W326" i="5"/>
  <c r="Q336" i="4"/>
  <c r="X326" i="5"/>
  <c r="AA326" i="5"/>
  <c r="AC326" i="5"/>
  <c r="AD326" i="5"/>
  <c r="V336" i="4"/>
  <c r="AF326" i="5"/>
  <c r="AG326" i="5"/>
  <c r="X336" i="4"/>
  <c r="AI326" i="5"/>
  <c r="Y336" i="4"/>
  <c r="AJ326" i="5"/>
  <c r="AL326" i="5"/>
  <c r="Z326" i="5"/>
  <c r="AN326" i="5"/>
  <c r="O327" i="5"/>
  <c r="K327" i="5"/>
  <c r="C327" i="5"/>
  <c r="B337" i="4"/>
  <c r="D337" i="4"/>
  <c r="E327" i="5"/>
  <c r="I337" i="4"/>
  <c r="L327" i="5"/>
  <c r="J337" i="4"/>
  <c r="N327" i="5"/>
  <c r="L337" i="4"/>
  <c r="Q327" i="5"/>
  <c r="M337" i="4"/>
  <c r="R327" i="5"/>
  <c r="N337" i="4"/>
  <c r="T327" i="5"/>
  <c r="O337" i="4"/>
  <c r="U327" i="5"/>
  <c r="P337" i="4"/>
  <c r="W327" i="5"/>
  <c r="Q337" i="4"/>
  <c r="X327" i="5"/>
  <c r="AA327" i="5"/>
  <c r="AC327" i="5"/>
  <c r="AD327" i="5"/>
  <c r="V337" i="4"/>
  <c r="AF327" i="5"/>
  <c r="AG327" i="5"/>
  <c r="X337" i="4"/>
  <c r="AI327" i="5"/>
  <c r="Y337" i="4"/>
  <c r="AJ327" i="5"/>
  <c r="AL327" i="5"/>
  <c r="F327" i="5"/>
  <c r="H327" i="5"/>
  <c r="I327" i="5"/>
  <c r="Z327" i="5"/>
  <c r="AN327" i="5"/>
  <c r="O328" i="5"/>
  <c r="K328" i="5"/>
  <c r="C328" i="5"/>
  <c r="B339" i="4"/>
  <c r="D339" i="4"/>
  <c r="E328" i="5"/>
  <c r="I339" i="4"/>
  <c r="L328" i="5"/>
  <c r="J339" i="4"/>
  <c r="N328" i="5"/>
  <c r="L339" i="4"/>
  <c r="Q328" i="5"/>
  <c r="M339" i="4"/>
  <c r="R328" i="5"/>
  <c r="N339" i="4"/>
  <c r="T328" i="5"/>
  <c r="O339" i="4"/>
  <c r="U328" i="5"/>
  <c r="P339" i="4"/>
  <c r="W328" i="5"/>
  <c r="Q339" i="4"/>
  <c r="X328" i="5"/>
  <c r="AA328" i="5"/>
  <c r="AC328" i="5"/>
  <c r="AD328" i="5"/>
  <c r="V339" i="4"/>
  <c r="AF328" i="5"/>
  <c r="AG328" i="5"/>
  <c r="X339" i="4"/>
  <c r="AI328" i="5"/>
  <c r="Y339" i="4"/>
  <c r="AJ328" i="5"/>
  <c r="AL328" i="5"/>
  <c r="F328" i="5"/>
  <c r="H328" i="5"/>
  <c r="I328" i="5"/>
  <c r="Z328" i="5"/>
  <c r="AN328" i="5"/>
  <c r="O329" i="5"/>
  <c r="K329" i="5"/>
  <c r="C329" i="5"/>
  <c r="B319" i="4"/>
  <c r="D319" i="4"/>
  <c r="E329" i="5"/>
  <c r="I329" i="5"/>
  <c r="I319" i="4"/>
  <c r="L329" i="5"/>
  <c r="J319" i="4"/>
  <c r="N329" i="5"/>
  <c r="L319" i="4"/>
  <c r="Q329" i="5"/>
  <c r="M319" i="4"/>
  <c r="R329" i="5"/>
  <c r="N319" i="4"/>
  <c r="T329" i="5"/>
  <c r="O319" i="4"/>
  <c r="U329" i="5"/>
  <c r="P319" i="4"/>
  <c r="W329" i="5"/>
  <c r="Q319" i="4"/>
  <c r="X329" i="5"/>
  <c r="AA329" i="5"/>
  <c r="AC329" i="5"/>
  <c r="AD329" i="5"/>
  <c r="V319" i="4"/>
  <c r="AF329" i="5"/>
  <c r="AG329" i="5"/>
  <c r="X319" i="4"/>
  <c r="AI329" i="5"/>
  <c r="Y319" i="4"/>
  <c r="AJ329" i="5"/>
  <c r="AL329" i="5"/>
  <c r="Z329" i="5"/>
  <c r="AN329" i="5"/>
  <c r="O330" i="5"/>
  <c r="K330" i="5"/>
  <c r="C330" i="5"/>
  <c r="B314" i="4"/>
  <c r="D314" i="4"/>
  <c r="E330" i="5"/>
  <c r="I330" i="5"/>
  <c r="I314" i="4"/>
  <c r="L330" i="5"/>
  <c r="J314" i="4"/>
  <c r="N330" i="5"/>
  <c r="L314" i="4"/>
  <c r="Q330" i="5"/>
  <c r="M314" i="4"/>
  <c r="R330" i="5"/>
  <c r="N314" i="4"/>
  <c r="T330" i="5"/>
  <c r="O314" i="4"/>
  <c r="U330" i="5"/>
  <c r="P314" i="4"/>
  <c r="W330" i="5"/>
  <c r="Q314" i="4"/>
  <c r="X330" i="5"/>
  <c r="AA330" i="5"/>
  <c r="AC330" i="5"/>
  <c r="AD330" i="5"/>
  <c r="AF330" i="5"/>
  <c r="AG330" i="5"/>
  <c r="X314" i="4"/>
  <c r="AI330" i="5"/>
  <c r="Y314" i="4"/>
  <c r="AJ330" i="5"/>
  <c r="AL330" i="5"/>
  <c r="Z330" i="5"/>
  <c r="AN330" i="5"/>
  <c r="O331" i="5"/>
  <c r="K331" i="5"/>
  <c r="C331" i="5"/>
  <c r="B320" i="4"/>
  <c r="D320" i="4"/>
  <c r="E331" i="5"/>
  <c r="I331" i="5"/>
  <c r="I320" i="4"/>
  <c r="L331" i="5"/>
  <c r="J320" i="4"/>
  <c r="N331" i="5"/>
  <c r="L320" i="4"/>
  <c r="Q331" i="5"/>
  <c r="M320" i="4"/>
  <c r="R331" i="5"/>
  <c r="N320" i="4"/>
  <c r="T331" i="5"/>
  <c r="O320" i="4"/>
  <c r="U331" i="5"/>
  <c r="P320" i="4"/>
  <c r="W331" i="5"/>
  <c r="Q320" i="4"/>
  <c r="X331" i="5"/>
  <c r="AA331" i="5"/>
  <c r="AC331" i="5"/>
  <c r="AD331" i="5"/>
  <c r="V320" i="4"/>
  <c r="AF331" i="5"/>
  <c r="AG331" i="5"/>
  <c r="X320" i="4"/>
  <c r="AI331" i="5"/>
  <c r="Y320" i="4"/>
  <c r="AJ331" i="5"/>
  <c r="AL331" i="5"/>
  <c r="Z331" i="5"/>
  <c r="AN331" i="5"/>
  <c r="O332" i="5"/>
  <c r="K332" i="5"/>
  <c r="C332" i="5"/>
  <c r="B321" i="4"/>
  <c r="D321" i="4"/>
  <c r="E332" i="5"/>
  <c r="I332" i="5"/>
  <c r="I321" i="4"/>
  <c r="L332" i="5"/>
  <c r="J321" i="4"/>
  <c r="N332" i="5"/>
  <c r="L321" i="4"/>
  <c r="Q332" i="5"/>
  <c r="M321" i="4"/>
  <c r="R332" i="5"/>
  <c r="N321" i="4"/>
  <c r="T332" i="5"/>
  <c r="O321" i="4"/>
  <c r="U332" i="5"/>
  <c r="P321" i="4"/>
  <c r="W332" i="5"/>
  <c r="Q321" i="4"/>
  <c r="X332" i="5"/>
  <c r="AA332" i="5"/>
  <c r="AC332" i="5"/>
  <c r="AD332" i="5"/>
  <c r="V321" i="4"/>
  <c r="AF332" i="5"/>
  <c r="AG332" i="5"/>
  <c r="X321" i="4"/>
  <c r="AI332" i="5"/>
  <c r="Y321" i="4"/>
  <c r="AJ332" i="5"/>
  <c r="AL332" i="5"/>
  <c r="Z332" i="5"/>
  <c r="AN332" i="5"/>
  <c r="O334" i="5"/>
  <c r="K334" i="5"/>
  <c r="C334" i="5"/>
  <c r="B343" i="4"/>
  <c r="D343" i="4"/>
  <c r="E334" i="5"/>
  <c r="I334" i="5"/>
  <c r="I343" i="4"/>
  <c r="L334" i="5"/>
  <c r="J343" i="4"/>
  <c r="N334" i="5"/>
  <c r="L343" i="4"/>
  <c r="Q334" i="5"/>
  <c r="M343" i="4"/>
  <c r="R334" i="5"/>
  <c r="N343" i="4"/>
  <c r="T334" i="5"/>
  <c r="O343" i="4"/>
  <c r="U334" i="5"/>
  <c r="P343" i="4"/>
  <c r="W334" i="5"/>
  <c r="Q343" i="4"/>
  <c r="X334" i="5"/>
  <c r="AA334" i="5"/>
  <c r="AC334" i="5"/>
  <c r="AD334" i="5"/>
  <c r="V343" i="4"/>
  <c r="AF334" i="5"/>
  <c r="AG334" i="5"/>
  <c r="X343" i="4"/>
  <c r="AI334" i="5"/>
  <c r="Y343" i="4"/>
  <c r="AJ334" i="5"/>
  <c r="AL334" i="5"/>
  <c r="Z334" i="5"/>
  <c r="AN334" i="5"/>
  <c r="O335" i="5"/>
  <c r="K335" i="5"/>
  <c r="C335" i="5"/>
  <c r="B323" i="4"/>
  <c r="D323" i="4"/>
  <c r="E335" i="5"/>
  <c r="I323" i="4"/>
  <c r="L335" i="5"/>
  <c r="J323" i="4"/>
  <c r="N335" i="5"/>
  <c r="L323" i="4"/>
  <c r="Q335" i="5"/>
  <c r="M323" i="4"/>
  <c r="R335" i="5"/>
  <c r="N323" i="4"/>
  <c r="T335" i="5"/>
  <c r="O323" i="4"/>
  <c r="U335" i="5"/>
  <c r="P323" i="4"/>
  <c r="W335" i="5"/>
  <c r="Q323" i="4"/>
  <c r="X335" i="5"/>
  <c r="AA335" i="5"/>
  <c r="AC335" i="5"/>
  <c r="AD335" i="5"/>
  <c r="V323" i="4"/>
  <c r="AF335" i="5"/>
  <c r="AG335" i="5"/>
  <c r="X323" i="4"/>
  <c r="AI335" i="5"/>
  <c r="Y323" i="4"/>
  <c r="AJ335" i="5"/>
  <c r="AL335" i="5"/>
  <c r="F335" i="5"/>
  <c r="H335" i="5"/>
  <c r="I335" i="5"/>
  <c r="Z335" i="5"/>
  <c r="AN335" i="5"/>
  <c r="O336" i="5"/>
  <c r="K336" i="5"/>
  <c r="C336" i="5"/>
  <c r="B324" i="4"/>
  <c r="D324" i="4"/>
  <c r="E336" i="5"/>
  <c r="I336" i="5"/>
  <c r="I324" i="4"/>
  <c r="L336" i="5"/>
  <c r="J324" i="4"/>
  <c r="N336" i="5"/>
  <c r="L324" i="4"/>
  <c r="Q336" i="5"/>
  <c r="M324" i="4"/>
  <c r="R336" i="5"/>
  <c r="N324" i="4"/>
  <c r="T336" i="5"/>
  <c r="O324" i="4"/>
  <c r="U336" i="5"/>
  <c r="P324" i="4"/>
  <c r="W336" i="5"/>
  <c r="Q324" i="4"/>
  <c r="X336" i="5"/>
  <c r="AA336" i="5"/>
  <c r="AC336" i="5"/>
  <c r="AD336" i="5"/>
  <c r="V324" i="4"/>
  <c r="AF336" i="5"/>
  <c r="AG336" i="5"/>
  <c r="X324" i="4"/>
  <c r="AI336" i="5"/>
  <c r="Y324" i="4"/>
  <c r="AJ336" i="5"/>
  <c r="AL336" i="5"/>
  <c r="Z336" i="5"/>
  <c r="AN336" i="5"/>
  <c r="O337" i="5"/>
  <c r="K337" i="5"/>
  <c r="C337" i="5"/>
  <c r="B325" i="4"/>
  <c r="D325" i="4"/>
  <c r="E337" i="5"/>
  <c r="I325" i="4"/>
  <c r="L337" i="5"/>
  <c r="J325" i="4"/>
  <c r="N337" i="5"/>
  <c r="L325" i="4"/>
  <c r="Q337" i="5"/>
  <c r="M325" i="4"/>
  <c r="R337" i="5"/>
  <c r="N325" i="4"/>
  <c r="T337" i="5"/>
  <c r="O325" i="4"/>
  <c r="U337" i="5"/>
  <c r="P325" i="4"/>
  <c r="W337" i="5"/>
  <c r="Q325" i="4"/>
  <c r="X337" i="5"/>
  <c r="AA337" i="5"/>
  <c r="AC337" i="5"/>
  <c r="AD337" i="5"/>
  <c r="V325" i="4"/>
  <c r="AF337" i="5"/>
  <c r="AG337" i="5"/>
  <c r="X325" i="4"/>
  <c r="AI337" i="5"/>
  <c r="Y325" i="4"/>
  <c r="AJ337" i="5"/>
  <c r="AL337" i="5"/>
  <c r="F337" i="5"/>
  <c r="H337" i="5"/>
  <c r="I337" i="5"/>
  <c r="Z337" i="5"/>
  <c r="AN337" i="5"/>
  <c r="O338" i="5"/>
  <c r="K338" i="5"/>
  <c r="C338" i="5"/>
  <c r="B326" i="4"/>
  <c r="D326" i="4"/>
  <c r="E338" i="5"/>
  <c r="I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V326" i="4"/>
  <c r="AF338" i="5"/>
  <c r="AG338" i="5"/>
  <c r="X326" i="4"/>
  <c r="AI338" i="5"/>
  <c r="Y326" i="4"/>
  <c r="AJ338" i="5"/>
  <c r="AL338" i="5"/>
  <c r="Z338" i="5"/>
  <c r="AN338" i="5"/>
  <c r="O339" i="5"/>
  <c r="K339" i="5"/>
  <c r="C339" i="5"/>
  <c r="B338" i="4"/>
  <c r="D338" i="4"/>
  <c r="E339" i="5"/>
  <c r="I339" i="5"/>
  <c r="I338" i="4"/>
  <c r="L339" i="5"/>
  <c r="J338" i="4"/>
  <c r="N339" i="5"/>
  <c r="L338" i="4"/>
  <c r="Q339" i="5"/>
  <c r="M338" i="4"/>
  <c r="R339" i="5"/>
  <c r="N338" i="4"/>
  <c r="T339" i="5"/>
  <c r="O338" i="4"/>
  <c r="U339" i="5"/>
  <c r="P338" i="4"/>
  <c r="W339" i="5"/>
  <c r="Q338" i="4"/>
  <c r="X339" i="5"/>
  <c r="AA339" i="5"/>
  <c r="AC339" i="5"/>
  <c r="AD339" i="5"/>
  <c r="V338" i="4"/>
  <c r="AF339" i="5"/>
  <c r="AG339" i="5"/>
  <c r="X338" i="4"/>
  <c r="AI339" i="5"/>
  <c r="Y338" i="4"/>
  <c r="AJ339" i="5"/>
  <c r="AL339" i="5"/>
  <c r="Z339" i="5"/>
  <c r="AN339" i="5"/>
  <c r="C301" i="4"/>
  <c r="C296" i="5"/>
  <c r="N301" i="4"/>
  <c r="T296" i="5"/>
  <c r="O301" i="4"/>
  <c r="U296" i="5"/>
  <c r="P301" i="4"/>
  <c r="W296" i="5"/>
  <c r="Q301" i="4"/>
  <c r="X296" i="5"/>
  <c r="AA296" i="5"/>
  <c r="T43" i="2"/>
  <c r="T15" i="2"/>
  <c r="T301" i="4"/>
  <c r="AC296" i="5"/>
  <c r="U15" i="2"/>
  <c r="U301" i="4"/>
  <c r="AD296" i="5"/>
  <c r="V301" i="4"/>
  <c r="AF296" i="5"/>
  <c r="AG296" i="5"/>
  <c r="X301" i="4"/>
  <c r="AI296" i="5"/>
  <c r="Y301" i="4"/>
  <c r="AJ296" i="5"/>
  <c r="Z301" i="4"/>
  <c r="AL296" i="5"/>
  <c r="Z296" i="5"/>
  <c r="AN296" i="5"/>
  <c r="O297" i="5"/>
  <c r="K297" i="5"/>
  <c r="C302" i="4"/>
  <c r="C297" i="5"/>
  <c r="D302" i="4"/>
  <c r="E297" i="5"/>
  <c r="I302" i="4"/>
  <c r="L297" i="5"/>
  <c r="J302" i="4"/>
  <c r="N297" i="5"/>
  <c r="L302" i="4"/>
  <c r="Q297" i="5"/>
  <c r="M302" i="4"/>
  <c r="R297" i="5"/>
  <c r="N302" i="4"/>
  <c r="T297" i="5"/>
  <c r="O302" i="4"/>
  <c r="U297" i="5"/>
  <c r="P302" i="4"/>
  <c r="W297" i="5"/>
  <c r="Q302" i="4"/>
  <c r="X297" i="5"/>
  <c r="AA297" i="5"/>
  <c r="T302" i="4"/>
  <c r="AC297" i="5"/>
  <c r="AD297" i="5"/>
  <c r="V302" i="4"/>
  <c r="AF297" i="5"/>
  <c r="AG297" i="5"/>
  <c r="X302" i="4"/>
  <c r="AI297" i="5"/>
  <c r="Y302" i="4"/>
  <c r="AJ297" i="5"/>
  <c r="Z302" i="4"/>
  <c r="AL297" i="5"/>
  <c r="F297" i="5"/>
  <c r="H297" i="5"/>
  <c r="I297" i="5"/>
  <c r="Z297" i="5"/>
  <c r="AN297" i="5"/>
  <c r="K47" i="2"/>
  <c r="B347" i="4"/>
  <c r="K48" i="2"/>
  <c r="K347" i="4"/>
  <c r="O345" i="5"/>
  <c r="H48" i="2"/>
  <c r="H347" i="4"/>
  <c r="K345" i="5"/>
  <c r="C48" i="2"/>
  <c r="C347" i="4"/>
  <c r="C345" i="5"/>
  <c r="D48" i="2"/>
  <c r="D347" i="4"/>
  <c r="E345" i="5"/>
  <c r="I47" i="2"/>
  <c r="I48" i="2"/>
  <c r="I347" i="4"/>
  <c r="L345" i="5"/>
  <c r="J47" i="2"/>
  <c r="J48" i="2"/>
  <c r="J347" i="4"/>
  <c r="N345" i="5"/>
  <c r="L48" i="2"/>
  <c r="L347" i="4"/>
  <c r="Q345" i="5"/>
  <c r="M48" i="2"/>
  <c r="M347" i="4"/>
  <c r="R345" i="5"/>
  <c r="N48" i="2"/>
  <c r="N347" i="4"/>
  <c r="T345" i="5"/>
  <c r="O48" i="2"/>
  <c r="O347" i="4"/>
  <c r="U345" i="5"/>
  <c r="P48" i="2"/>
  <c r="P347" i="4"/>
  <c r="W345" i="5"/>
  <c r="Q48" i="2"/>
  <c r="Q347" i="4"/>
  <c r="X345" i="5"/>
  <c r="S47" i="2"/>
  <c r="S48" i="2"/>
  <c r="S347" i="4"/>
  <c r="AA345" i="5"/>
  <c r="T47" i="2"/>
  <c r="T48" i="2"/>
  <c r="T347" i="4"/>
  <c r="AC345" i="5"/>
  <c r="U47" i="2"/>
  <c r="U48" i="2"/>
  <c r="U347" i="4"/>
  <c r="AD345" i="5"/>
  <c r="V47" i="2"/>
  <c r="V48" i="2"/>
  <c r="V347" i="4"/>
  <c r="AF345" i="5"/>
  <c r="W47" i="2"/>
  <c r="W48" i="2"/>
  <c r="W347" i="4"/>
  <c r="AG345" i="5"/>
  <c r="X48" i="2"/>
  <c r="X347" i="4"/>
  <c r="AI345" i="5"/>
  <c r="Y48" i="2"/>
  <c r="Y347" i="4"/>
  <c r="AJ345" i="5"/>
  <c r="Z48" i="2"/>
  <c r="Z347" i="4"/>
  <c r="AL345" i="5"/>
  <c r="F345" i="5"/>
  <c r="H345" i="5"/>
  <c r="I345" i="5"/>
  <c r="Z345" i="5"/>
  <c r="AN345" i="5"/>
  <c r="B264" i="4"/>
  <c r="C264" i="4"/>
  <c r="C264" i="5"/>
  <c r="D264" i="4"/>
  <c r="E264" i="5"/>
  <c r="K264" i="5"/>
  <c r="L264" i="4"/>
  <c r="Q264" i="5"/>
  <c r="M264" i="4"/>
  <c r="R264" i="5"/>
  <c r="N264" i="4"/>
  <c r="T264" i="5"/>
  <c r="U264" i="5"/>
  <c r="P264" i="4"/>
  <c r="W264" i="5"/>
  <c r="Q264" i="4"/>
  <c r="X264" i="5"/>
  <c r="S264" i="4"/>
  <c r="AA264" i="5"/>
  <c r="AH264" i="4"/>
  <c r="T264" i="4" a="1"/>
  <c r="T264" i="4"/>
  <c r="AC264" i="5"/>
  <c r="U264" i="4" a="1"/>
  <c r="U264" i="4"/>
  <c r="AD264" i="5"/>
  <c r="AF264" i="5"/>
  <c r="AG264" i="5"/>
  <c r="X264" i="4"/>
  <c r="AI264" i="5"/>
  <c r="Y264" i="4"/>
  <c r="AJ264" i="5"/>
  <c r="Z264" i="4"/>
  <c r="AL264" i="5"/>
  <c r="F264" i="5"/>
  <c r="H264" i="5"/>
  <c r="I264" i="5"/>
  <c r="L264" i="5"/>
  <c r="N264" i="5"/>
  <c r="O264" i="5"/>
  <c r="Z264" i="5"/>
  <c r="AN264" i="5"/>
  <c r="O340" i="5"/>
  <c r="K340" i="5"/>
  <c r="C340" i="5"/>
  <c r="B327" i="4"/>
  <c r="D327" i="4"/>
  <c r="E340" i="5"/>
  <c r="I340" i="5"/>
  <c r="I327" i="4"/>
  <c r="L340" i="5"/>
  <c r="J327" i="4"/>
  <c r="N340" i="5"/>
  <c r="L327" i="4"/>
  <c r="Q340" i="5"/>
  <c r="M327" i="4"/>
  <c r="R340" i="5"/>
  <c r="N327" i="4"/>
  <c r="T340" i="5"/>
  <c r="O327" i="4"/>
  <c r="U340" i="5"/>
  <c r="P327" i="4"/>
  <c r="W340" i="5"/>
  <c r="Q327" i="4"/>
  <c r="X340" i="5"/>
  <c r="AA340" i="5"/>
  <c r="AC340" i="5"/>
  <c r="AD340" i="5"/>
  <c r="V29" i="2"/>
  <c r="V327" i="4"/>
  <c r="AF340" i="5"/>
  <c r="AG340" i="5"/>
  <c r="X327" i="4"/>
  <c r="AI340" i="5"/>
  <c r="Y327" i="4"/>
  <c r="AJ340" i="5"/>
  <c r="AL340" i="5"/>
  <c r="Z340" i="5"/>
  <c r="AN340" i="5"/>
  <c r="O341" i="5"/>
  <c r="K341" i="5"/>
  <c r="C341" i="5"/>
  <c r="B328" i="4"/>
  <c r="D328" i="4"/>
  <c r="E341" i="5"/>
  <c r="I328" i="4"/>
  <c r="L341" i="5"/>
  <c r="J328" i="4"/>
  <c r="N341" i="5"/>
  <c r="L328" i="4"/>
  <c r="Q341" i="5"/>
  <c r="M328" i="4"/>
  <c r="R341" i="5"/>
  <c r="N328" i="4"/>
  <c r="T341" i="5"/>
  <c r="O328" i="4"/>
  <c r="U341" i="5"/>
  <c r="P328" i="4"/>
  <c r="W341" i="5"/>
  <c r="Q328" i="4"/>
  <c r="X341" i="5"/>
  <c r="AA341" i="5"/>
  <c r="AC341" i="5"/>
  <c r="AD341" i="5"/>
  <c r="V328" i="4"/>
  <c r="AF341" i="5"/>
  <c r="AG341" i="5"/>
  <c r="X328" i="4"/>
  <c r="AI341" i="5"/>
  <c r="Y328" i="4"/>
  <c r="AJ341" i="5"/>
  <c r="AL341" i="5"/>
  <c r="F341" i="5"/>
  <c r="H341" i="5"/>
  <c r="I341" i="5"/>
  <c r="Z341" i="5"/>
  <c r="AN341" i="5"/>
  <c r="O342" i="5"/>
  <c r="K342" i="5"/>
  <c r="C342" i="5"/>
  <c r="B329" i="4"/>
  <c r="D329" i="4"/>
  <c r="E342" i="5"/>
  <c r="I329" i="4"/>
  <c r="L342" i="5"/>
  <c r="J329" i="4"/>
  <c r="N342" i="5"/>
  <c r="L329" i="4"/>
  <c r="Q342" i="5"/>
  <c r="M329" i="4"/>
  <c r="R342" i="5"/>
  <c r="N329" i="4"/>
  <c r="T342" i="5"/>
  <c r="O329" i="4"/>
  <c r="U342" i="5"/>
  <c r="P329" i="4"/>
  <c r="W342" i="5"/>
  <c r="Q329" i="4"/>
  <c r="X342" i="5"/>
  <c r="AA342" i="5"/>
  <c r="AC342" i="5"/>
  <c r="AD342" i="5"/>
  <c r="V329" i="4"/>
  <c r="AF342" i="5"/>
  <c r="AG342" i="5"/>
  <c r="X329" i="4"/>
  <c r="AI342" i="5"/>
  <c r="Y329" i="4"/>
  <c r="AJ342" i="5"/>
  <c r="AL342" i="5"/>
  <c r="F342" i="5"/>
  <c r="H342" i="5"/>
  <c r="I342" i="5"/>
  <c r="Z342" i="5"/>
  <c r="AN342" i="5"/>
  <c r="O343" i="5"/>
  <c r="K343" i="5"/>
  <c r="C343" i="5"/>
  <c r="B330" i="4"/>
  <c r="D330" i="4"/>
  <c r="E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V330" i="4"/>
  <c r="AF343" i="5"/>
  <c r="AG343" i="5"/>
  <c r="X330" i="4"/>
  <c r="AI343" i="5"/>
  <c r="Y330" i="4"/>
  <c r="AJ343" i="5"/>
  <c r="AL343" i="5"/>
  <c r="F343" i="5"/>
  <c r="H343" i="5"/>
  <c r="I343" i="5"/>
  <c r="Z343" i="5"/>
  <c r="AN343" i="5"/>
  <c r="O298" i="5"/>
  <c r="K298" i="5"/>
  <c r="B303" i="4"/>
  <c r="C303" i="4"/>
  <c r="C298" i="5"/>
  <c r="D303" i="4"/>
  <c r="E298" i="5"/>
  <c r="I303" i="4"/>
  <c r="L298" i="5"/>
  <c r="J303" i="4"/>
  <c r="N298" i="5"/>
  <c r="L303" i="4"/>
  <c r="Q298" i="5"/>
  <c r="M303" i="4"/>
  <c r="R298" i="5"/>
  <c r="N303" i="4"/>
  <c r="T298" i="5"/>
  <c r="O303" i="4"/>
  <c r="U298" i="5"/>
  <c r="P303" i="4"/>
  <c r="W298" i="5"/>
  <c r="Q303" i="4"/>
  <c r="X298" i="5"/>
  <c r="AA298" i="5"/>
  <c r="T303" i="4"/>
  <c r="AC298" i="5"/>
  <c r="U303" i="4"/>
  <c r="AD298" i="5"/>
  <c r="V303" i="4"/>
  <c r="AF298" i="5"/>
  <c r="AG298" i="5"/>
  <c r="X303" i="4"/>
  <c r="AI298" i="5"/>
  <c r="Y303" i="4"/>
  <c r="AJ298" i="5"/>
  <c r="Z303" i="4"/>
  <c r="AL298" i="5"/>
  <c r="F298" i="5"/>
  <c r="H298" i="5"/>
  <c r="I298" i="5"/>
  <c r="Z298" i="5"/>
  <c r="AN298" i="5"/>
  <c r="O299" i="5"/>
  <c r="K299" i="5"/>
  <c r="B304" i="4"/>
  <c r="C304" i="4"/>
  <c r="C299" i="5"/>
  <c r="D304" i="4"/>
  <c r="E299" i="5"/>
  <c r="I304" i="4"/>
  <c r="L299" i="5"/>
  <c r="J304" i="4"/>
  <c r="N299" i="5"/>
  <c r="L304" i="4"/>
  <c r="Q299" i="5"/>
  <c r="M304" i="4"/>
  <c r="R299" i="5"/>
  <c r="N304" i="4"/>
  <c r="T299" i="5"/>
  <c r="O304" i="4"/>
  <c r="U299" i="5"/>
  <c r="P304" i="4"/>
  <c r="W299" i="5"/>
  <c r="Q304" i="4"/>
  <c r="X299" i="5"/>
  <c r="AA299" i="5"/>
  <c r="T21" i="2"/>
  <c r="T304" i="4"/>
  <c r="AC299" i="5"/>
  <c r="U21" i="2"/>
  <c r="U304" i="4"/>
  <c r="AD299" i="5"/>
  <c r="V21" i="2"/>
  <c r="V304" i="4"/>
  <c r="AF299" i="5"/>
  <c r="AG299" i="5"/>
  <c r="X304" i="4"/>
  <c r="AI299" i="5"/>
  <c r="Y304" i="4"/>
  <c r="AJ299" i="5"/>
  <c r="Z304" i="4"/>
  <c r="AL299" i="5"/>
  <c r="F299" i="5"/>
  <c r="H299" i="5"/>
  <c r="I299" i="5"/>
  <c r="Z299" i="5"/>
  <c r="AN299" i="5"/>
  <c r="K49" i="2"/>
  <c r="B376" i="4"/>
  <c r="K376" i="4"/>
  <c r="O367" i="5"/>
  <c r="H49" i="2"/>
  <c r="H376" i="4"/>
  <c r="K367" i="5"/>
  <c r="C376" i="4"/>
  <c r="C367" i="5"/>
  <c r="D376" i="4"/>
  <c r="E367" i="5"/>
  <c r="I49" i="2"/>
  <c r="I376" i="4"/>
  <c r="L367" i="5"/>
  <c r="J49" i="2"/>
  <c r="J376" i="4"/>
  <c r="N367" i="5"/>
  <c r="L376" i="4"/>
  <c r="Q367" i="5"/>
  <c r="M376" i="4"/>
  <c r="R367" i="5"/>
  <c r="N49" i="2"/>
  <c r="N376" i="4"/>
  <c r="T367" i="5"/>
  <c r="O376" i="4"/>
  <c r="U367" i="5"/>
  <c r="P376" i="4"/>
  <c r="W367" i="5"/>
  <c r="Q376" i="4"/>
  <c r="X367" i="5"/>
  <c r="S376" i="4"/>
  <c r="AA367" i="5"/>
  <c r="T376" i="4"/>
  <c r="AC367" i="5"/>
  <c r="U376" i="4"/>
  <c r="AD367" i="5"/>
  <c r="V49" i="2"/>
  <c r="V376" i="4"/>
  <c r="AF367" i="5"/>
  <c r="W49" i="2"/>
  <c r="W376" i="4"/>
  <c r="AG367" i="5"/>
  <c r="X376" i="4"/>
  <c r="AI367" i="5"/>
  <c r="Y376" i="4"/>
  <c r="AJ367" i="5"/>
  <c r="Z376" i="4"/>
  <c r="AL367" i="5"/>
  <c r="F367" i="5"/>
  <c r="H367" i="5"/>
  <c r="I367" i="5"/>
  <c r="Z367" i="5"/>
  <c r="AN367" i="5"/>
  <c r="B374" i="4"/>
  <c r="K374" i="4"/>
  <c r="O368" i="5"/>
  <c r="H374" i="4"/>
  <c r="K368" i="5"/>
  <c r="C374" i="4"/>
  <c r="C368" i="5"/>
  <c r="D374" i="4"/>
  <c r="E368" i="5"/>
  <c r="I374" i="4"/>
  <c r="L368" i="5"/>
  <c r="J374" i="4"/>
  <c r="N368" i="5"/>
  <c r="L374" i="4"/>
  <c r="Q368" i="5"/>
  <c r="M374" i="4"/>
  <c r="R368" i="5"/>
  <c r="N374" i="4"/>
  <c r="T368" i="5"/>
  <c r="O374" i="4"/>
  <c r="U368" i="5"/>
  <c r="P374" i="4"/>
  <c r="W368" i="5"/>
  <c r="Q374" i="4"/>
  <c r="X368" i="5"/>
  <c r="S374" i="4"/>
  <c r="AA368" i="5"/>
  <c r="T374" i="4"/>
  <c r="AC368" i="5"/>
  <c r="U374" i="4"/>
  <c r="AD368" i="5"/>
  <c r="V374" i="4"/>
  <c r="AF368" i="5"/>
  <c r="W374" i="4"/>
  <c r="AG368" i="5"/>
  <c r="X374" i="4"/>
  <c r="AI368" i="5"/>
  <c r="Y374" i="4"/>
  <c r="AJ368" i="5"/>
  <c r="Z374" i="4"/>
  <c r="AL368" i="5"/>
  <c r="F368" i="5"/>
  <c r="H368" i="5"/>
  <c r="I368" i="5"/>
  <c r="Z368" i="5"/>
  <c r="AN368" i="5"/>
  <c r="B370" i="4"/>
  <c r="K26" i="2"/>
  <c r="K370" i="4"/>
  <c r="O369" i="5"/>
  <c r="H370" i="4"/>
  <c r="K369" i="5"/>
  <c r="C370" i="4"/>
  <c r="C369" i="5"/>
  <c r="D370" i="4"/>
  <c r="E369" i="5"/>
  <c r="I370" i="4"/>
  <c r="L369" i="5"/>
  <c r="J370" i="4"/>
  <c r="N369" i="5"/>
  <c r="L370" i="4"/>
  <c r="Q369" i="5"/>
  <c r="M370" i="4"/>
  <c r="R369" i="5"/>
  <c r="N370" i="4"/>
  <c r="T369" i="5"/>
  <c r="O370" i="4"/>
  <c r="U369" i="5"/>
  <c r="P370" i="4"/>
  <c r="W369" i="5"/>
  <c r="Q370" i="4"/>
  <c r="X369" i="5"/>
  <c r="S370" i="4"/>
  <c r="AA369" i="5"/>
  <c r="T26" i="2"/>
  <c r="T370" i="4"/>
  <c r="AC369" i="5"/>
  <c r="U26" i="2"/>
  <c r="U370" i="4"/>
  <c r="AD369" i="5"/>
  <c r="V26" i="2"/>
  <c r="V370" i="4"/>
  <c r="AF369" i="5"/>
  <c r="W26" i="2"/>
  <c r="W370" i="4"/>
  <c r="AG369" i="5"/>
  <c r="X370" i="4"/>
  <c r="AI369" i="5"/>
  <c r="Y370" i="4"/>
  <c r="AJ369" i="5"/>
  <c r="Z370" i="4"/>
  <c r="AL369" i="5"/>
  <c r="F369" i="5"/>
  <c r="H369" i="5"/>
  <c r="I369" i="5"/>
  <c r="Z369" i="5"/>
  <c r="AN369" i="5"/>
  <c r="B371" i="4"/>
  <c r="K371" i="4"/>
  <c r="O370" i="5"/>
  <c r="H371" i="4"/>
  <c r="K370" i="5"/>
  <c r="C371" i="4"/>
  <c r="C370" i="5"/>
  <c r="D371" i="4"/>
  <c r="E370" i="5"/>
  <c r="I371" i="4"/>
  <c r="L370" i="5"/>
  <c r="J371" i="4"/>
  <c r="N370" i="5"/>
  <c r="L371" i="4"/>
  <c r="Q370" i="5"/>
  <c r="M371" i="4"/>
  <c r="R370" i="5"/>
  <c r="N371" i="4"/>
  <c r="T370" i="5"/>
  <c r="O371" i="4"/>
  <c r="U370" i="5"/>
  <c r="P371" i="4"/>
  <c r="W370" i="5"/>
  <c r="Q371" i="4"/>
  <c r="X370" i="5"/>
  <c r="S371" i="4"/>
  <c r="AA370" i="5"/>
  <c r="T371" i="4"/>
  <c r="AC370" i="5"/>
  <c r="U371" i="4"/>
  <c r="AD370" i="5"/>
  <c r="V371" i="4"/>
  <c r="AF370" i="5"/>
  <c r="W371" i="4"/>
  <c r="AG370" i="5"/>
  <c r="X371" i="4"/>
  <c r="AI370" i="5"/>
  <c r="Y371" i="4"/>
  <c r="AJ370" i="5"/>
  <c r="Z371" i="4"/>
  <c r="AL370" i="5"/>
  <c r="F370" i="5"/>
  <c r="H370" i="5"/>
  <c r="I370" i="5"/>
  <c r="Z370" i="5"/>
  <c r="AN370" i="5"/>
  <c r="B367" i="4"/>
  <c r="K367" i="4"/>
  <c r="O371" i="5"/>
  <c r="H367" i="4"/>
  <c r="K371" i="5"/>
  <c r="C367" i="4"/>
  <c r="C371" i="5"/>
  <c r="D367" i="4"/>
  <c r="E371" i="5"/>
  <c r="I367" i="4"/>
  <c r="L371" i="5"/>
  <c r="J367" i="4"/>
  <c r="N371" i="5"/>
  <c r="L367" i="4"/>
  <c r="Q371" i="5"/>
  <c r="M367" i="4"/>
  <c r="R371" i="5"/>
  <c r="N367" i="4"/>
  <c r="T371" i="5"/>
  <c r="O367" i="4"/>
  <c r="U371" i="5"/>
  <c r="P367" i="4"/>
  <c r="W371" i="5"/>
  <c r="Q367" i="4"/>
  <c r="X371" i="5"/>
  <c r="S367" i="4"/>
  <c r="AA371" i="5"/>
  <c r="T367" i="4"/>
  <c r="AC371" i="5"/>
  <c r="U367" i="4"/>
  <c r="AD371" i="5"/>
  <c r="AF371" i="5"/>
  <c r="W367" i="4"/>
  <c r="AG371" i="5"/>
  <c r="X367" i="4"/>
  <c r="AI371" i="5"/>
  <c r="Y367" i="4"/>
  <c r="AJ371" i="5"/>
  <c r="Z367" i="4"/>
  <c r="AL371" i="5"/>
  <c r="F371" i="5"/>
  <c r="H371" i="5"/>
  <c r="I371" i="5"/>
  <c r="Z371" i="5"/>
  <c r="AN371" i="5"/>
  <c r="B368" i="4"/>
  <c r="K368" i="4"/>
  <c r="O372" i="5"/>
  <c r="H368" i="4"/>
  <c r="K372" i="5"/>
  <c r="C368" i="4"/>
  <c r="C372" i="5"/>
  <c r="D368" i="4"/>
  <c r="E372" i="5"/>
  <c r="I368" i="4"/>
  <c r="L372" i="5"/>
  <c r="J368" i="4"/>
  <c r="N372" i="5"/>
  <c r="L368" i="4"/>
  <c r="Q372" i="5"/>
  <c r="M368" i="4"/>
  <c r="R372" i="5"/>
  <c r="N368" i="4"/>
  <c r="T372" i="5"/>
  <c r="O368" i="4"/>
  <c r="U372" i="5"/>
  <c r="P368" i="4"/>
  <c r="W372" i="5"/>
  <c r="Q368" i="4"/>
  <c r="X372" i="5"/>
  <c r="S368" i="4"/>
  <c r="AA372" i="5"/>
  <c r="T368" i="4"/>
  <c r="AC372" i="5"/>
  <c r="U368" i="4"/>
  <c r="AD372" i="5"/>
  <c r="V368" i="4"/>
  <c r="AF372" i="5"/>
  <c r="W368" i="4"/>
  <c r="AG372" i="5"/>
  <c r="X368" i="4"/>
  <c r="AI372" i="5"/>
  <c r="Y368" i="4"/>
  <c r="AJ372" i="5"/>
  <c r="Z368" i="4"/>
  <c r="AL372" i="5"/>
  <c r="F372" i="5"/>
  <c r="H372" i="5"/>
  <c r="I372" i="5"/>
  <c r="Z372" i="5"/>
  <c r="AN372" i="5"/>
  <c r="B372" i="4"/>
  <c r="K372" i="4"/>
  <c r="O373" i="5"/>
  <c r="H372" i="4"/>
  <c r="K373" i="5"/>
  <c r="C372" i="4"/>
  <c r="C373" i="5"/>
  <c r="D372" i="4"/>
  <c r="E373" i="5"/>
  <c r="I372" i="4"/>
  <c r="L373" i="5"/>
  <c r="J372" i="4"/>
  <c r="N373" i="5"/>
  <c r="L372" i="4"/>
  <c r="Q373" i="5"/>
  <c r="M372" i="4"/>
  <c r="R373" i="5"/>
  <c r="N372" i="4"/>
  <c r="T373" i="5"/>
  <c r="O372" i="4"/>
  <c r="U373" i="5"/>
  <c r="P372" i="4"/>
  <c r="W373" i="5"/>
  <c r="Q372" i="4"/>
  <c r="X373" i="5"/>
  <c r="S372" i="4"/>
  <c r="AA373" i="5"/>
  <c r="T372" i="4"/>
  <c r="AC373" i="5"/>
  <c r="U372" i="4"/>
  <c r="AD373" i="5"/>
  <c r="V372" i="4"/>
  <c r="AF373" i="5"/>
  <c r="W372" i="4"/>
  <c r="AG373" i="5"/>
  <c r="X372" i="4"/>
  <c r="AI373" i="5"/>
  <c r="Y372" i="4"/>
  <c r="AJ373" i="5"/>
  <c r="Z372" i="4"/>
  <c r="AL373" i="5"/>
  <c r="F373" i="5"/>
  <c r="H373" i="5"/>
  <c r="I373" i="5"/>
  <c r="Z373" i="5"/>
  <c r="AN373" i="5"/>
  <c r="B373" i="4"/>
  <c r="K373" i="4"/>
  <c r="O374" i="5"/>
  <c r="H373" i="4"/>
  <c r="K374" i="5"/>
  <c r="C373" i="4"/>
  <c r="C374" i="5"/>
  <c r="D373" i="4"/>
  <c r="E374" i="5"/>
  <c r="I373" i="4"/>
  <c r="L374" i="5"/>
  <c r="J373" i="4"/>
  <c r="N374" i="5"/>
  <c r="L373" i="4"/>
  <c r="Q374" i="5"/>
  <c r="M373" i="4"/>
  <c r="R374" i="5"/>
  <c r="N373" i="4"/>
  <c r="T374" i="5"/>
  <c r="O373" i="4"/>
  <c r="U374" i="5"/>
  <c r="P373" i="4"/>
  <c r="W374" i="5"/>
  <c r="Q373" i="4"/>
  <c r="X374" i="5"/>
  <c r="S373" i="4"/>
  <c r="AA374" i="5"/>
  <c r="T373" i="4"/>
  <c r="AC374" i="5"/>
  <c r="U373" i="4"/>
  <c r="AD374" i="5"/>
  <c r="V373" i="4"/>
  <c r="AF374" i="5"/>
  <c r="W373" i="4"/>
  <c r="AG374" i="5"/>
  <c r="X373" i="4"/>
  <c r="AI374" i="5"/>
  <c r="Y373" i="4"/>
  <c r="AJ374" i="5"/>
  <c r="Z373" i="4"/>
  <c r="AL374" i="5"/>
  <c r="F374" i="5"/>
  <c r="H374" i="5"/>
  <c r="I374" i="5"/>
  <c r="Z374" i="5"/>
  <c r="AN374" i="5"/>
  <c r="B369" i="4"/>
  <c r="K369" i="4"/>
  <c r="O375" i="5"/>
  <c r="H369" i="4"/>
  <c r="K375" i="5"/>
  <c r="C369" i="4"/>
  <c r="C375" i="5"/>
  <c r="D369" i="4"/>
  <c r="E375" i="5"/>
  <c r="I369" i="4"/>
  <c r="L375" i="5"/>
  <c r="J369" i="4"/>
  <c r="N375" i="5"/>
  <c r="L369" i="4"/>
  <c r="Q375" i="5"/>
  <c r="M369" i="4"/>
  <c r="R375" i="5"/>
  <c r="N369" i="4"/>
  <c r="T375" i="5"/>
  <c r="O369" i="4"/>
  <c r="U375" i="5"/>
  <c r="P369" i="4"/>
  <c r="W375" i="5"/>
  <c r="Q369" i="4"/>
  <c r="X375" i="5"/>
  <c r="S369" i="4"/>
  <c r="AA375" i="5"/>
  <c r="T369" i="4"/>
  <c r="AC375" i="5"/>
  <c r="U369" i="4"/>
  <c r="AD375" i="5"/>
  <c r="V369" i="4"/>
  <c r="AF375" i="5"/>
  <c r="W369" i="4"/>
  <c r="AG375" i="5"/>
  <c r="X369" i="4"/>
  <c r="AI375" i="5"/>
  <c r="Y369" i="4"/>
  <c r="AJ375" i="5"/>
  <c r="Z369" i="4"/>
  <c r="AL375" i="5"/>
  <c r="F375" i="5"/>
  <c r="H375" i="5"/>
  <c r="I375" i="5"/>
  <c r="Z375" i="5"/>
  <c r="AN375" i="5"/>
  <c r="B375" i="4"/>
  <c r="K375" i="4"/>
  <c r="O376" i="5"/>
  <c r="H375" i="4"/>
  <c r="K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V375" i="4"/>
  <c r="AF376" i="5"/>
  <c r="W375" i="4"/>
  <c r="AG376" i="5"/>
  <c r="X375" i="4"/>
  <c r="AI376" i="5"/>
  <c r="Y375" i="4"/>
  <c r="AJ376" i="5"/>
  <c r="Z375" i="4"/>
  <c r="AL376" i="5"/>
  <c r="F376" i="5"/>
  <c r="H376" i="5"/>
  <c r="I376" i="5"/>
  <c r="Z376" i="5"/>
  <c r="AN376" i="5"/>
  <c r="AA378" i="5"/>
  <c r="W378" i="5"/>
  <c r="O378" i="5"/>
  <c r="K378" i="5"/>
  <c r="E378" i="5"/>
  <c r="F378" i="5"/>
  <c r="H378" i="5"/>
  <c r="I378" i="5"/>
  <c r="L378" i="5"/>
  <c r="N378" i="5"/>
  <c r="Q378" i="5"/>
  <c r="R378" i="5"/>
  <c r="T378" i="5"/>
  <c r="U378" i="5"/>
  <c r="X378" i="5"/>
  <c r="Z378" i="5"/>
  <c r="AC378" i="5"/>
  <c r="AD378" i="5"/>
  <c r="AF378" i="5"/>
  <c r="AG378" i="5"/>
  <c r="AI378" i="5"/>
  <c r="AJ378" i="5"/>
  <c r="AL378" i="5"/>
  <c r="AN378" i="5"/>
  <c r="B353" i="4"/>
  <c r="K353" i="4"/>
  <c r="O346" i="5"/>
  <c r="H353" i="4"/>
  <c r="K346" i="5"/>
  <c r="C353" i="4"/>
  <c r="C346" i="5"/>
  <c r="D353" i="4"/>
  <c r="E346" i="5"/>
  <c r="I353" i="4"/>
  <c r="L346" i="5"/>
  <c r="J353" i="4"/>
  <c r="N346" i="5"/>
  <c r="L353" i="4"/>
  <c r="Q346" i="5"/>
  <c r="M353" i="4"/>
  <c r="R346" i="5"/>
  <c r="N353" i="4"/>
  <c r="T346" i="5"/>
  <c r="O353" i="4"/>
  <c r="U346" i="5"/>
  <c r="P353" i="4"/>
  <c r="W346" i="5"/>
  <c r="Q353" i="4"/>
  <c r="X346" i="5"/>
  <c r="S353" i="4"/>
  <c r="AA346" i="5"/>
  <c r="T353" i="4"/>
  <c r="AC346" i="5"/>
  <c r="U353" i="4"/>
  <c r="AD346" i="5"/>
  <c r="V353" i="4"/>
  <c r="AF346" i="5"/>
  <c r="W353" i="4"/>
  <c r="AG346" i="5"/>
  <c r="X353" i="4"/>
  <c r="AI346" i="5"/>
  <c r="Y353" i="4"/>
  <c r="AJ346" i="5"/>
  <c r="Z353" i="4"/>
  <c r="AL346" i="5"/>
  <c r="F346" i="5"/>
  <c r="H346" i="5"/>
  <c r="I346" i="5"/>
  <c r="Z346" i="5"/>
  <c r="AN346" i="5"/>
  <c r="B354" i="4"/>
  <c r="K354" i="4"/>
  <c r="O347" i="5"/>
  <c r="H354" i="4"/>
  <c r="K347" i="5"/>
  <c r="C354" i="4"/>
  <c r="C347" i="5"/>
  <c r="D354" i="4"/>
  <c r="E347" i="5"/>
  <c r="I354" i="4"/>
  <c r="L347" i="5"/>
  <c r="J354" i="4"/>
  <c r="N347" i="5"/>
  <c r="L354" i="4"/>
  <c r="Q347" i="5"/>
  <c r="M354" i="4"/>
  <c r="R347" i="5"/>
  <c r="N354" i="4"/>
  <c r="T347" i="5"/>
  <c r="O354" i="4"/>
  <c r="U347" i="5"/>
  <c r="P354" i="4"/>
  <c r="W347" i="5"/>
  <c r="Q354" i="4"/>
  <c r="X347" i="5"/>
  <c r="S354" i="4"/>
  <c r="AA347" i="5"/>
  <c r="T354" i="4"/>
  <c r="AC347" i="5"/>
  <c r="U354" i="4"/>
  <c r="AD347" i="5"/>
  <c r="V354" i="4"/>
  <c r="AF347" i="5"/>
  <c r="W354" i="4"/>
  <c r="AG347" i="5"/>
  <c r="X354" i="4"/>
  <c r="AI347" i="5"/>
  <c r="Y354" i="4"/>
  <c r="AJ347" i="5"/>
  <c r="Z354" i="4"/>
  <c r="AL347" i="5"/>
  <c r="F347" i="5"/>
  <c r="H347" i="5"/>
  <c r="I347" i="5"/>
  <c r="Z347" i="5"/>
  <c r="AN347" i="5"/>
  <c r="O301" i="5"/>
  <c r="K301" i="5"/>
  <c r="B297" i="4"/>
  <c r="C297" i="4"/>
  <c r="C301" i="5"/>
  <c r="D297" i="4"/>
  <c r="E301" i="5"/>
  <c r="I297" i="4"/>
  <c r="L301" i="5"/>
  <c r="J297" i="4"/>
  <c r="N301" i="5"/>
  <c r="L297" i="4"/>
  <c r="Q301" i="5"/>
  <c r="M297" i="4"/>
  <c r="R301" i="5"/>
  <c r="N297" i="4"/>
  <c r="T301" i="5"/>
  <c r="O297" i="4"/>
  <c r="U301" i="5"/>
  <c r="P297" i="4"/>
  <c r="W301" i="5"/>
  <c r="Q297" i="4"/>
  <c r="X301" i="5"/>
  <c r="AA301" i="5"/>
  <c r="AC301" i="5"/>
  <c r="AD301" i="5"/>
  <c r="V297" i="4"/>
  <c r="AF301" i="5"/>
  <c r="AG301" i="5"/>
  <c r="X297" i="4"/>
  <c r="AI301" i="5"/>
  <c r="Y297" i="4"/>
  <c r="AJ301" i="5"/>
  <c r="Z297" i="4"/>
  <c r="AL301" i="5"/>
  <c r="F301" i="5"/>
  <c r="H301" i="5"/>
  <c r="I301" i="5"/>
  <c r="Z301" i="5"/>
  <c r="AN301" i="5"/>
  <c r="O302" i="5"/>
  <c r="K302" i="5"/>
  <c r="C307" i="4"/>
  <c r="C302" i="5"/>
  <c r="D307" i="4"/>
  <c r="E302" i="5"/>
  <c r="I307" i="4"/>
  <c r="L302" i="5"/>
  <c r="J307" i="4"/>
  <c r="N302" i="5"/>
  <c r="L307" i="4"/>
  <c r="Q302" i="5"/>
  <c r="M307" i="4"/>
  <c r="R302" i="5"/>
  <c r="N307" i="4"/>
  <c r="T302" i="5"/>
  <c r="O307" i="4"/>
  <c r="U302" i="5"/>
  <c r="P307" i="4"/>
  <c r="W302" i="5"/>
  <c r="Q307" i="4"/>
  <c r="X302" i="5"/>
  <c r="AA302" i="5"/>
  <c r="AC302" i="5"/>
  <c r="AD302" i="5"/>
  <c r="V307" i="4"/>
  <c r="AF302" i="5"/>
  <c r="AG302" i="5"/>
  <c r="X307" i="4"/>
  <c r="AI302" i="5"/>
  <c r="Y307" i="4"/>
  <c r="AJ302" i="5"/>
  <c r="Z307" i="4"/>
  <c r="AL302" i="5"/>
  <c r="F302" i="5"/>
  <c r="H302" i="5"/>
  <c r="I302" i="5"/>
  <c r="Z302" i="5"/>
  <c r="AN302" i="5"/>
  <c r="C308" i="4"/>
  <c r="C303" i="5"/>
  <c r="N308" i="4"/>
  <c r="T303" i="5"/>
  <c r="O308" i="4"/>
  <c r="U303" i="5"/>
  <c r="P308" i="4"/>
  <c r="W303" i="5"/>
  <c r="Q308" i="4"/>
  <c r="X303" i="5"/>
  <c r="AA303" i="5"/>
  <c r="V308" i="4"/>
  <c r="AF303" i="5"/>
  <c r="AG303" i="5"/>
  <c r="X308" i="4"/>
  <c r="AI303" i="5"/>
  <c r="Y308" i="4"/>
  <c r="AJ303" i="5"/>
  <c r="Z308" i="4"/>
  <c r="AL303" i="5"/>
  <c r="Z303" i="5"/>
  <c r="AN303" i="5"/>
  <c r="O304" i="5"/>
  <c r="K304" i="5"/>
  <c r="B309" i="4"/>
  <c r="C309" i="4"/>
  <c r="C304" i="5"/>
  <c r="D309" i="4"/>
  <c r="E304" i="5"/>
  <c r="I309" i="4"/>
  <c r="L304" i="5"/>
  <c r="J309" i="4"/>
  <c r="N304" i="5"/>
  <c r="L309" i="4"/>
  <c r="Q304" i="5"/>
  <c r="M309" i="4"/>
  <c r="R304" i="5"/>
  <c r="N309" i="4"/>
  <c r="T304" i="5"/>
  <c r="O309" i="4"/>
  <c r="U304" i="5"/>
  <c r="P309" i="4"/>
  <c r="W304" i="5"/>
  <c r="Q309" i="4"/>
  <c r="X304" i="5"/>
  <c r="AA304" i="5"/>
  <c r="T309" i="4"/>
  <c r="AC304" i="5"/>
  <c r="AD304" i="5"/>
  <c r="V309" i="4"/>
  <c r="AF304" i="5"/>
  <c r="AG304" i="5"/>
  <c r="X309" i="4"/>
  <c r="AI304" i="5"/>
  <c r="Y309" i="4"/>
  <c r="AJ304" i="5"/>
  <c r="Z309" i="4"/>
  <c r="AL304" i="5"/>
  <c r="F304" i="5"/>
  <c r="H304" i="5"/>
  <c r="I304" i="5"/>
  <c r="Z304" i="5"/>
  <c r="AN304" i="5"/>
  <c r="C310" i="4"/>
  <c r="C305" i="5"/>
  <c r="N310" i="4"/>
  <c r="T305" i="5"/>
  <c r="O310" i="4"/>
  <c r="U305" i="5"/>
  <c r="P310" i="4"/>
  <c r="W305" i="5"/>
  <c r="Q310" i="4"/>
  <c r="X305" i="5"/>
  <c r="AA305" i="5"/>
  <c r="V310" i="4"/>
  <c r="AF305" i="5"/>
  <c r="AG305" i="5"/>
  <c r="X310" i="4"/>
  <c r="AI305" i="5"/>
  <c r="Y310" i="4"/>
  <c r="AJ305" i="5"/>
  <c r="Z310" i="4"/>
  <c r="AL305" i="5"/>
  <c r="F305" i="5"/>
  <c r="H305" i="5"/>
  <c r="I305" i="5"/>
  <c r="Z305" i="5"/>
  <c r="AN305" i="5"/>
  <c r="AA379" i="5"/>
  <c r="W379" i="5"/>
  <c r="O379" i="5"/>
  <c r="K379" i="5"/>
  <c r="E379" i="5"/>
  <c r="F379" i="5"/>
  <c r="H379" i="5"/>
  <c r="I379" i="5"/>
  <c r="L379" i="5"/>
  <c r="N379" i="5"/>
  <c r="Q379" i="5"/>
  <c r="R379" i="5"/>
  <c r="T379" i="5"/>
  <c r="U379" i="5"/>
  <c r="X379" i="5"/>
  <c r="Z379" i="5"/>
  <c r="AC379" i="5"/>
  <c r="AD379" i="5"/>
  <c r="AF379" i="5"/>
  <c r="AG379" i="5"/>
  <c r="AI379" i="5"/>
  <c r="AJ379" i="5"/>
  <c r="AL379" i="5"/>
  <c r="AN379" i="5"/>
  <c r="O333" i="5"/>
  <c r="K333" i="5"/>
  <c r="C333" i="5"/>
  <c r="B322" i="4"/>
  <c r="D322" i="4"/>
  <c r="E333" i="5"/>
  <c r="I322" i="4"/>
  <c r="L333" i="5"/>
  <c r="J322" i="4"/>
  <c r="N333" i="5"/>
  <c r="L322" i="4"/>
  <c r="Q333" i="5"/>
  <c r="M322" i="4"/>
  <c r="R333" i="5"/>
  <c r="N322" i="4"/>
  <c r="T333" i="5"/>
  <c r="O322" i="4"/>
  <c r="U333" i="5"/>
  <c r="P322" i="4"/>
  <c r="W333" i="5"/>
  <c r="Q322" i="4"/>
  <c r="X333" i="5"/>
  <c r="AA333" i="5"/>
  <c r="AC333" i="5"/>
  <c r="AD333" i="5"/>
  <c r="V322" i="4"/>
  <c r="AF333" i="5"/>
  <c r="AG333" i="5"/>
  <c r="X322" i="4"/>
  <c r="AI333" i="5"/>
  <c r="Y322" i="4"/>
  <c r="AJ333" i="5"/>
  <c r="AL333" i="5"/>
  <c r="F333" i="5"/>
  <c r="H333" i="5"/>
  <c r="I333" i="5"/>
  <c r="Z333" i="5"/>
  <c r="AN333" i="5"/>
  <c r="C293" i="4"/>
  <c r="C265" i="5"/>
  <c r="D293" i="4"/>
  <c r="E265" i="5"/>
  <c r="E293" i="4"/>
  <c r="F265" i="5"/>
  <c r="F293" i="4"/>
  <c r="H265" i="5"/>
  <c r="I265" i="5"/>
  <c r="H293" i="4"/>
  <c r="K265" i="5"/>
  <c r="L293" i="4"/>
  <c r="Q265" i="5"/>
  <c r="M293" i="4"/>
  <c r="R265" i="5"/>
  <c r="N293" i="4"/>
  <c r="T265" i="5"/>
  <c r="U265" i="5"/>
  <c r="P293" i="4"/>
  <c r="W265" i="5"/>
  <c r="Q293" i="4"/>
  <c r="X265" i="5"/>
  <c r="S293" i="4"/>
  <c r="AA265" i="5"/>
  <c r="AH293" i="4"/>
  <c r="T293" i="4" a="1"/>
  <c r="T293" i="4"/>
  <c r="AC265" i="5"/>
  <c r="U293" i="4" a="1"/>
  <c r="U293" i="4"/>
  <c r="AD265" i="5"/>
  <c r="AF265" i="5"/>
  <c r="AG265" i="5"/>
  <c r="X293" i="4"/>
  <c r="AI265" i="5"/>
  <c r="Y293" i="4"/>
  <c r="AJ265" i="5"/>
  <c r="Z293" i="4"/>
  <c r="AL265" i="5"/>
  <c r="L265" i="5"/>
  <c r="N265" i="5"/>
  <c r="O265" i="5"/>
  <c r="Z265" i="5"/>
  <c r="AN265" i="5"/>
  <c r="O266" i="5"/>
  <c r="H126" i="4"/>
  <c r="K266" i="5"/>
  <c r="C126" i="4"/>
  <c r="C266" i="5"/>
  <c r="D126" i="4"/>
  <c r="E266" i="5"/>
  <c r="I5" i="2"/>
  <c r="I126" i="4"/>
  <c r="L266" i="5"/>
  <c r="J5" i="2"/>
  <c r="J126" i="4"/>
  <c r="N266" i="5"/>
  <c r="L126" i="4"/>
  <c r="Q266" i="5"/>
  <c r="M126" i="4"/>
  <c r="R266" i="5"/>
  <c r="T266" i="5"/>
  <c r="U266" i="5"/>
  <c r="P126" i="4"/>
  <c r="W266" i="5"/>
  <c r="Q126" i="4"/>
  <c r="X266" i="5"/>
  <c r="S5" i="2"/>
  <c r="S126" i="4"/>
  <c r="AA266" i="5"/>
  <c r="AH126" i="4"/>
  <c r="T126" i="4" a="1"/>
  <c r="T126" i="4"/>
  <c r="AC266" i="5"/>
  <c r="U126" i="4" a="1"/>
  <c r="U126" i="4"/>
  <c r="AD266" i="5"/>
  <c r="AF266" i="5"/>
  <c r="AG266" i="5"/>
  <c r="X126" i="4"/>
  <c r="AI266" i="5"/>
  <c r="Y126" i="4"/>
  <c r="AJ266" i="5"/>
  <c r="Z126" i="4"/>
  <c r="AL266" i="5"/>
  <c r="F266" i="5"/>
  <c r="H266" i="5"/>
  <c r="I266" i="5"/>
  <c r="Z266" i="5"/>
  <c r="AN266" i="5"/>
  <c r="AA380" i="5"/>
  <c r="W380" i="5"/>
  <c r="O380" i="5"/>
  <c r="K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F380" i="5"/>
  <c r="AG380" i="5"/>
  <c r="AI380" i="5"/>
  <c r="AJ380" i="5"/>
  <c r="AL380" i="5"/>
  <c r="AN380" i="5"/>
  <c r="B275" i="4"/>
  <c r="S275" i="4"/>
  <c r="AA267" i="5"/>
  <c r="P275" i="4"/>
  <c r="W267" i="5"/>
  <c r="C275" i="4"/>
  <c r="C267" i="5"/>
  <c r="D275" i="4"/>
  <c r="E267" i="5"/>
  <c r="E275" i="4"/>
  <c r="F267" i="5"/>
  <c r="F275" i="4"/>
  <c r="H267" i="5"/>
  <c r="I267" i="5"/>
  <c r="K267" i="5"/>
  <c r="L275" i="4"/>
  <c r="Q267" i="5"/>
  <c r="M275" i="4"/>
  <c r="R267" i="5"/>
  <c r="T267" i="5"/>
  <c r="U267" i="5"/>
  <c r="Q275" i="4"/>
  <c r="X267" i="5"/>
  <c r="R275" i="4"/>
  <c r="Z267" i="5"/>
  <c r="AH275" i="4"/>
  <c r="T275" i="4" a="1"/>
  <c r="T275" i="4"/>
  <c r="AC267" i="5"/>
  <c r="U275" i="4" a="1"/>
  <c r="U275" i="4"/>
  <c r="AD267" i="5"/>
  <c r="AF267" i="5"/>
  <c r="AG267" i="5"/>
  <c r="X275" i="4"/>
  <c r="AI267" i="5"/>
  <c r="Y275" i="4"/>
  <c r="AJ267" i="5"/>
  <c r="Z275" i="4"/>
  <c r="AL267" i="5"/>
  <c r="L267" i="5"/>
  <c r="N267" i="5"/>
  <c r="O267" i="5"/>
  <c r="AN267" i="5"/>
  <c r="S17" i="4"/>
  <c r="AA268" i="5"/>
  <c r="P17" i="4"/>
  <c r="W268" i="5"/>
  <c r="C17" i="4"/>
  <c r="C268" i="5"/>
  <c r="D17" i="4"/>
  <c r="E268" i="5"/>
  <c r="E20" i="2"/>
  <c r="E17" i="4"/>
  <c r="F268" i="5"/>
  <c r="F20" i="2"/>
  <c r="F17" i="4"/>
  <c r="H268" i="5"/>
  <c r="I268" i="5"/>
  <c r="K268" i="5"/>
  <c r="L17" i="4"/>
  <c r="Q268" i="5"/>
  <c r="U268" i="5"/>
  <c r="Q17" i="4"/>
  <c r="X268" i="5"/>
  <c r="R17" i="4"/>
  <c r="Z268" i="5"/>
  <c r="AH17" i="4"/>
  <c r="T17" i="4" a="1"/>
  <c r="T17" i="4"/>
  <c r="AC268" i="5"/>
  <c r="U17" i="4" a="1"/>
  <c r="U17" i="4"/>
  <c r="AD268" i="5"/>
  <c r="AF268" i="5"/>
  <c r="AG268" i="5"/>
  <c r="X17" i="4"/>
  <c r="AI268" i="5"/>
  <c r="Y17" i="4"/>
  <c r="AJ268" i="5"/>
  <c r="Z17" i="4"/>
  <c r="AL268" i="5"/>
  <c r="L268" i="5"/>
  <c r="N268" i="5"/>
  <c r="O268" i="5"/>
  <c r="R268" i="5"/>
  <c r="AN268" i="5"/>
  <c r="O269" i="5"/>
  <c r="H157" i="4"/>
  <c r="K269" i="5"/>
  <c r="C157" i="4"/>
  <c r="C269" i="5"/>
  <c r="D157" i="4"/>
  <c r="E269" i="5"/>
  <c r="E157" i="4"/>
  <c r="F269" i="5"/>
  <c r="F157" i="4"/>
  <c r="H269" i="5"/>
  <c r="I269" i="5"/>
  <c r="I157" i="4"/>
  <c r="L269" i="5"/>
  <c r="J157" i="4"/>
  <c r="N269" i="5"/>
  <c r="L157" i="4"/>
  <c r="Q269" i="5"/>
  <c r="M157" i="4"/>
  <c r="R269" i="5"/>
  <c r="N157" i="4"/>
  <c r="T269" i="5"/>
  <c r="U269" i="5"/>
  <c r="P157" i="4"/>
  <c r="W269" i="5"/>
  <c r="Q157" i="4"/>
  <c r="X269" i="5"/>
  <c r="S157" i="4"/>
  <c r="AA269" i="5"/>
  <c r="AH157" i="4"/>
  <c r="T157" i="4" a="1"/>
  <c r="T157" i="4"/>
  <c r="AC269" i="5"/>
  <c r="U157" i="4" a="1"/>
  <c r="U157" i="4"/>
  <c r="AD269" i="5"/>
  <c r="AF269" i="5"/>
  <c r="AG269" i="5"/>
  <c r="X157" i="4"/>
  <c r="AI269" i="5"/>
  <c r="Y157" i="4"/>
  <c r="AJ269" i="5"/>
  <c r="Z157" i="4"/>
  <c r="AL269" i="5"/>
  <c r="Z269" i="5"/>
  <c r="AN269" i="5"/>
  <c r="B352" i="4"/>
  <c r="S352" i="4"/>
  <c r="AA348" i="5"/>
  <c r="P352" i="4"/>
  <c r="W348" i="5"/>
  <c r="K352" i="4"/>
  <c r="O348" i="5"/>
  <c r="H352" i="4"/>
  <c r="K348" i="5"/>
  <c r="C352" i="4"/>
  <c r="C348" i="5"/>
  <c r="D352" i="4"/>
  <c r="E348" i="5"/>
  <c r="I352" i="4"/>
  <c r="L348" i="5"/>
  <c r="J352" i="4"/>
  <c r="N348" i="5"/>
  <c r="L352" i="4"/>
  <c r="Q348" i="5"/>
  <c r="M352" i="4"/>
  <c r="R348" i="5"/>
  <c r="N352" i="4"/>
  <c r="T348" i="5"/>
  <c r="O352" i="4"/>
  <c r="U348" i="5"/>
  <c r="Q352" i="4"/>
  <c r="X348" i="5"/>
  <c r="R48" i="2"/>
  <c r="R352" i="4"/>
  <c r="Z348" i="5"/>
  <c r="T352" i="4"/>
  <c r="AC348" i="5"/>
  <c r="U352" i="4"/>
  <c r="AD348" i="5"/>
  <c r="V352" i="4"/>
  <c r="AF348" i="5"/>
  <c r="W352" i="4"/>
  <c r="AG348" i="5"/>
  <c r="X352" i="4"/>
  <c r="AI348" i="5"/>
  <c r="Y352" i="4"/>
  <c r="AJ348" i="5"/>
  <c r="Z352" i="4"/>
  <c r="AL348" i="5"/>
  <c r="F348" i="5"/>
  <c r="H348" i="5"/>
  <c r="I348" i="5"/>
  <c r="AN348" i="5"/>
  <c r="AA381" i="5"/>
  <c r="W381" i="5"/>
  <c r="O381" i="5"/>
  <c r="K381" i="5"/>
  <c r="B381" i="4"/>
  <c r="C381" i="4"/>
  <c r="C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F381" i="5"/>
  <c r="AG381" i="5"/>
  <c r="AI381" i="5"/>
  <c r="AL381" i="5"/>
  <c r="AN381" i="5"/>
  <c r="B358" i="4"/>
  <c r="K358" i="4"/>
  <c r="O349" i="5"/>
  <c r="H358" i="4"/>
  <c r="K349" i="5"/>
  <c r="C358" i="4"/>
  <c r="C349" i="5"/>
  <c r="D358" i="4"/>
  <c r="E349" i="5"/>
  <c r="I358" i="4"/>
  <c r="L349" i="5"/>
  <c r="J358" i="4"/>
  <c r="N349" i="5"/>
  <c r="L358" i="4"/>
  <c r="Q349" i="5"/>
  <c r="M358" i="4"/>
  <c r="R349" i="5"/>
  <c r="N358" i="4"/>
  <c r="T349" i="5"/>
  <c r="O358" i="4"/>
  <c r="U349" i="5"/>
  <c r="P358" i="4"/>
  <c r="W349" i="5"/>
  <c r="Q358" i="4"/>
  <c r="X349" i="5"/>
  <c r="S358" i="4"/>
  <c r="AA349" i="5"/>
  <c r="T358" i="4"/>
  <c r="AC349" i="5"/>
  <c r="U358" i="4"/>
  <c r="AD349" i="5"/>
  <c r="V358" i="4"/>
  <c r="AF349" i="5"/>
  <c r="W358" i="4"/>
  <c r="AG349" i="5"/>
  <c r="X358" i="4"/>
  <c r="AI349" i="5"/>
  <c r="Y358" i="4"/>
  <c r="AJ349" i="5"/>
  <c r="Z358" i="4"/>
  <c r="AL349" i="5"/>
  <c r="F349" i="5"/>
  <c r="H349" i="5"/>
  <c r="I349" i="5"/>
  <c r="Z349" i="5"/>
  <c r="AN349" i="5"/>
  <c r="O270" i="5"/>
  <c r="H42" i="4"/>
  <c r="K270" i="5"/>
  <c r="C42" i="4"/>
  <c r="C270" i="5"/>
  <c r="D42" i="4"/>
  <c r="E270" i="5"/>
  <c r="E42" i="4"/>
  <c r="F270" i="5"/>
  <c r="F42" i="4"/>
  <c r="H270" i="5"/>
  <c r="I270" i="5"/>
  <c r="I42" i="4"/>
  <c r="L270" i="5"/>
  <c r="J42" i="4"/>
  <c r="N270" i="5"/>
  <c r="L42" i="4"/>
  <c r="Q270" i="5"/>
  <c r="M42" i="4"/>
  <c r="R270" i="5"/>
  <c r="T270" i="5"/>
  <c r="U270" i="5"/>
  <c r="W270" i="5"/>
  <c r="Q42" i="4"/>
  <c r="X270" i="5"/>
  <c r="AA270" i="5"/>
  <c r="AH42" i="4"/>
  <c r="T42" i="4" a="1"/>
  <c r="T42" i="4"/>
  <c r="AC270" i="5"/>
  <c r="U42" i="4" a="1"/>
  <c r="U42" i="4"/>
  <c r="AD270" i="5"/>
  <c r="AF270" i="5"/>
  <c r="AG270" i="5"/>
  <c r="X42" i="4"/>
  <c r="AI270" i="5"/>
  <c r="Y42" i="4"/>
  <c r="AJ270" i="5"/>
  <c r="Z42" i="4"/>
  <c r="AL270" i="5"/>
  <c r="Z270" i="5"/>
  <c r="AN270" i="5"/>
  <c r="C72" i="4"/>
  <c r="C271" i="5"/>
  <c r="D72" i="4"/>
  <c r="E271" i="5"/>
  <c r="H72" i="4"/>
  <c r="K271" i="5"/>
  <c r="L72" i="4"/>
  <c r="Q271" i="5"/>
  <c r="M72" i="4"/>
  <c r="R271" i="5"/>
  <c r="T271" i="5"/>
  <c r="U271" i="5"/>
  <c r="P72" i="4"/>
  <c r="W271" i="5"/>
  <c r="Q72" i="4"/>
  <c r="X271" i="5"/>
  <c r="S72" i="4"/>
  <c r="AA271" i="5"/>
  <c r="AH72" i="4"/>
  <c r="T72" i="4" a="1"/>
  <c r="T72" i="4"/>
  <c r="AC271" i="5"/>
  <c r="U72" i="4" a="1"/>
  <c r="U72" i="4"/>
  <c r="AD271" i="5"/>
  <c r="AF271" i="5"/>
  <c r="AG271" i="5"/>
  <c r="X72" i="4"/>
  <c r="AI271" i="5"/>
  <c r="Y72" i="4"/>
  <c r="AJ271" i="5"/>
  <c r="Z72" i="4"/>
  <c r="AL271" i="5"/>
  <c r="F271" i="5"/>
  <c r="H271" i="5"/>
  <c r="I271" i="5"/>
  <c r="L271" i="5"/>
  <c r="N271" i="5"/>
  <c r="O271" i="5"/>
  <c r="Z271" i="5"/>
  <c r="AN271" i="5"/>
  <c r="B359" i="4"/>
  <c r="K359" i="4"/>
  <c r="O350" i="5"/>
  <c r="H359" i="4"/>
  <c r="K350" i="5"/>
  <c r="C359" i="4"/>
  <c r="C350" i="5"/>
  <c r="D359" i="4"/>
  <c r="E350" i="5"/>
  <c r="I359" i="4"/>
  <c r="L350" i="5"/>
  <c r="J359" i="4"/>
  <c r="N350" i="5"/>
  <c r="L359" i="4"/>
  <c r="Q350" i="5"/>
  <c r="M359" i="4"/>
  <c r="R350" i="5"/>
  <c r="N359" i="4"/>
  <c r="T350" i="5"/>
  <c r="O359" i="4"/>
  <c r="U350" i="5"/>
  <c r="P359" i="4"/>
  <c r="W350" i="5"/>
  <c r="Q359" i="4"/>
  <c r="X350" i="5"/>
  <c r="S359" i="4"/>
  <c r="AA350" i="5"/>
  <c r="T359" i="4"/>
  <c r="AC350" i="5"/>
  <c r="U359" i="4"/>
  <c r="AD350" i="5"/>
  <c r="V359" i="4"/>
  <c r="AF350" i="5"/>
  <c r="W359" i="4"/>
  <c r="AG350" i="5"/>
  <c r="X359" i="4"/>
  <c r="AI350" i="5"/>
  <c r="Y359" i="4"/>
  <c r="AJ350" i="5"/>
  <c r="Z359" i="4"/>
  <c r="AL350" i="5"/>
  <c r="F350" i="5"/>
  <c r="H350" i="5"/>
  <c r="I350" i="5"/>
  <c r="Z350" i="5"/>
  <c r="AN350" i="5"/>
  <c r="O272" i="5"/>
  <c r="K272" i="5"/>
  <c r="B128" i="4"/>
  <c r="C128" i="4"/>
  <c r="C272" i="5"/>
  <c r="D128" i="4"/>
  <c r="E272" i="5"/>
  <c r="L272" i="5"/>
  <c r="N272" i="5"/>
  <c r="L128" i="4"/>
  <c r="Q272" i="5"/>
  <c r="M128" i="4"/>
  <c r="R272" i="5"/>
  <c r="N128" i="4"/>
  <c r="T272" i="5"/>
  <c r="U272" i="5"/>
  <c r="P128" i="4"/>
  <c r="W272" i="5"/>
  <c r="X272" i="5"/>
  <c r="AA272" i="5"/>
  <c r="AH128" i="4"/>
  <c r="T128" i="4" a="1"/>
  <c r="T128" i="4"/>
  <c r="AC272" i="5"/>
  <c r="U128" i="4" a="1"/>
  <c r="U128" i="4"/>
  <c r="AD272" i="5"/>
  <c r="AF272" i="5"/>
  <c r="AG272" i="5"/>
  <c r="X128" i="4"/>
  <c r="AI272" i="5"/>
  <c r="Y128" i="4"/>
  <c r="AJ272" i="5"/>
  <c r="Z128" i="4"/>
  <c r="AL272" i="5"/>
  <c r="F272" i="5"/>
  <c r="H272" i="5"/>
  <c r="I272" i="5"/>
  <c r="Z272" i="5"/>
  <c r="AN272" i="5"/>
  <c r="B365" i="4"/>
  <c r="K365" i="4"/>
  <c r="O351" i="5"/>
  <c r="H365" i="4"/>
  <c r="K351" i="5"/>
  <c r="C365" i="4"/>
  <c r="C351" i="5"/>
  <c r="D365" i="4"/>
  <c r="E351" i="5"/>
  <c r="I365" i="4"/>
  <c r="L351" i="5"/>
  <c r="J365" i="4"/>
  <c r="N351" i="5"/>
  <c r="L365" i="4"/>
  <c r="Q351" i="5"/>
  <c r="M365" i="4"/>
  <c r="R351" i="5"/>
  <c r="N365" i="4"/>
  <c r="T351" i="5"/>
  <c r="O365" i="4"/>
  <c r="U351" i="5"/>
  <c r="P365" i="4"/>
  <c r="W351" i="5"/>
  <c r="Q365" i="4"/>
  <c r="X351" i="5"/>
  <c r="S365" i="4"/>
  <c r="AA351" i="5"/>
  <c r="T365" i="4"/>
  <c r="AC351" i="5"/>
  <c r="U365" i="4"/>
  <c r="AD351" i="5"/>
  <c r="V365" i="4"/>
  <c r="AF351" i="5"/>
  <c r="W365" i="4"/>
  <c r="AG351" i="5"/>
  <c r="X365" i="4"/>
  <c r="AI351" i="5"/>
  <c r="Y365" i="4"/>
  <c r="AJ351" i="5"/>
  <c r="Z365" i="4"/>
  <c r="AL351" i="5"/>
  <c r="F351" i="5"/>
  <c r="H351" i="5"/>
  <c r="I351" i="5"/>
  <c r="Z351" i="5"/>
  <c r="AN351" i="5"/>
  <c r="B360" i="4"/>
  <c r="K360" i="4"/>
  <c r="O352" i="5"/>
  <c r="H360" i="4"/>
  <c r="K352" i="5"/>
  <c r="C360" i="4"/>
  <c r="C352" i="5"/>
  <c r="D360" i="4"/>
  <c r="E352" i="5"/>
  <c r="I360" i="4"/>
  <c r="L352" i="5"/>
  <c r="J360" i="4"/>
  <c r="N352" i="5"/>
  <c r="L360" i="4"/>
  <c r="Q352" i="5"/>
  <c r="M360" i="4"/>
  <c r="R352" i="5"/>
  <c r="N360" i="4"/>
  <c r="T352" i="5"/>
  <c r="O360" i="4"/>
  <c r="U352" i="5"/>
  <c r="P360" i="4"/>
  <c r="W352" i="5"/>
  <c r="Q360" i="4"/>
  <c r="X352" i="5"/>
  <c r="S360" i="4"/>
  <c r="AA352" i="5"/>
  <c r="T360" i="4"/>
  <c r="AC352" i="5"/>
  <c r="U360" i="4"/>
  <c r="AD352" i="5"/>
  <c r="V360" i="4"/>
  <c r="AF352" i="5"/>
  <c r="W360" i="4"/>
  <c r="AG352" i="5"/>
  <c r="X360" i="4"/>
  <c r="AI352" i="5"/>
  <c r="Y360" i="4"/>
  <c r="AJ352" i="5"/>
  <c r="F352" i="5"/>
  <c r="H352" i="5"/>
  <c r="I352" i="5"/>
  <c r="Z352" i="5"/>
  <c r="AN352" i="5"/>
  <c r="B366" i="4"/>
  <c r="S366" i="4"/>
  <c r="AA353" i="5"/>
  <c r="P366" i="4"/>
  <c r="W353" i="5"/>
  <c r="K366" i="4"/>
  <c r="O353" i="5"/>
  <c r="H366" i="4"/>
  <c r="K353" i="5"/>
  <c r="C366" i="4"/>
  <c r="C353" i="5"/>
  <c r="D366" i="4"/>
  <c r="E353" i="5"/>
  <c r="I366" i="4"/>
  <c r="L353" i="5"/>
  <c r="J366" i="4"/>
  <c r="N353" i="5"/>
  <c r="L366" i="4"/>
  <c r="Q353" i="5"/>
  <c r="M366" i="4"/>
  <c r="R353" i="5"/>
  <c r="N366" i="4"/>
  <c r="T353" i="5"/>
  <c r="O366" i="4"/>
  <c r="U353" i="5"/>
  <c r="Q366" i="4"/>
  <c r="X353" i="5"/>
  <c r="R366" i="4"/>
  <c r="Z353" i="5"/>
  <c r="T366" i="4"/>
  <c r="AC353" i="5"/>
  <c r="U366" i="4"/>
  <c r="AD353" i="5"/>
  <c r="V366" i="4"/>
  <c r="AF353" i="5"/>
  <c r="W366" i="4"/>
  <c r="AG353" i="5"/>
  <c r="X366" i="4"/>
  <c r="AI353" i="5"/>
  <c r="Y366" i="4"/>
  <c r="AJ353" i="5"/>
  <c r="F353" i="5"/>
  <c r="H353" i="5"/>
  <c r="I353" i="5"/>
  <c r="AN353" i="5"/>
  <c r="B348" i="4"/>
  <c r="K348" i="4"/>
  <c r="O354" i="5"/>
  <c r="H348" i="4"/>
  <c r="K354" i="5"/>
  <c r="C348" i="4"/>
  <c r="C354" i="5"/>
  <c r="D348" i="4"/>
  <c r="E354" i="5"/>
  <c r="I348" i="4"/>
  <c r="L354" i="5"/>
  <c r="J348" i="4"/>
  <c r="N354" i="5"/>
  <c r="L348" i="4"/>
  <c r="Q354" i="5"/>
  <c r="M348" i="4"/>
  <c r="R354" i="5"/>
  <c r="N348" i="4"/>
  <c r="T354" i="5"/>
  <c r="O348" i="4"/>
  <c r="U354" i="5"/>
  <c r="P348" i="4"/>
  <c r="W354" i="5"/>
  <c r="Q348" i="4"/>
  <c r="X354" i="5"/>
  <c r="S348" i="4"/>
  <c r="AA354" i="5"/>
  <c r="T348" i="4"/>
  <c r="AC354" i="5"/>
  <c r="U348" i="4"/>
  <c r="AD354" i="5"/>
  <c r="V348" i="4"/>
  <c r="AF354" i="5"/>
  <c r="W348" i="4"/>
  <c r="AG354" i="5"/>
  <c r="X348" i="4"/>
  <c r="AI354" i="5"/>
  <c r="Y348" i="4"/>
  <c r="AJ354" i="5"/>
  <c r="Z348" i="4"/>
  <c r="AL354" i="5"/>
  <c r="F354" i="5"/>
  <c r="H354" i="5"/>
  <c r="I354" i="5"/>
  <c r="Z354" i="5"/>
  <c r="AN354" i="5"/>
  <c r="B159" i="4"/>
  <c r="C159" i="4"/>
  <c r="C273" i="5"/>
  <c r="D159" i="4"/>
  <c r="E273" i="5"/>
  <c r="H159" i="4"/>
  <c r="K273" i="5"/>
  <c r="L159" i="4"/>
  <c r="Q273" i="5"/>
  <c r="M159" i="4"/>
  <c r="R273" i="5"/>
  <c r="N159" i="4"/>
  <c r="T273" i="5"/>
  <c r="U273" i="5"/>
  <c r="P159" i="4"/>
  <c r="W273" i="5"/>
  <c r="Q159" i="4"/>
  <c r="X273" i="5"/>
  <c r="AA273" i="5"/>
  <c r="AH159" i="4"/>
  <c r="T159" i="4" a="1"/>
  <c r="T159" i="4"/>
  <c r="AC273" i="5"/>
  <c r="U159" i="4" a="1"/>
  <c r="U159" i="4"/>
  <c r="AD273" i="5"/>
  <c r="AF273" i="5"/>
  <c r="AG273" i="5"/>
  <c r="Y159" i="4"/>
  <c r="AJ273" i="5"/>
  <c r="Z159" i="4"/>
  <c r="AL273" i="5"/>
  <c r="F273" i="5"/>
  <c r="H273" i="5"/>
  <c r="I273" i="5"/>
  <c r="L273" i="5"/>
  <c r="N273" i="5"/>
  <c r="O273" i="5"/>
  <c r="Z273" i="5"/>
  <c r="AN273" i="5"/>
  <c r="O274" i="5"/>
  <c r="H3" i="4"/>
  <c r="K274" i="5"/>
  <c r="C3" i="4"/>
  <c r="C274" i="5"/>
  <c r="D3" i="4"/>
  <c r="E274" i="5"/>
  <c r="E3" i="4"/>
  <c r="F274" i="5"/>
  <c r="F3" i="4"/>
  <c r="H274" i="5"/>
  <c r="I274" i="5"/>
  <c r="I3" i="4"/>
  <c r="L274" i="5"/>
  <c r="J3" i="4"/>
  <c r="N274" i="5"/>
  <c r="L3" i="4"/>
  <c r="Q274" i="5"/>
  <c r="M3" i="4"/>
  <c r="R274" i="5"/>
  <c r="N3" i="4"/>
  <c r="T274" i="5"/>
  <c r="U274" i="5"/>
  <c r="P3" i="4"/>
  <c r="W274" i="5"/>
  <c r="Q3" i="4"/>
  <c r="X274" i="5"/>
  <c r="AA274" i="5"/>
  <c r="AH3" i="4"/>
  <c r="T3" i="4" a="1"/>
  <c r="T3" i="4"/>
  <c r="AC274" i="5"/>
  <c r="U3" i="4" a="1"/>
  <c r="U3" i="4"/>
  <c r="AD274" i="5"/>
  <c r="AF274" i="5"/>
  <c r="AG274" i="5"/>
  <c r="X3" i="4"/>
  <c r="AI274" i="5"/>
  <c r="Y3" i="4"/>
  <c r="AJ274" i="5"/>
  <c r="Z3" i="4"/>
  <c r="AL274" i="5"/>
  <c r="Z274" i="5"/>
  <c r="AN274" i="5"/>
  <c r="B160" i="4"/>
  <c r="C160" i="4"/>
  <c r="C275" i="5"/>
  <c r="D160" i="4"/>
  <c r="E275" i="5"/>
  <c r="H160" i="4"/>
  <c r="K275" i="5"/>
  <c r="L160" i="4"/>
  <c r="Q275" i="5"/>
  <c r="M160" i="4"/>
  <c r="R275" i="5"/>
  <c r="N160" i="4"/>
  <c r="T275" i="5"/>
  <c r="U275" i="5"/>
  <c r="P160" i="4"/>
  <c r="W275" i="5"/>
  <c r="Q160" i="4"/>
  <c r="X275" i="5"/>
  <c r="AA275" i="5"/>
  <c r="AH160" i="4"/>
  <c r="T160" i="4" a="1"/>
  <c r="T160" i="4"/>
  <c r="AC275" i="5"/>
  <c r="U160" i="4" a="1"/>
  <c r="U160" i="4"/>
  <c r="AD275" i="5"/>
  <c r="AF275" i="5"/>
  <c r="AG275" i="5"/>
  <c r="X160" i="4"/>
  <c r="AI275" i="5"/>
  <c r="Y160" i="4"/>
  <c r="AJ275" i="5"/>
  <c r="Z160" i="4"/>
  <c r="AL275" i="5"/>
  <c r="F275" i="5"/>
  <c r="L275" i="5"/>
  <c r="N275" i="5"/>
  <c r="O275" i="5"/>
  <c r="H275" i="5"/>
  <c r="I275" i="5"/>
  <c r="Z275" i="5"/>
  <c r="AN275" i="5"/>
  <c r="O276" i="5"/>
  <c r="K276" i="5"/>
  <c r="C109" i="4"/>
  <c r="C276" i="5"/>
  <c r="D109" i="4"/>
  <c r="E276" i="5"/>
  <c r="I109" i="4"/>
  <c r="L276" i="5"/>
  <c r="J109" i="4"/>
  <c r="N276" i="5"/>
  <c r="L109" i="4"/>
  <c r="Q276" i="5"/>
  <c r="M109" i="4"/>
  <c r="R276" i="5"/>
  <c r="N109" i="4"/>
  <c r="T276" i="5"/>
  <c r="U276" i="5"/>
  <c r="P109" i="4"/>
  <c r="W276" i="5"/>
  <c r="Q109" i="4"/>
  <c r="X276" i="5"/>
  <c r="S109" i="4"/>
  <c r="AA276" i="5"/>
  <c r="AH109" i="4"/>
  <c r="T109" i="4" a="1"/>
  <c r="T109" i="4"/>
  <c r="AC276" i="5"/>
  <c r="U109" i="4" a="1"/>
  <c r="U109" i="4"/>
  <c r="AD276" i="5"/>
  <c r="AF276" i="5"/>
  <c r="AG276" i="5"/>
  <c r="AI276" i="5"/>
  <c r="Y109" i="4"/>
  <c r="AJ276" i="5"/>
  <c r="Z109" i="4"/>
  <c r="AL276" i="5"/>
  <c r="F276" i="5"/>
  <c r="H276" i="5"/>
  <c r="I276" i="5"/>
  <c r="Z276" i="5"/>
  <c r="AN276" i="5"/>
  <c r="C45" i="4"/>
  <c r="C277" i="5"/>
  <c r="D45" i="4"/>
  <c r="E277" i="5"/>
  <c r="H45" i="4"/>
  <c r="K277" i="5"/>
  <c r="L45" i="4"/>
  <c r="Q277" i="5"/>
  <c r="M45" i="4"/>
  <c r="R277" i="5"/>
  <c r="T277" i="5"/>
  <c r="U277" i="5"/>
  <c r="P45" i="4"/>
  <c r="W277" i="5"/>
  <c r="Q45" i="4"/>
  <c r="X277" i="5"/>
  <c r="S45" i="4"/>
  <c r="AA277" i="5"/>
  <c r="AH45" i="4"/>
  <c r="T45" i="4" a="1"/>
  <c r="T45" i="4"/>
  <c r="AC277" i="5"/>
  <c r="U45" i="4" a="1"/>
  <c r="U45" i="4"/>
  <c r="AD277" i="5"/>
  <c r="AF277" i="5"/>
  <c r="AG277" i="5"/>
  <c r="X45" i="4"/>
  <c r="AI277" i="5"/>
  <c r="Y45" i="4"/>
  <c r="AJ277" i="5"/>
  <c r="Z45" i="4"/>
  <c r="AL277" i="5"/>
  <c r="F277" i="5"/>
  <c r="L277" i="5"/>
  <c r="N277" i="5"/>
  <c r="O277" i="5"/>
  <c r="H277" i="5"/>
  <c r="I277" i="5"/>
  <c r="Z277" i="5"/>
  <c r="AN277" i="5"/>
  <c r="O344" i="5"/>
  <c r="K344" i="5"/>
  <c r="C344" i="5"/>
  <c r="B331" i="4"/>
  <c r="D331" i="4"/>
  <c r="E344" i="5"/>
  <c r="I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V331" i="4"/>
  <c r="AF344" i="5"/>
  <c r="AG344" i="5"/>
  <c r="X331" i="4"/>
  <c r="AI344" i="5"/>
  <c r="Y331" i="4"/>
  <c r="AJ344" i="5"/>
  <c r="AL344" i="5"/>
  <c r="Z344" i="5"/>
  <c r="AN344" i="5"/>
  <c r="B345" i="4"/>
  <c r="K345" i="4"/>
  <c r="O355" i="5"/>
  <c r="H345" i="4"/>
  <c r="K355" i="5"/>
  <c r="C345" i="4"/>
  <c r="C355" i="5"/>
  <c r="D345" i="4"/>
  <c r="E355" i="5"/>
  <c r="I345" i="4"/>
  <c r="L355" i="5"/>
  <c r="J345" i="4"/>
  <c r="N355" i="5"/>
  <c r="L345" i="4"/>
  <c r="Q355" i="5"/>
  <c r="M345" i="4"/>
  <c r="R355" i="5"/>
  <c r="N345" i="4"/>
  <c r="T355" i="5"/>
  <c r="O345" i="4"/>
  <c r="U355" i="5"/>
  <c r="P345" i="4"/>
  <c r="W355" i="5"/>
  <c r="Q345" i="4"/>
  <c r="X355" i="5"/>
  <c r="S345" i="4"/>
  <c r="AA355" i="5"/>
  <c r="T345" i="4"/>
  <c r="AC355" i="5"/>
  <c r="U345" i="4"/>
  <c r="AD355" i="5"/>
  <c r="V345" i="4"/>
  <c r="AF355" i="5"/>
  <c r="W345" i="4"/>
  <c r="AG355" i="5"/>
  <c r="X345" i="4"/>
  <c r="AI355" i="5"/>
  <c r="Y345" i="4"/>
  <c r="AJ355" i="5"/>
  <c r="Z345" i="4"/>
  <c r="AL355" i="5"/>
  <c r="F355" i="5"/>
  <c r="H355" i="5"/>
  <c r="I355" i="5"/>
  <c r="Z355" i="5"/>
  <c r="AN355" i="5"/>
  <c r="B355" i="4"/>
  <c r="K355" i="4"/>
  <c r="O356" i="5"/>
  <c r="H355" i="4"/>
  <c r="K356" i="5"/>
  <c r="C355" i="4"/>
  <c r="C356" i="5"/>
  <c r="D355" i="4"/>
  <c r="E356" i="5"/>
  <c r="I355" i="4"/>
  <c r="L356" i="5"/>
  <c r="J355" i="4"/>
  <c r="N356" i="5"/>
  <c r="L355" i="4"/>
  <c r="Q356" i="5"/>
  <c r="M355" i="4"/>
  <c r="R356" i="5"/>
  <c r="N355" i="4"/>
  <c r="T356" i="5"/>
  <c r="O355" i="4"/>
  <c r="U356" i="5"/>
  <c r="P355" i="4"/>
  <c r="W356" i="5"/>
  <c r="Q355" i="4"/>
  <c r="X356" i="5"/>
  <c r="S355" i="4"/>
  <c r="AA356" i="5"/>
  <c r="T355" i="4"/>
  <c r="AC356" i="5"/>
  <c r="U355" i="4"/>
  <c r="AD356" i="5"/>
  <c r="V355" i="4"/>
  <c r="AF356" i="5"/>
  <c r="W355" i="4"/>
  <c r="AG356" i="5"/>
  <c r="X355" i="4"/>
  <c r="AI356" i="5"/>
  <c r="Y355" i="4"/>
  <c r="AJ356" i="5"/>
  <c r="Z355" i="4"/>
  <c r="AL356" i="5"/>
  <c r="F356" i="5"/>
  <c r="H356" i="5"/>
  <c r="I356" i="5"/>
  <c r="Z356" i="5"/>
  <c r="AN356" i="5"/>
  <c r="B356" i="4"/>
  <c r="K356" i="4"/>
  <c r="O357" i="5"/>
  <c r="H356" i="4"/>
  <c r="K357" i="5"/>
  <c r="C356" i="4"/>
  <c r="C357" i="5"/>
  <c r="D356" i="4"/>
  <c r="E357" i="5"/>
  <c r="I356" i="4"/>
  <c r="L357" i="5"/>
  <c r="J356" i="4"/>
  <c r="N357" i="5"/>
  <c r="L356" i="4"/>
  <c r="Q357" i="5"/>
  <c r="M356" i="4"/>
  <c r="R357" i="5"/>
  <c r="N356" i="4"/>
  <c r="T357" i="5"/>
  <c r="O356" i="4"/>
  <c r="U357" i="5"/>
  <c r="P356" i="4"/>
  <c r="W357" i="5"/>
  <c r="Q356" i="4"/>
  <c r="X357" i="5"/>
  <c r="S356" i="4"/>
  <c r="AA357" i="5"/>
  <c r="T356" i="4"/>
  <c r="AC357" i="5"/>
  <c r="U356" i="4"/>
  <c r="AD357" i="5"/>
  <c r="V356" i="4"/>
  <c r="AF357" i="5"/>
  <c r="W356" i="4"/>
  <c r="AG357" i="5"/>
  <c r="X356" i="4"/>
  <c r="AI357" i="5"/>
  <c r="Y356" i="4"/>
  <c r="AJ357" i="5"/>
  <c r="Z356" i="4"/>
  <c r="AL357" i="5"/>
  <c r="F357" i="5"/>
  <c r="H357" i="5"/>
  <c r="I357" i="5"/>
  <c r="Z357" i="5"/>
  <c r="AN357" i="5"/>
  <c r="B361" i="4"/>
  <c r="K361" i="4"/>
  <c r="O358" i="5"/>
  <c r="H361" i="4"/>
  <c r="K358" i="5"/>
  <c r="C361" i="4"/>
  <c r="C358" i="5"/>
  <c r="D361" i="4"/>
  <c r="E358" i="5"/>
  <c r="I361" i="4"/>
  <c r="L358" i="5"/>
  <c r="J361" i="4"/>
  <c r="N358" i="5"/>
  <c r="L361" i="4"/>
  <c r="Q358" i="5"/>
  <c r="M361" i="4"/>
  <c r="R358" i="5"/>
  <c r="N361" i="4"/>
  <c r="T358" i="5"/>
  <c r="O361" i="4"/>
  <c r="U358" i="5"/>
  <c r="P361" i="4"/>
  <c r="W358" i="5"/>
  <c r="Q361" i="4"/>
  <c r="X358" i="5"/>
  <c r="S361" i="4"/>
  <c r="AA358" i="5"/>
  <c r="T361" i="4"/>
  <c r="AC358" i="5"/>
  <c r="U361" i="4"/>
  <c r="AD358" i="5"/>
  <c r="V361" i="4"/>
  <c r="AF358" i="5"/>
  <c r="W361" i="4"/>
  <c r="AG358" i="5"/>
  <c r="X361" i="4"/>
  <c r="AI358" i="5"/>
  <c r="Y361" i="4"/>
  <c r="AJ358" i="5"/>
  <c r="Z361" i="4"/>
  <c r="AL358" i="5"/>
  <c r="F358" i="5"/>
  <c r="H358" i="5"/>
  <c r="I358" i="5"/>
  <c r="Z358" i="5"/>
  <c r="AN358" i="5"/>
  <c r="B346" i="4"/>
  <c r="K24" i="2"/>
  <c r="K346" i="4"/>
  <c r="O359" i="5"/>
  <c r="H346" i="4"/>
  <c r="K359" i="5"/>
  <c r="C346" i="4"/>
  <c r="C359" i="5"/>
  <c r="D346" i="4"/>
  <c r="E359" i="5"/>
  <c r="I346" i="4"/>
  <c r="L359" i="5"/>
  <c r="J346" i="4"/>
  <c r="N359" i="5"/>
  <c r="L346" i="4"/>
  <c r="Q359" i="5"/>
  <c r="M346" i="4"/>
  <c r="R359" i="5"/>
  <c r="N346" i="4"/>
  <c r="T359" i="5"/>
  <c r="O346" i="4"/>
  <c r="U359" i="5"/>
  <c r="P346" i="4"/>
  <c r="W359" i="5"/>
  <c r="Q346" i="4"/>
  <c r="X359" i="5"/>
  <c r="S346" i="4"/>
  <c r="AA359" i="5"/>
  <c r="T24" i="2"/>
  <c r="T346" i="4"/>
  <c r="AC359" i="5"/>
  <c r="U24" i="2"/>
  <c r="U346" i="4"/>
  <c r="AD359" i="5"/>
  <c r="V24" i="2"/>
  <c r="V346" i="4"/>
  <c r="AF359" i="5"/>
  <c r="W24" i="2"/>
  <c r="W346" i="4"/>
  <c r="AG359" i="5"/>
  <c r="X346" i="4"/>
  <c r="AI359" i="5"/>
  <c r="Y346" i="4"/>
  <c r="AJ359" i="5"/>
  <c r="Z346" i="4"/>
  <c r="AL359" i="5"/>
  <c r="F359" i="5"/>
  <c r="H359" i="5"/>
  <c r="I359" i="5"/>
  <c r="Z359" i="5"/>
  <c r="AN359" i="5"/>
  <c r="B362" i="4"/>
  <c r="K362" i="4"/>
  <c r="O360" i="5"/>
  <c r="H362" i="4"/>
  <c r="K360" i="5"/>
  <c r="C362" i="4"/>
  <c r="C360" i="5"/>
  <c r="D362" i="4"/>
  <c r="E360" i="5"/>
  <c r="I362" i="4"/>
  <c r="L360" i="5"/>
  <c r="J362" i="4"/>
  <c r="N360" i="5"/>
  <c r="L362" i="4"/>
  <c r="Q360" i="5"/>
  <c r="M362" i="4"/>
  <c r="R360" i="5"/>
  <c r="N362" i="4"/>
  <c r="T360" i="5"/>
  <c r="O362" i="4"/>
  <c r="U360" i="5"/>
  <c r="P362" i="4"/>
  <c r="W360" i="5"/>
  <c r="Q362" i="4"/>
  <c r="X360" i="5"/>
  <c r="S362" i="4"/>
  <c r="AA360" i="5"/>
  <c r="T362" i="4"/>
  <c r="AC360" i="5"/>
  <c r="U362" i="4"/>
  <c r="AD360" i="5"/>
  <c r="V362" i="4"/>
  <c r="AF360" i="5"/>
  <c r="W362" i="4"/>
  <c r="AG360" i="5"/>
  <c r="X362" i="4"/>
  <c r="AI360" i="5"/>
  <c r="Y362" i="4"/>
  <c r="AJ360" i="5"/>
  <c r="Z362" i="4"/>
  <c r="AL360" i="5"/>
  <c r="F360" i="5"/>
  <c r="H360" i="5"/>
  <c r="I360" i="5"/>
  <c r="Z360" i="5"/>
  <c r="AN360" i="5"/>
  <c r="B363" i="4"/>
  <c r="K363" i="4"/>
  <c r="O361" i="5"/>
  <c r="H363" i="4"/>
  <c r="K361" i="5"/>
  <c r="C363" i="4"/>
  <c r="C361" i="5"/>
  <c r="D363" i="4"/>
  <c r="E361" i="5"/>
  <c r="I363" i="4"/>
  <c r="L361" i="5"/>
  <c r="J363" i="4"/>
  <c r="N361" i="5"/>
  <c r="L363" i="4"/>
  <c r="Q361" i="5"/>
  <c r="M363" i="4"/>
  <c r="R361" i="5"/>
  <c r="N363" i="4"/>
  <c r="T361" i="5"/>
  <c r="O363" i="4"/>
  <c r="U361" i="5"/>
  <c r="P363" i="4"/>
  <c r="W361" i="5"/>
  <c r="Q363" i="4"/>
  <c r="X361" i="5"/>
  <c r="S363" i="4"/>
  <c r="AA361" i="5"/>
  <c r="T363" i="4"/>
  <c r="AC361" i="5"/>
  <c r="U363" i="4"/>
  <c r="AD361" i="5"/>
  <c r="V363" i="4"/>
  <c r="AF361" i="5"/>
  <c r="W363" i="4"/>
  <c r="AG361" i="5"/>
  <c r="X363" i="4"/>
  <c r="AI361" i="5"/>
  <c r="Y363" i="4"/>
  <c r="AJ361" i="5"/>
  <c r="Z363" i="4"/>
  <c r="AL361" i="5"/>
  <c r="F361" i="5"/>
  <c r="H361" i="5"/>
  <c r="I361" i="5"/>
  <c r="Z361" i="5"/>
  <c r="AN361" i="5"/>
  <c r="B364" i="4"/>
  <c r="K364" i="4"/>
  <c r="O362" i="5"/>
  <c r="H364" i="4"/>
  <c r="K362" i="5"/>
  <c r="C364" i="4"/>
  <c r="C362" i="5"/>
  <c r="D364" i="4"/>
  <c r="E362" i="5"/>
  <c r="I364" i="4"/>
  <c r="L362" i="5"/>
  <c r="J364" i="4"/>
  <c r="N362" i="5"/>
  <c r="L364" i="4"/>
  <c r="Q362" i="5"/>
  <c r="M364" i="4"/>
  <c r="R362" i="5"/>
  <c r="N364" i="4"/>
  <c r="T362" i="5"/>
  <c r="O364" i="4"/>
  <c r="U362" i="5"/>
  <c r="P364" i="4"/>
  <c r="W362" i="5"/>
  <c r="Q364" i="4"/>
  <c r="X362" i="5"/>
  <c r="S364" i="4"/>
  <c r="AA362" i="5"/>
  <c r="T364" i="4"/>
  <c r="AC362" i="5"/>
  <c r="U364" i="4"/>
  <c r="AD362" i="5"/>
  <c r="V364" i="4"/>
  <c r="AF362" i="5"/>
  <c r="W364" i="4"/>
  <c r="AG362" i="5"/>
  <c r="X364" i="4"/>
  <c r="AI362" i="5"/>
  <c r="Y364" i="4"/>
  <c r="AJ362" i="5"/>
  <c r="Z364" i="4"/>
  <c r="AL362" i="5"/>
  <c r="F362" i="5"/>
  <c r="H362" i="5"/>
  <c r="I362" i="5"/>
  <c r="Z362" i="5"/>
  <c r="AN362" i="5"/>
  <c r="C169" i="4"/>
  <c r="C278" i="5"/>
  <c r="D169" i="4"/>
  <c r="E278" i="5"/>
  <c r="H169" i="4"/>
  <c r="K278" i="5"/>
  <c r="L169" i="4"/>
  <c r="Q278" i="5"/>
  <c r="M169" i="4"/>
  <c r="R278" i="5"/>
  <c r="T278" i="5"/>
  <c r="U278" i="5"/>
  <c r="P169" i="4"/>
  <c r="W278" i="5"/>
  <c r="Q169" i="4"/>
  <c r="X278" i="5"/>
  <c r="S169" i="4"/>
  <c r="AA278" i="5"/>
  <c r="AH169" i="4"/>
  <c r="T169" i="4" a="1"/>
  <c r="T169" i="4"/>
  <c r="AC278" i="5"/>
  <c r="U169" i="4" a="1"/>
  <c r="U169" i="4"/>
  <c r="AD278" i="5"/>
  <c r="AF278" i="5"/>
  <c r="AG278" i="5"/>
  <c r="X169" i="4"/>
  <c r="AI278" i="5"/>
  <c r="Y169" i="4"/>
  <c r="AJ278" i="5"/>
  <c r="Z169" i="4"/>
  <c r="AL278" i="5"/>
  <c r="F278" i="5"/>
  <c r="H278" i="5"/>
  <c r="I278" i="5"/>
  <c r="L278" i="5"/>
  <c r="N278" i="5"/>
  <c r="O278" i="5"/>
  <c r="Z278" i="5"/>
  <c r="AN278" i="5"/>
  <c r="C170" i="4"/>
  <c r="C279" i="5"/>
  <c r="D170" i="4"/>
  <c r="E279" i="5"/>
  <c r="H170" i="4"/>
  <c r="K279" i="5"/>
  <c r="L170" i="4"/>
  <c r="Q279" i="5"/>
  <c r="M170" i="4"/>
  <c r="R279" i="5"/>
  <c r="T279" i="5"/>
  <c r="U279" i="5"/>
  <c r="P170" i="4"/>
  <c r="W279" i="5"/>
  <c r="Q170" i="4"/>
  <c r="X279" i="5"/>
  <c r="S170" i="4"/>
  <c r="AA279" i="5"/>
  <c r="AH170" i="4"/>
  <c r="T170" i="4" a="1"/>
  <c r="T170" i="4"/>
  <c r="AC279" i="5"/>
  <c r="U170" i="4" a="1"/>
  <c r="U170" i="4"/>
  <c r="AD279" i="5"/>
  <c r="AF279" i="5"/>
  <c r="AG279" i="5"/>
  <c r="X170" i="4"/>
  <c r="AI279" i="5"/>
  <c r="Y170" i="4"/>
  <c r="AJ279" i="5"/>
  <c r="Z170" i="4"/>
  <c r="AL279" i="5"/>
  <c r="F279" i="5"/>
  <c r="H279" i="5"/>
  <c r="I279" i="5"/>
  <c r="L279" i="5"/>
  <c r="N279" i="5"/>
  <c r="O279" i="5"/>
  <c r="Z279" i="5"/>
  <c r="AN279" i="5"/>
  <c r="C171" i="4"/>
  <c r="C280" i="5"/>
  <c r="D171" i="4"/>
  <c r="E280" i="5"/>
  <c r="H171" i="4"/>
  <c r="K280" i="5"/>
  <c r="L171" i="4"/>
  <c r="Q280" i="5"/>
  <c r="M171" i="4"/>
  <c r="R280" i="5"/>
  <c r="T280" i="5"/>
  <c r="U280" i="5"/>
  <c r="P171" i="4"/>
  <c r="W280" i="5"/>
  <c r="Q171" i="4"/>
  <c r="X280" i="5"/>
  <c r="S171" i="4"/>
  <c r="AA280" i="5"/>
  <c r="AH171" i="4"/>
  <c r="T171" i="4" a="1"/>
  <c r="T171" i="4"/>
  <c r="AC280" i="5"/>
  <c r="U171" i="4" a="1"/>
  <c r="U171" i="4"/>
  <c r="AD280" i="5"/>
  <c r="AF280" i="5"/>
  <c r="AG280" i="5"/>
  <c r="X171" i="4"/>
  <c r="AI280" i="5"/>
  <c r="Y171" i="4"/>
  <c r="AJ280" i="5"/>
  <c r="Z171" i="4"/>
  <c r="AL280" i="5"/>
  <c r="F280" i="5"/>
  <c r="H280" i="5"/>
  <c r="I280" i="5"/>
  <c r="L280" i="5"/>
  <c r="N280" i="5"/>
  <c r="O280" i="5"/>
  <c r="Z280" i="5"/>
  <c r="AN280" i="5"/>
  <c r="B134" i="4"/>
  <c r="C134" i="4"/>
  <c r="C281" i="5"/>
  <c r="D134" i="4"/>
  <c r="E281" i="5"/>
  <c r="K281" i="5"/>
  <c r="L134" i="4"/>
  <c r="Q281" i="5"/>
  <c r="M134" i="4"/>
  <c r="R281" i="5"/>
  <c r="N134" i="4"/>
  <c r="T281" i="5"/>
  <c r="U281" i="5"/>
  <c r="P134" i="4"/>
  <c r="W281" i="5"/>
  <c r="Q134" i="4"/>
  <c r="X281" i="5"/>
  <c r="S134" i="4"/>
  <c r="AA281" i="5"/>
  <c r="AH134" i="4"/>
  <c r="T134" i="4" a="1"/>
  <c r="T134" i="4"/>
  <c r="AC281" i="5"/>
  <c r="U134" i="4" a="1"/>
  <c r="U134" i="4"/>
  <c r="AD281" i="5"/>
  <c r="AF281" i="5"/>
  <c r="AG281" i="5"/>
  <c r="X134" i="4"/>
  <c r="AI281" i="5"/>
  <c r="Y134" i="4"/>
  <c r="AJ281" i="5"/>
  <c r="Z134" i="4"/>
  <c r="AL281" i="5"/>
  <c r="F281" i="5"/>
  <c r="H281" i="5"/>
  <c r="I281" i="5"/>
  <c r="L281" i="5"/>
  <c r="N281" i="5"/>
  <c r="O281" i="5"/>
  <c r="Z281" i="5"/>
  <c r="AN281" i="5"/>
  <c r="B135" i="4"/>
  <c r="C135" i="4"/>
  <c r="C282" i="5"/>
  <c r="D135" i="4"/>
  <c r="E282" i="5"/>
  <c r="K282" i="5"/>
  <c r="L135" i="4"/>
  <c r="Q282" i="5"/>
  <c r="M135" i="4"/>
  <c r="R282" i="5"/>
  <c r="N135" i="4"/>
  <c r="T282" i="5"/>
  <c r="U282" i="5"/>
  <c r="P135" i="4"/>
  <c r="W282" i="5"/>
  <c r="Q135" i="4"/>
  <c r="X282" i="5"/>
  <c r="S135" i="4"/>
  <c r="AA282" i="5"/>
  <c r="AH135" i="4"/>
  <c r="T135" i="4" a="1"/>
  <c r="T135" i="4"/>
  <c r="AC282" i="5"/>
  <c r="U135" i="4" a="1"/>
  <c r="U135" i="4"/>
  <c r="AD282" i="5"/>
  <c r="AF282" i="5"/>
  <c r="AG282" i="5"/>
  <c r="X135" i="4"/>
  <c r="AI282" i="5"/>
  <c r="Y135" i="4"/>
  <c r="AJ282" i="5"/>
  <c r="Z135" i="4"/>
  <c r="AL282" i="5"/>
  <c r="F282" i="5"/>
  <c r="H282" i="5"/>
  <c r="I282" i="5"/>
  <c r="L282" i="5"/>
  <c r="N282" i="5"/>
  <c r="O282" i="5"/>
  <c r="Z282" i="5"/>
  <c r="AN282" i="5"/>
  <c r="C207" i="4"/>
  <c r="C283" i="5"/>
  <c r="D207" i="4"/>
  <c r="E283" i="5"/>
  <c r="H207" i="4"/>
  <c r="K283" i="5"/>
  <c r="L207" i="4"/>
  <c r="Q283" i="5"/>
  <c r="M207" i="4"/>
  <c r="R283" i="5"/>
  <c r="T283" i="5"/>
  <c r="U283" i="5"/>
  <c r="P207" i="4"/>
  <c r="W283" i="5"/>
  <c r="Q207" i="4"/>
  <c r="X283" i="5"/>
  <c r="S207" i="4"/>
  <c r="AA283" i="5"/>
  <c r="AH207" i="4"/>
  <c r="T207" i="4" a="1"/>
  <c r="T207" i="4"/>
  <c r="AC283" i="5"/>
  <c r="U207" i="4" a="1"/>
  <c r="U207" i="4"/>
  <c r="AD283" i="5"/>
  <c r="AF283" i="5"/>
  <c r="AG283" i="5"/>
  <c r="X207" i="4"/>
  <c r="AI283" i="5"/>
  <c r="Y207" i="4"/>
  <c r="AJ283" i="5"/>
  <c r="Z207" i="4"/>
  <c r="AL283" i="5"/>
  <c r="F283" i="5"/>
  <c r="H283" i="5"/>
  <c r="I283" i="5"/>
  <c r="L283" i="5"/>
  <c r="N283" i="5"/>
  <c r="O283" i="5"/>
  <c r="Z283" i="5"/>
  <c r="AN283" i="5"/>
  <c r="C208" i="4"/>
  <c r="C284" i="5"/>
  <c r="D208" i="4"/>
  <c r="E284" i="5"/>
  <c r="H208" i="4"/>
  <c r="K284" i="5"/>
  <c r="L208" i="4"/>
  <c r="Q284" i="5"/>
  <c r="M208" i="4"/>
  <c r="R284" i="5"/>
  <c r="T284" i="5"/>
  <c r="U284" i="5"/>
  <c r="P208" i="4"/>
  <c r="W284" i="5"/>
  <c r="Q208" i="4"/>
  <c r="X284" i="5"/>
  <c r="S208" i="4"/>
  <c r="AA284" i="5"/>
  <c r="AH208" i="4"/>
  <c r="T208" i="4" a="1"/>
  <c r="T208" i="4"/>
  <c r="AC284" i="5"/>
  <c r="U208" i="4" a="1"/>
  <c r="U208" i="4"/>
  <c r="AD284" i="5"/>
  <c r="AF284" i="5"/>
  <c r="AG284" i="5"/>
  <c r="X208" i="4"/>
  <c r="AI284" i="5"/>
  <c r="Y208" i="4"/>
  <c r="AJ284" i="5"/>
  <c r="Z208" i="4"/>
  <c r="AL284" i="5"/>
  <c r="F284" i="5"/>
  <c r="H284" i="5"/>
  <c r="I284" i="5"/>
  <c r="L284" i="5"/>
  <c r="N284" i="5"/>
  <c r="O284" i="5"/>
  <c r="Z284" i="5"/>
  <c r="AN284" i="5"/>
  <c r="C172" i="4"/>
  <c r="C285" i="5"/>
  <c r="D172" i="4"/>
  <c r="E285" i="5"/>
  <c r="H172" i="4"/>
  <c r="K285" i="5"/>
  <c r="L172" i="4"/>
  <c r="Q285" i="5"/>
  <c r="M172" i="4"/>
  <c r="R285" i="5"/>
  <c r="T285" i="5"/>
  <c r="U285" i="5"/>
  <c r="P172" i="4"/>
  <c r="W285" i="5"/>
  <c r="Q172" i="4"/>
  <c r="X285" i="5"/>
  <c r="S172" i="4"/>
  <c r="AA285" i="5"/>
  <c r="AH172" i="4"/>
  <c r="T172" i="4" a="1"/>
  <c r="T172" i="4"/>
  <c r="AC285" i="5"/>
  <c r="U172" i="4" a="1"/>
  <c r="U172" i="4"/>
  <c r="AD285" i="5"/>
  <c r="AF285" i="5"/>
  <c r="AG285" i="5"/>
  <c r="X172" i="4"/>
  <c r="AI285" i="5"/>
  <c r="Y172" i="4"/>
  <c r="AJ285" i="5"/>
  <c r="Z172" i="4"/>
  <c r="AL285" i="5"/>
  <c r="F285" i="5"/>
  <c r="H285" i="5"/>
  <c r="I285" i="5"/>
  <c r="L285" i="5"/>
  <c r="N285" i="5"/>
  <c r="O285" i="5"/>
  <c r="Z285" i="5"/>
  <c r="AN285" i="5"/>
  <c r="C173" i="4"/>
  <c r="C286" i="5"/>
  <c r="D173" i="4"/>
  <c r="E286" i="5"/>
  <c r="H173" i="4"/>
  <c r="K286" i="5"/>
  <c r="L173" i="4"/>
  <c r="Q286" i="5"/>
  <c r="M173" i="4"/>
  <c r="R286" i="5"/>
  <c r="T286" i="5"/>
  <c r="U286" i="5"/>
  <c r="P173" i="4"/>
  <c r="W286" i="5"/>
  <c r="Q173" i="4"/>
  <c r="X286" i="5"/>
  <c r="S173" i="4"/>
  <c r="AA286" i="5"/>
  <c r="AH173" i="4"/>
  <c r="T173" i="4" a="1"/>
  <c r="T173" i="4"/>
  <c r="AC286" i="5"/>
  <c r="U173" i="4" a="1"/>
  <c r="U173" i="4"/>
  <c r="AD286" i="5"/>
  <c r="AF286" i="5"/>
  <c r="AG286" i="5"/>
  <c r="X173" i="4"/>
  <c r="AI286" i="5"/>
  <c r="Y173" i="4"/>
  <c r="AJ286" i="5"/>
  <c r="Z173" i="4"/>
  <c r="AL286" i="5"/>
  <c r="F286" i="5"/>
  <c r="H286" i="5"/>
  <c r="I286" i="5"/>
  <c r="L286" i="5"/>
  <c r="N286" i="5"/>
  <c r="O286" i="5"/>
  <c r="Z286" i="5"/>
  <c r="AN286" i="5"/>
  <c r="C174" i="4"/>
  <c r="C287" i="5"/>
  <c r="D174" i="4"/>
  <c r="E287" i="5"/>
  <c r="H174" i="4"/>
  <c r="K287" i="5"/>
  <c r="L174" i="4"/>
  <c r="Q287" i="5"/>
  <c r="M174" i="4"/>
  <c r="R287" i="5"/>
  <c r="T287" i="5"/>
  <c r="U287" i="5"/>
  <c r="P174" i="4"/>
  <c r="W287" i="5"/>
  <c r="Q174" i="4"/>
  <c r="X287" i="5"/>
  <c r="S174" i="4"/>
  <c r="AA287" i="5"/>
  <c r="AH174" i="4"/>
  <c r="T174" i="4" a="1"/>
  <c r="T174" i="4"/>
  <c r="AC287" i="5"/>
  <c r="U174" i="4" a="1"/>
  <c r="U174" i="4"/>
  <c r="AD287" i="5"/>
  <c r="AF287" i="5"/>
  <c r="AG287" i="5"/>
  <c r="X174" i="4"/>
  <c r="AI287" i="5"/>
  <c r="Y174" i="4"/>
  <c r="AJ287" i="5"/>
  <c r="Z174" i="4"/>
  <c r="AL287" i="5"/>
  <c r="F287" i="5"/>
  <c r="H287" i="5"/>
  <c r="I287" i="5"/>
  <c r="L287" i="5"/>
  <c r="N287" i="5"/>
  <c r="O287" i="5"/>
  <c r="Z287" i="5"/>
  <c r="AN287" i="5"/>
  <c r="C175" i="4"/>
  <c r="C288" i="5"/>
  <c r="D175" i="4"/>
  <c r="E288" i="5"/>
  <c r="H175" i="4"/>
  <c r="K288" i="5"/>
  <c r="L175" i="4"/>
  <c r="Q288" i="5"/>
  <c r="M175" i="4"/>
  <c r="R288" i="5"/>
  <c r="T288" i="5"/>
  <c r="U288" i="5"/>
  <c r="P175" i="4"/>
  <c r="W288" i="5"/>
  <c r="Q175" i="4"/>
  <c r="X288" i="5"/>
  <c r="S175" i="4"/>
  <c r="AA288" i="5"/>
  <c r="AH175" i="4"/>
  <c r="T175" i="4" a="1"/>
  <c r="T175" i="4"/>
  <c r="AC288" i="5"/>
  <c r="U175" i="4" a="1"/>
  <c r="U175" i="4"/>
  <c r="AD288" i="5"/>
  <c r="AF288" i="5"/>
  <c r="AG288" i="5"/>
  <c r="X175" i="4"/>
  <c r="AI288" i="5"/>
  <c r="Y175" i="4"/>
  <c r="AJ288" i="5"/>
  <c r="Z175" i="4"/>
  <c r="AL288" i="5"/>
  <c r="F288" i="5"/>
  <c r="H288" i="5"/>
  <c r="I288" i="5"/>
  <c r="L288" i="5"/>
  <c r="N288" i="5"/>
  <c r="O288" i="5"/>
  <c r="Z288" i="5"/>
  <c r="AN288" i="5"/>
  <c r="C88" i="4"/>
  <c r="C290" i="5"/>
  <c r="D88" i="4"/>
  <c r="E290" i="5"/>
  <c r="H88" i="4"/>
  <c r="K290" i="5"/>
  <c r="L88" i="4"/>
  <c r="Q290" i="5"/>
  <c r="M88" i="4"/>
  <c r="R290" i="5"/>
  <c r="N88" i="4"/>
  <c r="T290" i="5"/>
  <c r="U290" i="5"/>
  <c r="P88" i="4"/>
  <c r="W290" i="5"/>
  <c r="Q88" i="4"/>
  <c r="X290" i="5"/>
  <c r="S88" i="4"/>
  <c r="AA290" i="5"/>
  <c r="AH88" i="4"/>
  <c r="T88" i="4" a="1"/>
  <c r="T88" i="4"/>
  <c r="AC290" i="5"/>
  <c r="U88" i="4" a="1"/>
  <c r="U88" i="4"/>
  <c r="AD290" i="5"/>
  <c r="AF290" i="5"/>
  <c r="AG290" i="5"/>
  <c r="X88" i="4"/>
  <c r="AI290" i="5"/>
  <c r="Y88" i="4"/>
  <c r="AJ290" i="5"/>
  <c r="Z88" i="4"/>
  <c r="AL290" i="5"/>
  <c r="F290" i="5"/>
  <c r="H290" i="5"/>
  <c r="I290" i="5"/>
  <c r="L290" i="5"/>
  <c r="N290" i="5"/>
  <c r="O290" i="5"/>
  <c r="Z290" i="5"/>
  <c r="AN290" i="5"/>
  <c r="B97" i="4"/>
  <c r="C97" i="4"/>
  <c r="C291" i="5"/>
  <c r="D97" i="4"/>
  <c r="E291" i="5"/>
  <c r="K291" i="5"/>
  <c r="L97" i="4"/>
  <c r="Q291" i="5"/>
  <c r="M97" i="4"/>
  <c r="R291" i="5"/>
  <c r="T291" i="5"/>
  <c r="U291" i="5"/>
  <c r="P97" i="4"/>
  <c r="W291" i="5"/>
  <c r="Q97" i="4"/>
  <c r="X291" i="5"/>
  <c r="S97" i="4"/>
  <c r="AA291" i="5"/>
  <c r="AH97" i="4"/>
  <c r="T97" i="4" a="1"/>
  <c r="T97" i="4"/>
  <c r="AC291" i="5"/>
  <c r="U97" i="4" a="1"/>
  <c r="U97" i="4"/>
  <c r="AD291" i="5"/>
  <c r="AF291" i="5"/>
  <c r="AG291" i="5"/>
  <c r="X97" i="4"/>
  <c r="AI291" i="5"/>
  <c r="Y97" i="4"/>
  <c r="AJ291" i="5"/>
  <c r="Z97" i="4"/>
  <c r="AL291" i="5"/>
  <c r="F291" i="5"/>
  <c r="H291" i="5"/>
  <c r="I291" i="5"/>
  <c r="L291" i="5"/>
  <c r="N291" i="5"/>
  <c r="O291" i="5"/>
  <c r="Z291" i="5"/>
  <c r="AN291" i="5"/>
  <c r="O306" i="5"/>
  <c r="K306" i="5"/>
  <c r="B298" i="4"/>
  <c r="C298" i="4"/>
  <c r="C306" i="5"/>
  <c r="D298" i="4"/>
  <c r="E306" i="5"/>
  <c r="I298" i="4"/>
  <c r="L306" i="5"/>
  <c r="J298" i="4"/>
  <c r="N306" i="5"/>
  <c r="L298" i="4"/>
  <c r="Q306" i="5"/>
  <c r="M298" i="4"/>
  <c r="R306" i="5"/>
  <c r="N298" i="4"/>
  <c r="T306" i="5"/>
  <c r="O298" i="4"/>
  <c r="U306" i="5"/>
  <c r="P298" i="4"/>
  <c r="W306" i="5"/>
  <c r="Q298" i="4"/>
  <c r="X306" i="5"/>
  <c r="AA306" i="5"/>
  <c r="AC306" i="5"/>
  <c r="AD306" i="5"/>
  <c r="V298" i="4"/>
  <c r="AF306" i="5"/>
  <c r="AG306" i="5"/>
  <c r="X298" i="4"/>
  <c r="AI306" i="5"/>
  <c r="Y298" i="4"/>
  <c r="AJ306" i="5"/>
  <c r="Z298" i="4"/>
  <c r="AL306" i="5"/>
  <c r="F306" i="5"/>
  <c r="H306" i="5"/>
  <c r="I306" i="5"/>
  <c r="Z306" i="5"/>
  <c r="AN306" i="5"/>
  <c r="C200" i="4"/>
  <c r="C292" i="5"/>
  <c r="D200" i="4"/>
  <c r="E292" i="5"/>
  <c r="H200" i="4"/>
  <c r="K292" i="5"/>
  <c r="L200" i="4"/>
  <c r="Q292" i="5"/>
  <c r="M200" i="4"/>
  <c r="R292" i="5"/>
  <c r="T292" i="5"/>
  <c r="U292" i="5"/>
  <c r="P200" i="4"/>
  <c r="W292" i="5"/>
  <c r="Q200" i="4"/>
  <c r="X292" i="5"/>
  <c r="S200" i="4"/>
  <c r="AA292" i="5"/>
  <c r="AH200" i="4"/>
  <c r="T200" i="4" a="1"/>
  <c r="T200" i="4"/>
  <c r="AC292" i="5"/>
  <c r="U200" i="4" a="1"/>
  <c r="U200" i="4"/>
  <c r="AD292" i="5"/>
  <c r="AF292" i="5"/>
  <c r="AG292" i="5"/>
  <c r="X200" i="4"/>
  <c r="AI292" i="5"/>
  <c r="L292" i="5"/>
  <c r="N292" i="5"/>
  <c r="O292" i="5"/>
  <c r="F292" i="5"/>
  <c r="H292" i="5"/>
  <c r="I292" i="5"/>
  <c r="Z292" i="5"/>
  <c r="AN292" i="5"/>
  <c r="C201" i="4"/>
  <c r="C293" i="5"/>
  <c r="D201" i="4"/>
  <c r="E293" i="5"/>
  <c r="H201" i="4"/>
  <c r="K293" i="5"/>
  <c r="L201" i="4"/>
  <c r="Q293" i="5"/>
  <c r="M201" i="4"/>
  <c r="R293" i="5"/>
  <c r="T293" i="5"/>
  <c r="U293" i="5"/>
  <c r="P201" i="4"/>
  <c r="W293" i="5"/>
  <c r="Q201" i="4"/>
  <c r="X293" i="5"/>
  <c r="S201" i="4"/>
  <c r="AA293" i="5"/>
  <c r="AH201" i="4"/>
  <c r="T201" i="4" a="1"/>
  <c r="T201" i="4"/>
  <c r="AC293" i="5"/>
  <c r="U201" i="4" a="1"/>
  <c r="U201" i="4"/>
  <c r="AD293" i="5"/>
  <c r="AF293" i="5"/>
  <c r="AG293" i="5"/>
  <c r="X201" i="4"/>
  <c r="AI293" i="5"/>
  <c r="L293" i="5"/>
  <c r="N293" i="5"/>
  <c r="O293" i="5"/>
  <c r="F293" i="5"/>
  <c r="H293" i="5"/>
  <c r="I293" i="5"/>
  <c r="Z293" i="5"/>
  <c r="AN293" i="5"/>
  <c r="O307" i="5"/>
  <c r="K307" i="5"/>
  <c r="B311" i="4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AC307" i="5"/>
  <c r="AD307" i="5"/>
  <c r="V311" i="4"/>
  <c r="AF307" i="5"/>
  <c r="AG307" i="5"/>
  <c r="X311" i="4"/>
  <c r="AI307" i="5"/>
  <c r="Y311" i="4"/>
  <c r="AJ307" i="5"/>
  <c r="Z311" i="4"/>
  <c r="AL307" i="5"/>
  <c r="F307" i="5"/>
  <c r="H307" i="5"/>
  <c r="I307" i="5"/>
  <c r="Z307" i="5"/>
  <c r="AN307" i="5"/>
  <c r="O308" i="5"/>
  <c r="K308" i="5"/>
  <c r="B305" i="4"/>
  <c r="C305" i="4"/>
  <c r="C308" i="5"/>
  <c r="D305" i="4"/>
  <c r="E308" i="5"/>
  <c r="I305" i="4"/>
  <c r="L308" i="5"/>
  <c r="J305" i="4"/>
  <c r="N308" i="5"/>
  <c r="L305" i="4"/>
  <c r="Q308" i="5"/>
  <c r="M305" i="4"/>
  <c r="R308" i="5"/>
  <c r="N305" i="4"/>
  <c r="T308" i="5"/>
  <c r="O305" i="4"/>
  <c r="U308" i="5"/>
  <c r="P305" i="4"/>
  <c r="W308" i="5"/>
  <c r="Q305" i="4"/>
  <c r="X308" i="5"/>
  <c r="AA308" i="5"/>
  <c r="AC308" i="5"/>
  <c r="AD308" i="5"/>
  <c r="V305" i="4"/>
  <c r="AF308" i="5"/>
  <c r="AG308" i="5"/>
  <c r="X305" i="4"/>
  <c r="AI308" i="5"/>
  <c r="Y305" i="4"/>
  <c r="AJ308" i="5"/>
  <c r="Z305" i="4"/>
  <c r="AL308" i="5"/>
  <c r="F308" i="5"/>
  <c r="H308" i="5"/>
  <c r="I308" i="5"/>
  <c r="Z308" i="5"/>
  <c r="AN308" i="5"/>
  <c r="B357" i="4"/>
  <c r="S357" i="4"/>
  <c r="AA363" i="5"/>
  <c r="P357" i="4"/>
  <c r="W363" i="5"/>
  <c r="K357" i="4"/>
  <c r="O363" i="5"/>
  <c r="H357" i="4"/>
  <c r="K363" i="5"/>
  <c r="C357" i="4"/>
  <c r="C363" i="5"/>
  <c r="D357" i="4"/>
  <c r="E363" i="5"/>
  <c r="I357" i="4"/>
  <c r="L363" i="5"/>
  <c r="J357" i="4"/>
  <c r="N363" i="5"/>
  <c r="L357" i="4"/>
  <c r="Q363" i="5"/>
  <c r="M357" i="4"/>
  <c r="R363" i="5"/>
  <c r="N357" i="4"/>
  <c r="T363" i="5"/>
  <c r="O357" i="4"/>
  <c r="U363" i="5"/>
  <c r="Q357" i="4"/>
  <c r="X363" i="5"/>
  <c r="R357" i="4"/>
  <c r="Z363" i="5"/>
  <c r="T357" i="4"/>
  <c r="AC363" i="5"/>
  <c r="U357" i="4"/>
  <c r="AD363" i="5"/>
  <c r="V357" i="4"/>
  <c r="AF363" i="5"/>
  <c r="W357" i="4"/>
  <c r="AG363" i="5"/>
  <c r="X357" i="4"/>
  <c r="AI363" i="5"/>
  <c r="F363" i="5"/>
  <c r="H363" i="5"/>
  <c r="I363" i="5"/>
  <c r="AN363" i="5"/>
  <c r="C280" i="4"/>
  <c r="C294" i="5"/>
  <c r="D280" i="4"/>
  <c r="E294" i="5"/>
  <c r="H280" i="4"/>
  <c r="K294" i="5"/>
  <c r="L280" i="4"/>
  <c r="Q294" i="5"/>
  <c r="M280" i="4"/>
  <c r="R294" i="5"/>
  <c r="T294" i="5"/>
  <c r="U294" i="5"/>
  <c r="P280" i="4"/>
  <c r="W294" i="5"/>
  <c r="Q280" i="4"/>
  <c r="X294" i="5"/>
  <c r="S280" i="4"/>
  <c r="AA294" i="5"/>
  <c r="T280" i="4" a="1"/>
  <c r="T280" i="4"/>
  <c r="AC294" i="5"/>
  <c r="AD294" i="5"/>
  <c r="AF294" i="5"/>
  <c r="AG294" i="5"/>
  <c r="X280" i="4"/>
  <c r="AI294" i="5"/>
  <c r="Y280" i="4"/>
  <c r="AJ294" i="5"/>
  <c r="Z280" i="4"/>
  <c r="AL294" i="5"/>
  <c r="F294" i="5"/>
  <c r="H294" i="5"/>
  <c r="I294" i="5"/>
  <c r="L294" i="5"/>
  <c r="N294" i="5"/>
  <c r="O294" i="5"/>
  <c r="Z294" i="5"/>
  <c r="AN294" i="5"/>
  <c r="O309" i="5"/>
  <c r="K309" i="5"/>
  <c r="C296" i="4"/>
  <c r="C309" i="5"/>
  <c r="D296" i="4"/>
  <c r="E309" i="5"/>
  <c r="I296" i="4"/>
  <c r="L309" i="5"/>
  <c r="J296" i="4"/>
  <c r="N309" i="5"/>
  <c r="L296" i="4"/>
  <c r="Q309" i="5"/>
  <c r="M296" i="4"/>
  <c r="R309" i="5"/>
  <c r="N296" i="4"/>
  <c r="T309" i="5"/>
  <c r="O296" i="4"/>
  <c r="U309" i="5"/>
  <c r="P296" i="4"/>
  <c r="W309" i="5"/>
  <c r="Q296" i="4"/>
  <c r="X309" i="5"/>
  <c r="AA309" i="5"/>
  <c r="AC309" i="5"/>
  <c r="AD309" i="5"/>
  <c r="AF309" i="5"/>
  <c r="AG309" i="5"/>
  <c r="X296" i="4"/>
  <c r="AI309" i="5"/>
  <c r="Y296" i="4"/>
  <c r="AJ309" i="5"/>
  <c r="Z296" i="4"/>
  <c r="AL309" i="5"/>
  <c r="F309" i="5"/>
  <c r="H309" i="5"/>
  <c r="I309" i="5"/>
  <c r="Z309" i="5"/>
  <c r="AN309" i="5"/>
  <c r="K20" i="2"/>
  <c r="K377" i="4"/>
  <c r="O377" i="5"/>
  <c r="H377" i="4"/>
  <c r="K377" i="5"/>
  <c r="C377" i="4"/>
  <c r="C377" i="5"/>
  <c r="D377" i="4"/>
  <c r="E377" i="5"/>
  <c r="I20" i="2"/>
  <c r="I377" i="4"/>
  <c r="L377" i="5"/>
  <c r="J20" i="2"/>
  <c r="J377" i="4"/>
  <c r="N377" i="5"/>
  <c r="L377" i="4"/>
  <c r="Q377" i="5"/>
  <c r="M377" i="4"/>
  <c r="R377" i="5"/>
  <c r="N20" i="2"/>
  <c r="N377" i="4"/>
  <c r="T377" i="5"/>
  <c r="O377" i="4"/>
  <c r="U377" i="5"/>
  <c r="P377" i="4"/>
  <c r="W377" i="5"/>
  <c r="Q377" i="4"/>
  <c r="X377" i="5"/>
  <c r="S377" i="4"/>
  <c r="AA377" i="5"/>
  <c r="V20" i="2"/>
  <c r="V377" i="4"/>
  <c r="AF377" i="5"/>
  <c r="W20" i="2"/>
  <c r="W377" i="4"/>
  <c r="AG377" i="5"/>
  <c r="X377" i="4"/>
  <c r="AI377" i="5"/>
  <c r="Y377" i="4"/>
  <c r="AJ377" i="5"/>
  <c r="Z377" i="4"/>
  <c r="AL377" i="5"/>
  <c r="F377" i="5"/>
  <c r="H377" i="5"/>
  <c r="I377" i="5"/>
  <c r="Z377" i="5"/>
  <c r="AN377" i="5"/>
  <c r="AA382" i="5"/>
  <c r="W382" i="5"/>
  <c r="O382" i="5"/>
  <c r="K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F382" i="5"/>
  <c r="AG382" i="5"/>
  <c r="AI382" i="5"/>
  <c r="AL382" i="5"/>
  <c r="AN382" i="5"/>
  <c r="B349" i="4"/>
  <c r="K349" i="4"/>
  <c r="O364" i="5"/>
  <c r="H349" i="4"/>
  <c r="K364" i="5"/>
  <c r="C349" i="4"/>
  <c r="C364" i="5"/>
  <c r="D349" i="4"/>
  <c r="E364" i="5"/>
  <c r="I349" i="4"/>
  <c r="L364" i="5"/>
  <c r="J349" i="4"/>
  <c r="N364" i="5"/>
  <c r="L349" i="4"/>
  <c r="Q364" i="5"/>
  <c r="M349" i="4"/>
  <c r="R364" i="5"/>
  <c r="N349" i="4"/>
  <c r="T364" i="5"/>
  <c r="O349" i="4"/>
  <c r="U364" i="5"/>
  <c r="P349" i="4"/>
  <c r="W364" i="5"/>
  <c r="Q349" i="4"/>
  <c r="X364" i="5"/>
  <c r="S349" i="4"/>
  <c r="AA364" i="5"/>
  <c r="T349" i="4"/>
  <c r="AC364" i="5"/>
  <c r="U349" i="4"/>
  <c r="AD364" i="5"/>
  <c r="V349" i="4"/>
  <c r="AF364" i="5"/>
  <c r="W349" i="4"/>
  <c r="AG364" i="5"/>
  <c r="X349" i="4"/>
  <c r="AI364" i="5"/>
  <c r="Y349" i="4"/>
  <c r="AJ364" i="5"/>
  <c r="Z349" i="4"/>
  <c r="AL364" i="5"/>
  <c r="F364" i="5"/>
  <c r="H364" i="5"/>
  <c r="I364" i="5"/>
  <c r="Z364" i="5"/>
  <c r="AN364" i="5"/>
  <c r="B350" i="4"/>
  <c r="K350" i="4"/>
  <c r="O365" i="5"/>
  <c r="H350" i="4"/>
  <c r="K365" i="5"/>
  <c r="C350" i="4"/>
  <c r="C365" i="5"/>
  <c r="D350" i="4"/>
  <c r="E365" i="5"/>
  <c r="I350" i="4"/>
  <c r="L365" i="5"/>
  <c r="J350" i="4"/>
  <c r="N365" i="5"/>
  <c r="L350" i="4"/>
  <c r="Q365" i="5"/>
  <c r="M350" i="4"/>
  <c r="R365" i="5"/>
  <c r="N350" i="4"/>
  <c r="T365" i="5"/>
  <c r="O350" i="4"/>
  <c r="U365" i="5"/>
  <c r="P350" i="4"/>
  <c r="W365" i="5"/>
  <c r="Q350" i="4"/>
  <c r="X365" i="5"/>
  <c r="S350" i="4"/>
  <c r="AA365" i="5"/>
  <c r="T350" i="4"/>
  <c r="AC365" i="5"/>
  <c r="U350" i="4"/>
  <c r="AD365" i="5"/>
  <c r="V350" i="4"/>
  <c r="AF365" i="5"/>
  <c r="W350" i="4"/>
  <c r="AG365" i="5"/>
  <c r="X350" i="4"/>
  <c r="AI365" i="5"/>
  <c r="Y350" i="4"/>
  <c r="AJ365" i="5"/>
  <c r="Z350" i="4"/>
  <c r="AL365" i="5"/>
  <c r="F365" i="5"/>
  <c r="H365" i="5"/>
  <c r="I365" i="5"/>
  <c r="Z365" i="5"/>
  <c r="AN365" i="5"/>
  <c r="B351" i="4"/>
  <c r="K351" i="4"/>
  <c r="O366" i="5"/>
  <c r="H351" i="4"/>
  <c r="K366" i="5"/>
  <c r="C351" i="4"/>
  <c r="C366" i="5"/>
  <c r="D351" i="4"/>
  <c r="E366" i="5"/>
  <c r="I351" i="4"/>
  <c r="L366" i="5"/>
  <c r="J351" i="4"/>
  <c r="N366" i="5"/>
  <c r="L351" i="4"/>
  <c r="Q366" i="5"/>
  <c r="M351" i="4"/>
  <c r="R366" i="5"/>
  <c r="N351" i="4"/>
  <c r="T366" i="5"/>
  <c r="O351" i="4"/>
  <c r="U366" i="5"/>
  <c r="P351" i="4"/>
  <c r="W366" i="5"/>
  <c r="Q351" i="4"/>
  <c r="X366" i="5"/>
  <c r="S351" i="4"/>
  <c r="AA366" i="5"/>
  <c r="T351" i="4"/>
  <c r="AC366" i="5"/>
  <c r="U351" i="4"/>
  <c r="AD366" i="5"/>
  <c r="V351" i="4"/>
  <c r="AF366" i="5"/>
  <c r="W351" i="4"/>
  <c r="AG366" i="5"/>
  <c r="X351" i="4"/>
  <c r="AI366" i="5"/>
  <c r="Y351" i="4"/>
  <c r="AJ366" i="5"/>
  <c r="Z351" i="4"/>
  <c r="AL366" i="5"/>
  <c r="F366" i="5"/>
  <c r="H366" i="5"/>
  <c r="I366" i="5"/>
  <c r="Z366" i="5"/>
  <c r="AN366" i="5"/>
  <c r="O295" i="5"/>
  <c r="K295" i="5"/>
  <c r="B284" i="4"/>
  <c r="C284" i="4"/>
  <c r="C295" i="5"/>
  <c r="D284" i="4"/>
  <c r="E295" i="5"/>
  <c r="I284" i="4"/>
  <c r="L295" i="5"/>
  <c r="J284" i="4"/>
  <c r="N295" i="5"/>
  <c r="L284" i="4"/>
  <c r="Q295" i="5"/>
  <c r="M284" i="4"/>
  <c r="R295" i="5"/>
  <c r="N284" i="4"/>
  <c r="T295" i="5"/>
  <c r="O284" i="4"/>
  <c r="U295" i="5"/>
  <c r="P284" i="4"/>
  <c r="W295" i="5"/>
  <c r="Q284" i="4"/>
  <c r="X295" i="5"/>
  <c r="S284" i="4"/>
  <c r="AA295" i="5"/>
  <c r="AC295" i="5"/>
  <c r="AD295" i="5"/>
  <c r="AF295" i="5"/>
  <c r="AG295" i="5"/>
  <c r="X284" i="4"/>
  <c r="AI295" i="5"/>
  <c r="Y284" i="4"/>
  <c r="AJ295" i="5"/>
  <c r="Z284" i="4"/>
  <c r="AL295" i="5"/>
  <c r="F295" i="5"/>
  <c r="H295" i="5"/>
  <c r="I295" i="5"/>
  <c r="Z295" i="5"/>
  <c r="AN295" i="5"/>
  <c r="O310" i="5"/>
  <c r="K310" i="5"/>
  <c r="C299" i="4"/>
  <c r="C310" i="5"/>
  <c r="D299" i="4"/>
  <c r="E310" i="5"/>
  <c r="I299" i="4"/>
  <c r="L310" i="5"/>
  <c r="J299" i="4"/>
  <c r="N310" i="5"/>
  <c r="L299" i="4"/>
  <c r="Q310" i="5"/>
  <c r="M299" i="4"/>
  <c r="R310" i="5"/>
  <c r="N299" i="4"/>
  <c r="T310" i="5"/>
  <c r="O299" i="4"/>
  <c r="U310" i="5"/>
  <c r="P299" i="4"/>
  <c r="W310" i="5"/>
  <c r="Q299" i="4"/>
  <c r="X310" i="5"/>
  <c r="AA310" i="5"/>
  <c r="AC310" i="5"/>
  <c r="AD310" i="5"/>
  <c r="AF310" i="5"/>
  <c r="AG310" i="5"/>
  <c r="X299" i="4"/>
  <c r="AI310" i="5"/>
  <c r="Y299" i="4"/>
  <c r="AJ310" i="5"/>
  <c r="Z299" i="4"/>
  <c r="AL310" i="5"/>
  <c r="F310" i="5"/>
  <c r="H310" i="5"/>
  <c r="I310" i="5"/>
  <c r="Z310" i="5"/>
  <c r="AN310" i="5"/>
  <c r="O311" i="5"/>
  <c r="K311" i="5"/>
  <c r="C311" i="5"/>
  <c r="E311" i="5"/>
  <c r="L311" i="5"/>
  <c r="N311" i="5"/>
  <c r="Q311" i="5"/>
  <c r="R311" i="5"/>
  <c r="T311" i="5"/>
  <c r="U311" i="5"/>
  <c r="W311" i="5"/>
  <c r="X311" i="5"/>
  <c r="AA311" i="5"/>
  <c r="AC311" i="5"/>
  <c r="AD311" i="5"/>
  <c r="AF311" i="5"/>
  <c r="AG311" i="5"/>
  <c r="AI311" i="5"/>
  <c r="AJ311" i="5"/>
  <c r="AL311" i="5"/>
  <c r="F311" i="5"/>
  <c r="H311" i="5"/>
  <c r="I311" i="5"/>
  <c r="Z311" i="5"/>
  <c r="AN311" i="5"/>
  <c r="B129" i="4"/>
  <c r="AA131" i="5"/>
  <c r="P129" i="4"/>
  <c r="W131" i="5"/>
  <c r="O131" i="5"/>
  <c r="K131" i="5"/>
  <c r="C129" i="4"/>
  <c r="C131" i="5"/>
  <c r="D129" i="4"/>
  <c r="E131" i="5"/>
  <c r="I129" i="4"/>
  <c r="L131" i="5"/>
  <c r="J129" i="4"/>
  <c r="N131" i="5"/>
  <c r="L129" i="4"/>
  <c r="Q131" i="5"/>
  <c r="M129" i="4"/>
  <c r="R131" i="5"/>
  <c r="T131" i="5"/>
  <c r="U131" i="5"/>
  <c r="Q129" i="4"/>
  <c r="X131" i="5"/>
  <c r="R129" i="4"/>
  <c r="Z131" i="5"/>
  <c r="AH129" i="4"/>
  <c r="T129" i="4" a="1"/>
  <c r="T129" i="4"/>
  <c r="AC131" i="5"/>
  <c r="U129" i="4" a="1"/>
  <c r="U129" i="4"/>
  <c r="AD131" i="5"/>
  <c r="AF131" i="5"/>
  <c r="AG131" i="5"/>
  <c r="X129" i="4"/>
  <c r="AI131" i="5"/>
  <c r="Y129" i="4"/>
  <c r="AJ131" i="5"/>
  <c r="Z129" i="4"/>
  <c r="AL131" i="5"/>
  <c r="F131" i="5"/>
  <c r="H131" i="5"/>
  <c r="I131" i="5"/>
  <c r="AN131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C38" i="1"/>
  <c r="BB38" i="1"/>
  <c r="BA38" i="1"/>
  <c r="AZ3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N18" i="2"/>
  <c r="N64" i="4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O27" i="5"/>
  <c r="AO9" i="5"/>
  <c r="AO11" i="5"/>
  <c r="AO10" i="5"/>
  <c r="AO267" i="5"/>
  <c r="AO4" i="5"/>
  <c r="AO17" i="5"/>
  <c r="AO18" i="5"/>
  <c r="AO12" i="5"/>
  <c r="AO34" i="5"/>
  <c r="AO2" i="5"/>
  <c r="AO13" i="5"/>
  <c r="AO33" i="5"/>
  <c r="AO35" i="5"/>
  <c r="AO19" i="5"/>
  <c r="AO23" i="5"/>
  <c r="AO24" i="5"/>
  <c r="AO20" i="5"/>
  <c r="AO284" i="5"/>
  <c r="AO266" i="5"/>
  <c r="AO286" i="5"/>
  <c r="AO271" i="5"/>
  <c r="AO291" i="5"/>
  <c r="AO279" i="5"/>
  <c r="AO289" i="5"/>
  <c r="AO280" i="5"/>
  <c r="AO277" i="5"/>
  <c r="AO292" i="5"/>
  <c r="AO8" i="5"/>
  <c r="AO3" i="5"/>
  <c r="AO293" i="5"/>
  <c r="AO283" i="5"/>
  <c r="AO287" i="5"/>
  <c r="AO285" i="5"/>
  <c r="AO288" i="5"/>
  <c r="AO5" i="5"/>
  <c r="AO14" i="5"/>
  <c r="AO278" i="5"/>
  <c r="AO25" i="5"/>
  <c r="AO15" i="5"/>
  <c r="AO26" i="5"/>
  <c r="AO30" i="5"/>
  <c r="AO31" i="5"/>
  <c r="AO116" i="5"/>
  <c r="AO400" i="5"/>
  <c r="AO47" i="5"/>
  <c r="AO275" i="5"/>
  <c r="AO65" i="5"/>
  <c r="AO240" i="5"/>
  <c r="AO37" i="5"/>
  <c r="AO45" i="5"/>
  <c r="AO242" i="5"/>
  <c r="AO243" i="5"/>
  <c r="AO245" i="5"/>
  <c r="AO241" i="5"/>
  <c r="AO244" i="5"/>
  <c r="AO38" i="5"/>
  <c r="AO63" i="5"/>
  <c r="AO36" i="5"/>
  <c r="AO119" i="5"/>
  <c r="AO60" i="5"/>
  <c r="AO39" i="5"/>
  <c r="AO40" i="5"/>
  <c r="AO384" i="5"/>
  <c r="AO41" i="5"/>
  <c r="AO42" i="5"/>
  <c r="AO43" i="5"/>
  <c r="AO122" i="5"/>
  <c r="AO152" i="5"/>
  <c r="AO252" i="5"/>
  <c r="AO175" i="5"/>
  <c r="AO163" i="5"/>
  <c r="AO247" i="5"/>
  <c r="AO107" i="5"/>
  <c r="AO168" i="5"/>
  <c r="AO221" i="5"/>
  <c r="AO50" i="5"/>
  <c r="AO48" i="5"/>
  <c r="AO49" i="5"/>
  <c r="AO51" i="5"/>
  <c r="AO253" i="5"/>
  <c r="AO53" i="5"/>
  <c r="AO272" i="5"/>
  <c r="AO403" i="5"/>
  <c r="AO54" i="5"/>
  <c r="AO392" i="5"/>
  <c r="AO55" i="5"/>
  <c r="AO56" i="5"/>
  <c r="AO58" i="5"/>
  <c r="AO254" i="5"/>
  <c r="AO57" i="5"/>
  <c r="AO120" i="5"/>
  <c r="AO62" i="5"/>
  <c r="AO96" i="5"/>
  <c r="AO66" i="5"/>
  <c r="AO67" i="5"/>
  <c r="AO69" i="5"/>
  <c r="AO61" i="5"/>
  <c r="AO94" i="5"/>
  <c r="AO44" i="5"/>
  <c r="AO113" i="5"/>
  <c r="AO273" i="5"/>
  <c r="AO239" i="5"/>
  <c r="AO46" i="5"/>
  <c r="AO188" i="5"/>
  <c r="AO160" i="5"/>
  <c r="AO68" i="5"/>
  <c r="AO181" i="5"/>
  <c r="AO183" i="5"/>
  <c r="AO380" i="5"/>
  <c r="AO387" i="5"/>
  <c r="AO388" i="5"/>
  <c r="AO389" i="5"/>
  <c r="AO390" i="5"/>
  <c r="AO391" i="5"/>
  <c r="AO394" i="5"/>
  <c r="AO395" i="5"/>
  <c r="AO396" i="5"/>
  <c r="AO397" i="5"/>
  <c r="AO398" i="5"/>
  <c r="AO399" i="5"/>
  <c r="AO402" i="5"/>
  <c r="AO405" i="5"/>
  <c r="AO406" i="5"/>
  <c r="AO407" i="5"/>
  <c r="AO162" i="5"/>
  <c r="AO294" i="5"/>
  <c r="AO73" i="5"/>
  <c r="AO125" i="5"/>
  <c r="AO123" i="5"/>
  <c r="AO262" i="5"/>
  <c r="AO133" i="5"/>
  <c r="AO230" i="5"/>
  <c r="AO72" i="5"/>
  <c r="AO87" i="5"/>
  <c r="AO76" i="5"/>
  <c r="AO126" i="5"/>
  <c r="AO128" i="5"/>
  <c r="AO71" i="5"/>
  <c r="AO70" i="5"/>
  <c r="AO138" i="5"/>
  <c r="AO197" i="5"/>
  <c r="AO169" i="5"/>
  <c r="AO257" i="5"/>
  <c r="AO258" i="5"/>
  <c r="AO256" i="5"/>
  <c r="AO261" i="5"/>
  <c r="AO52" i="5"/>
  <c r="AO264" i="5"/>
  <c r="AO80" i="5"/>
  <c r="AO82" i="5"/>
  <c r="AO263" i="5"/>
  <c r="AO79" i="5"/>
  <c r="AO81" i="5"/>
  <c r="AO84" i="5"/>
  <c r="AO250" i="5"/>
  <c r="AO259" i="5"/>
  <c r="AO83" i="5"/>
  <c r="AO90" i="5"/>
  <c r="AO249" i="5"/>
  <c r="AO344" i="5"/>
  <c r="AO331" i="5"/>
  <c r="AO341" i="5"/>
  <c r="AO342" i="5"/>
  <c r="AO327" i="5"/>
  <c r="AO339" i="5"/>
  <c r="AO315" i="5"/>
  <c r="AO316" i="5"/>
  <c r="AO333" i="5"/>
  <c r="AO337" i="5"/>
  <c r="AO335" i="5"/>
  <c r="AO336" i="5"/>
  <c r="AO313" i="5"/>
  <c r="AO325" i="5"/>
  <c r="AO314" i="5"/>
  <c r="AO318" i="5"/>
  <c r="AO329" i="5"/>
  <c r="AO319" i="5"/>
  <c r="AO323" i="5"/>
  <c r="AO317" i="5"/>
  <c r="AO320" i="5"/>
  <c r="AO334" i="5"/>
  <c r="AO324" i="5"/>
  <c r="AO328" i="5"/>
  <c r="AO338" i="5"/>
  <c r="AO326" i="5"/>
  <c r="AO321" i="5"/>
  <c r="AO330" i="5"/>
  <c r="AO332" i="5"/>
  <c r="AO322" i="5"/>
  <c r="AO296" i="5"/>
  <c r="AO297" i="5"/>
  <c r="AO298" i="5"/>
  <c r="AO299" i="5"/>
  <c r="AO312" i="5"/>
  <c r="AO378" i="5"/>
  <c r="AO382" i="5"/>
  <c r="AO91" i="5"/>
  <c r="AO93" i="5"/>
  <c r="AO170" i="5"/>
  <c r="AO77" i="5"/>
  <c r="AO92" i="5"/>
  <c r="AO104" i="5"/>
  <c r="AO105" i="5"/>
  <c r="AO106" i="5"/>
  <c r="AO154" i="5"/>
  <c r="AO148" i="5"/>
  <c r="AO276" i="5"/>
  <c r="AO95" i="5"/>
  <c r="AO251" i="5"/>
  <c r="AO260" i="5"/>
  <c r="AO226" i="5"/>
  <c r="AO64" i="5"/>
  <c r="AO274" i="5"/>
  <c r="AO141" i="5"/>
  <c r="AO99" i="5"/>
  <c r="AO98" i="5"/>
  <c r="AO97" i="5"/>
  <c r="AO191" i="5"/>
  <c r="AO155" i="5"/>
  <c r="AO100" i="5"/>
  <c r="AO101" i="5"/>
  <c r="AO343" i="5"/>
  <c r="AO340" i="5"/>
  <c r="AO307" i="5"/>
  <c r="AO304" i="5"/>
  <c r="AO308" i="5"/>
  <c r="AO303" i="5"/>
  <c r="AO306" i="5"/>
  <c r="AO305" i="5"/>
  <c r="AO302" i="5"/>
  <c r="AO309" i="5"/>
  <c r="AO310" i="5"/>
  <c r="AO301" i="5"/>
  <c r="AO311" i="5"/>
  <c r="AO348" i="5"/>
  <c r="AO353" i="5"/>
  <c r="AO363" i="5"/>
  <c r="AO381" i="5"/>
  <c r="AO346" i="5"/>
  <c r="AO355" i="5"/>
  <c r="AO354" i="5"/>
  <c r="AO366" i="5"/>
  <c r="AO364" i="5"/>
  <c r="AO365" i="5"/>
  <c r="AO349" i="5"/>
  <c r="AO350" i="5"/>
  <c r="AO352" i="5"/>
  <c r="AO351" i="5"/>
  <c r="AO345" i="5"/>
  <c r="AO361" i="5"/>
  <c r="AO358" i="5"/>
  <c r="AO360" i="5"/>
  <c r="AO362" i="5"/>
  <c r="AO359" i="5"/>
  <c r="AO357" i="5"/>
  <c r="AO356" i="5"/>
  <c r="AO347" i="5"/>
  <c r="AO159" i="5"/>
  <c r="AO270" i="5"/>
  <c r="AO88" i="5"/>
  <c r="AO89" i="5"/>
  <c r="AO135" i="5"/>
  <c r="AO16" i="5"/>
  <c r="AO187" i="5"/>
  <c r="AO195" i="5"/>
  <c r="AO194" i="5"/>
  <c r="AO192" i="5"/>
  <c r="AO142" i="5"/>
  <c r="AO193" i="5"/>
  <c r="AO112" i="5"/>
  <c r="AO196" i="5"/>
  <c r="AO222" i="5"/>
  <c r="AO117" i="5"/>
  <c r="AO150" i="5"/>
  <c r="AO199" i="5"/>
  <c r="AO200" i="5"/>
  <c r="AO235" i="5"/>
  <c r="AO282" i="5"/>
  <c r="AO177" i="5"/>
  <c r="AO220" i="5"/>
  <c r="AO185" i="5"/>
  <c r="AO206" i="5"/>
  <c r="AO201" i="5"/>
  <c r="AO103" i="5"/>
  <c r="AO137" i="5"/>
  <c r="AO75" i="5"/>
  <c r="AO393" i="5"/>
  <c r="AO202" i="5"/>
  <c r="AO203" i="5"/>
  <c r="AO232" i="5"/>
  <c r="AO233" i="5"/>
  <c r="AO108" i="5"/>
  <c r="AO236" i="5"/>
  <c r="AO109" i="5"/>
  <c r="AO110" i="5"/>
  <c r="AO176" i="5"/>
  <c r="AO204" i="5"/>
  <c r="AO248" i="5"/>
  <c r="AO161" i="5"/>
  <c r="AO234" i="5"/>
  <c r="AO281" i="5"/>
  <c r="AO246" i="5"/>
  <c r="AO115" i="5"/>
  <c r="AO198" i="5"/>
  <c r="AO290" i="5"/>
  <c r="AO21" i="5"/>
  <c r="AO401" i="5"/>
  <c r="AO164" i="5"/>
  <c r="AO22" i="5"/>
  <c r="AO205" i="5"/>
  <c r="AO269" i="5"/>
  <c r="AO6" i="5"/>
  <c r="AO151" i="5"/>
  <c r="AO149" i="5"/>
  <c r="AO386" i="5"/>
  <c r="AO7" i="5"/>
  <c r="AO111" i="5"/>
  <c r="AO74" i="5"/>
  <c r="AO229" i="5"/>
  <c r="AO78" i="5"/>
  <c r="AO145" i="5"/>
  <c r="AO189" i="5"/>
  <c r="AO219" i="5"/>
  <c r="AO132" i="5"/>
  <c r="AO190" i="5"/>
  <c r="AO118" i="5"/>
  <c r="AO134" i="5"/>
  <c r="AO171" i="5"/>
  <c r="AO172" i="5"/>
  <c r="AO178" i="5"/>
  <c r="AO180" i="5"/>
  <c r="AO182" i="5"/>
  <c r="AO385" i="5"/>
  <c r="AO129" i="5"/>
  <c r="AO208" i="5"/>
  <c r="AO212" i="5"/>
  <c r="AO165" i="5"/>
  <c r="AO86" i="5"/>
  <c r="AO265" i="5"/>
  <c r="AO210" i="5"/>
  <c r="AO207" i="5"/>
  <c r="AO209" i="5"/>
  <c r="AO157" i="5"/>
  <c r="AO158" i="5"/>
  <c r="AO255" i="5"/>
  <c r="AO166" i="5"/>
  <c r="AO85" i="5"/>
  <c r="AO130" i="5"/>
  <c r="AO237" i="5"/>
  <c r="AO227" i="5"/>
  <c r="AO143" i="5"/>
  <c r="AO167" i="5"/>
  <c r="AO156" i="5"/>
  <c r="AO136" i="5"/>
  <c r="AO184" i="5"/>
  <c r="AO224" i="5"/>
  <c r="AO379" i="5"/>
  <c r="AO139" i="5"/>
  <c r="AO214" i="5"/>
  <c r="AO153" i="5"/>
  <c r="AO225" i="5"/>
  <c r="AO124" i="5"/>
  <c r="AO213" i="5"/>
  <c r="AO228" i="5"/>
  <c r="AO215" i="5"/>
  <c r="AO121" i="5"/>
  <c r="AO131" i="5"/>
  <c r="AO179" i="5"/>
  <c r="AO216" i="5"/>
  <c r="AO217" i="5"/>
  <c r="AO218" i="5"/>
  <c r="AO211" i="5"/>
  <c r="AO102" i="5"/>
  <c r="AO144" i="5"/>
  <c r="AO146" i="5"/>
  <c r="AO140" i="5"/>
  <c r="AO59" i="5"/>
  <c r="AO114" i="5"/>
  <c r="AO127" i="5"/>
  <c r="AO147" i="5"/>
  <c r="AO173" i="5"/>
  <c r="AO174" i="5"/>
  <c r="AO186" i="5"/>
  <c r="AO223" i="5"/>
  <c r="AO29" i="5"/>
  <c r="AO231" i="5"/>
  <c r="AO32" i="5"/>
  <c r="AO238" i="5"/>
  <c r="AO383" i="5"/>
  <c r="AO367" i="5"/>
  <c r="AO375" i="5"/>
  <c r="AO374" i="5"/>
  <c r="AO369" i="5"/>
  <c r="AO372" i="5"/>
  <c r="AO377" i="5"/>
  <c r="AO376" i="5"/>
  <c r="AO368" i="5"/>
  <c r="AO371" i="5"/>
  <c r="AO370" i="5"/>
  <c r="AO373" i="5"/>
  <c r="AO268" i="5"/>
  <c r="AO404" i="5"/>
  <c r="AO295" i="5"/>
  <c r="AO28" i="5"/>
  <c r="C2" i="7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AC36" i="2"/>
  <c r="AC37" i="2"/>
  <c r="AC25" i="2"/>
  <c r="AC35" i="2"/>
  <c r="AC33" i="2"/>
  <c r="AC26" i="2"/>
  <c r="AC23" i="2"/>
  <c r="AC9" i="2"/>
  <c r="AC14" i="2"/>
  <c r="AC13" i="2"/>
  <c r="AC7" i="2"/>
  <c r="AC10" i="2"/>
  <c r="AC8" i="2"/>
  <c r="AC24" i="2"/>
  <c r="AC34" i="2"/>
  <c r="AC5" i="2"/>
  <c r="AC12" i="2"/>
  <c r="AC6" i="2"/>
  <c r="AC30" i="2"/>
  <c r="AC31" i="2"/>
  <c r="AC29" i="2"/>
  <c r="AC32" i="2"/>
  <c r="AC28" i="2"/>
  <c r="AC40" i="2"/>
  <c r="AC27" i="2"/>
  <c r="AC39" i="2"/>
  <c r="AC21" i="2"/>
  <c r="AC15" i="2"/>
  <c r="AC19" i="2"/>
  <c r="AC22" i="2"/>
  <c r="AC38" i="2"/>
  <c r="AC18" i="2"/>
  <c r="AC2" i="2"/>
  <c r="AC3" i="2"/>
  <c r="AC4" i="2"/>
  <c r="AC20" i="2"/>
  <c r="AC43" i="2"/>
  <c r="AC44" i="2"/>
  <c r="AC48" i="2"/>
  <c r="AC47" i="2"/>
  <c r="AC49" i="2"/>
  <c r="BA15" i="1"/>
  <c r="BA46" i="1"/>
  <c r="BA45" i="1"/>
  <c r="BA75" i="1"/>
  <c r="BA73" i="1"/>
  <c r="BA76" i="1"/>
  <c r="BA77" i="1"/>
  <c r="BA78" i="1"/>
  <c r="BA79" i="1"/>
  <c r="BA142" i="1"/>
  <c r="BA151" i="1"/>
  <c r="BA152" i="1"/>
  <c r="BA186" i="1"/>
  <c r="BA3" i="1"/>
  <c r="BA4" i="1"/>
  <c r="BA5" i="1"/>
  <c r="BA7" i="1"/>
  <c r="BA6" i="1"/>
  <c r="BA8" i="1"/>
  <c r="BA14" i="1"/>
  <c r="BA24" i="1"/>
  <c r="BA22" i="1"/>
  <c r="BA27" i="1"/>
  <c r="BA31" i="1"/>
  <c r="BA32" i="1"/>
  <c r="BA33" i="1"/>
  <c r="BA34" i="1"/>
  <c r="BA23" i="1"/>
  <c r="BA29" i="1"/>
  <c r="BA19" i="1"/>
  <c r="BA20" i="1"/>
  <c r="BA21" i="1"/>
  <c r="BA26" i="1"/>
  <c r="BA28" i="1"/>
  <c r="BA30" i="1"/>
  <c r="BA25" i="1"/>
  <c r="BA18" i="1"/>
  <c r="BA17" i="1"/>
  <c r="BA41" i="1"/>
  <c r="BA42" i="1"/>
  <c r="BA43" i="1"/>
  <c r="BA44" i="1"/>
  <c r="BA47" i="1"/>
  <c r="BA48" i="1"/>
  <c r="BA49" i="1"/>
  <c r="BA50" i="1"/>
  <c r="BA51" i="1"/>
  <c r="BA52" i="1"/>
  <c r="BA53" i="1"/>
  <c r="BA54" i="1"/>
  <c r="BA55" i="1"/>
  <c r="BA56" i="1"/>
  <c r="BA59" i="1"/>
  <c r="BA60" i="1"/>
  <c r="BA62" i="1"/>
  <c r="BA63" i="1"/>
  <c r="BA58" i="1"/>
  <c r="BA65" i="1"/>
  <c r="BA61" i="1"/>
  <c r="BA57" i="1"/>
  <c r="BA66" i="1"/>
  <c r="BA64" i="1"/>
  <c r="BA67" i="1"/>
  <c r="BA81" i="1"/>
  <c r="BA74" i="1"/>
  <c r="BA68" i="1"/>
  <c r="BA80" i="1"/>
  <c r="BA69" i="1"/>
  <c r="BA70" i="1"/>
  <c r="BA71" i="1"/>
  <c r="BA72" i="1"/>
  <c r="BA83" i="1"/>
  <c r="BA85" i="1"/>
  <c r="BA86" i="1"/>
  <c r="BA84" i="1"/>
  <c r="BA93" i="1"/>
  <c r="BA94" i="1"/>
  <c r="BA95" i="1"/>
  <c r="BA96" i="1"/>
  <c r="BA99" i="1"/>
  <c r="BA101" i="1"/>
  <c r="BA102" i="1"/>
  <c r="BA103" i="1"/>
  <c r="BA190" i="1"/>
  <c r="BA194" i="1"/>
  <c r="BA193" i="1"/>
  <c r="BA192" i="1"/>
  <c r="BA191" i="1"/>
  <c r="BA106" i="1"/>
  <c r="BA107" i="1"/>
  <c r="BA109" i="1"/>
  <c r="BA108" i="1"/>
  <c r="BA110" i="1"/>
  <c r="BA111" i="1"/>
  <c r="BA114" i="1"/>
  <c r="BA113" i="1"/>
  <c r="BA112" i="1"/>
  <c r="BA117" i="1"/>
  <c r="BA118" i="1"/>
  <c r="BA195" i="1"/>
  <c r="BA197" i="1"/>
  <c r="BA196" i="1"/>
  <c r="BA198" i="1"/>
  <c r="BA207" i="1"/>
  <c r="BA208" i="1"/>
  <c r="BA209" i="1"/>
  <c r="BA210" i="1"/>
  <c r="BA211" i="1"/>
  <c r="BA212" i="1"/>
  <c r="BA121" i="1"/>
  <c r="BA122" i="1"/>
  <c r="BA123" i="1"/>
  <c r="BA124" i="1"/>
  <c r="BA125" i="1"/>
  <c r="BA126" i="1"/>
  <c r="BA127" i="1"/>
  <c r="BA128" i="1"/>
  <c r="BA131" i="1"/>
  <c r="BA130" i="1"/>
  <c r="BA129" i="1"/>
  <c r="BA133" i="1"/>
  <c r="BA134" i="1"/>
  <c r="BA135" i="1"/>
  <c r="BA136" i="1"/>
  <c r="BA137" i="1"/>
  <c r="BA138" i="1"/>
  <c r="BA139" i="1"/>
  <c r="BA140" i="1"/>
  <c r="BA141" i="1"/>
  <c r="BA143" i="1"/>
  <c r="BA145" i="1"/>
  <c r="BA144" i="1"/>
  <c r="BA146" i="1"/>
  <c r="BA147" i="1"/>
  <c r="BA154" i="1"/>
  <c r="BA155" i="1"/>
  <c r="BA156" i="1"/>
  <c r="BA148" i="1"/>
  <c r="BA149" i="1"/>
  <c r="BA159" i="1"/>
  <c r="BA160" i="1"/>
  <c r="BA163" i="1"/>
  <c r="BA164" i="1"/>
  <c r="BA165" i="1"/>
  <c r="BA166" i="1"/>
  <c r="BA167" i="1"/>
  <c r="BA168" i="1"/>
  <c r="BA169" i="1"/>
  <c r="BA170" i="1"/>
  <c r="BA172" i="1"/>
  <c r="BA171" i="1"/>
  <c r="BA173" i="1"/>
  <c r="BA174" i="1"/>
  <c r="BA175" i="1"/>
  <c r="BA176" i="1"/>
  <c r="BA177" i="1"/>
  <c r="BA178" i="1"/>
  <c r="BA183" i="1"/>
  <c r="BA184" i="1"/>
  <c r="BA213" i="1"/>
  <c r="BA215" i="1"/>
  <c r="BA214" i="1"/>
  <c r="BA217" i="1"/>
  <c r="BA218" i="1"/>
  <c r="BA219" i="1"/>
  <c r="BA220" i="1"/>
  <c r="BA216" i="1"/>
  <c r="BA185" i="1"/>
  <c r="BA16" i="1"/>
  <c r="AZ1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C93" i="1"/>
  <c r="BB93" i="1"/>
  <c r="AZ93" i="1"/>
  <c r="BB152" i="1"/>
  <c r="BB4" i="1"/>
  <c r="BB8" i="1"/>
  <c r="BB149" i="1"/>
  <c r="BB151" i="1"/>
  <c r="BB154" i="1"/>
  <c r="BB155" i="1"/>
  <c r="BB156" i="1"/>
  <c r="BB159" i="1"/>
  <c r="BB29" i="1"/>
  <c r="BB30" i="1"/>
  <c r="BB31" i="1"/>
  <c r="BB32" i="1"/>
  <c r="BB33" i="1"/>
  <c r="BB34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3" i="1"/>
  <c r="BB84" i="1"/>
  <c r="BB85" i="1"/>
  <c r="BB86" i="1"/>
  <c r="BB95" i="1"/>
  <c r="BB96" i="1"/>
  <c r="BB99" i="1"/>
  <c r="BB101" i="1"/>
  <c r="BB102" i="1"/>
  <c r="BB103" i="1"/>
  <c r="BB190" i="1"/>
  <c r="BB191" i="1"/>
  <c r="BB192" i="1"/>
  <c r="BB193" i="1"/>
  <c r="BB194" i="1"/>
  <c r="BB106" i="1"/>
  <c r="BB107" i="1"/>
  <c r="BB108" i="1"/>
  <c r="BB109" i="1"/>
  <c r="BB110" i="1"/>
  <c r="BB111" i="1"/>
  <c r="BB112" i="1"/>
  <c r="BB113" i="1"/>
  <c r="BB114" i="1"/>
  <c r="BB117" i="1"/>
  <c r="BB118" i="1"/>
  <c r="BB195" i="1"/>
  <c r="BB196" i="1"/>
  <c r="BB197" i="1"/>
  <c r="BB198" i="1"/>
  <c r="BB207" i="1"/>
  <c r="BB208" i="1"/>
  <c r="BB209" i="1"/>
  <c r="BB210" i="1"/>
  <c r="BB211" i="1"/>
  <c r="BB212" i="1"/>
  <c r="BB121" i="1"/>
  <c r="BB122" i="1"/>
  <c r="BB123" i="1"/>
  <c r="BB124" i="1"/>
  <c r="BB125" i="1"/>
  <c r="BB126" i="1"/>
  <c r="BB127" i="1"/>
  <c r="BB128" i="1"/>
  <c r="BB129" i="1"/>
  <c r="BB130" i="1"/>
  <c r="BB131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26" i="1"/>
  <c r="BB27" i="1"/>
  <c r="BB28" i="1"/>
  <c r="AZ26" i="1"/>
  <c r="AZ151" i="1"/>
  <c r="AZ152" i="1"/>
  <c r="AZ154" i="1"/>
  <c r="AZ155" i="1"/>
  <c r="AZ15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C114" i="1"/>
  <c r="BC113" i="1"/>
  <c r="BC25" i="1"/>
  <c r="BC66" i="1"/>
  <c r="BC156" i="1"/>
  <c r="BC198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151" i="4"/>
  <c r="AE128" i="4"/>
  <c r="AE157" i="4"/>
  <c r="AE88" i="4"/>
  <c r="AE284" i="4"/>
  <c r="AE159" i="4"/>
  <c r="AE160" i="4"/>
  <c r="AE97" i="4"/>
  <c r="AE3" i="4"/>
  <c r="AE275" i="4"/>
  <c r="AE263" i="4"/>
  <c r="AE125" i="4"/>
  <c r="AE174" i="4"/>
  <c r="AE169" i="4"/>
  <c r="AE171" i="4"/>
  <c r="AE172" i="4"/>
  <c r="AE295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7" i="4"/>
  <c r="AE268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1" i="4"/>
  <c r="AE292" i="4"/>
  <c r="AE269" i="4"/>
  <c r="AE240" i="4"/>
  <c r="AE243" i="4"/>
  <c r="AE261" i="4"/>
  <c r="AE238" i="4"/>
  <c r="AE14" i="4"/>
  <c r="AE59" i="4"/>
  <c r="AE287" i="4"/>
  <c r="AE288" i="4"/>
  <c r="AE27" i="4"/>
  <c r="AE65" i="4"/>
  <c r="AE272" i="4"/>
  <c r="AE153" i="4"/>
  <c r="AE203" i="4"/>
  <c r="AE98" i="4"/>
  <c r="AE237" i="4"/>
  <c r="AE239" i="4"/>
  <c r="AE142" i="4"/>
  <c r="AE144" i="4"/>
  <c r="AE282" i="4"/>
  <c r="AE138" i="4"/>
  <c r="AE143" i="4"/>
  <c r="AE279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6" i="4"/>
  <c r="AE281" i="4"/>
  <c r="AE8" i="4"/>
  <c r="AE293" i="4"/>
  <c r="AE250" i="4"/>
  <c r="AE251" i="4"/>
  <c r="AE277" i="4"/>
  <c r="AE278" i="4"/>
  <c r="AE196" i="4"/>
  <c r="AE218" i="4"/>
  <c r="AE228" i="4"/>
  <c r="AE294" i="4"/>
  <c r="AE291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6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2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67" i="4"/>
  <c r="AE42" i="4"/>
  <c r="AE224" i="4"/>
  <c r="AE225" i="4"/>
  <c r="AE78" i="4"/>
  <c r="AE227" i="4"/>
  <c r="AE18" i="4"/>
  <c r="AE283" i="4"/>
  <c r="AE114" i="4"/>
  <c r="AE290" i="4"/>
  <c r="AE12" i="4"/>
  <c r="AE19" i="4"/>
  <c r="AE162" i="4"/>
  <c r="AE48" i="4"/>
  <c r="AE273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0" i="4"/>
  <c r="AE105" i="4"/>
  <c r="AE64" i="4"/>
  <c r="AE176" i="4"/>
  <c r="AE139" i="4"/>
  <c r="AE140" i="4"/>
  <c r="AE177" i="4"/>
  <c r="AE137" i="4"/>
  <c r="AE16" i="4"/>
  <c r="AE289" i="4"/>
  <c r="AE197" i="4"/>
  <c r="AE233" i="4"/>
  <c r="AE258" i="4"/>
  <c r="AE40" i="4"/>
  <c r="AE39" i="4"/>
  <c r="AE103" i="4"/>
  <c r="AE32" i="4"/>
  <c r="AE33" i="4"/>
  <c r="AE36" i="4"/>
  <c r="AE46" i="4"/>
  <c r="AE35" i="4"/>
  <c r="AE274" i="4"/>
  <c r="AE94" i="4"/>
  <c r="AE119" i="4"/>
  <c r="AE226" i="4"/>
  <c r="AE244" i="4"/>
  <c r="AE264" i="4"/>
  <c r="AE110" i="4"/>
  <c r="AE152" i="4"/>
  <c r="AE158" i="4"/>
  <c r="AE41" i="4"/>
  <c r="AE256" i="4"/>
  <c r="AE30" i="4"/>
  <c r="AE81" i="4"/>
  <c r="AE76" i="4"/>
  <c r="AE22" i="4"/>
  <c r="AE265" i="4"/>
  <c r="AE134" i="4"/>
  <c r="AE135" i="4"/>
  <c r="AE242" i="4"/>
  <c r="AE266" i="4"/>
  <c r="AE66" i="4"/>
  <c r="AE280" i="4"/>
  <c r="AE214" i="4"/>
  <c r="AE300" i="4"/>
  <c r="AE304" i="4"/>
  <c r="AE301" i="4"/>
  <c r="AE302" i="4"/>
  <c r="AE297" i="4"/>
  <c r="AE298" i="4"/>
  <c r="AE296" i="4"/>
  <c r="AE299" i="4"/>
  <c r="AE307" i="4"/>
  <c r="AE308" i="4"/>
  <c r="AE309" i="4"/>
  <c r="AE305" i="4"/>
  <c r="AE311" i="4"/>
  <c r="AE303" i="4"/>
  <c r="AE310" i="4"/>
  <c r="AE338" i="4"/>
  <c r="AE332" i="4"/>
  <c r="AE333" i="4"/>
  <c r="AE330" i="4"/>
  <c r="AE328" i="4"/>
  <c r="AE329" i="4"/>
  <c r="AE315" i="4"/>
  <c r="AE323" i="4"/>
  <c r="AE324" i="4"/>
  <c r="AE325" i="4"/>
  <c r="AE326" i="4"/>
  <c r="AE312" i="4"/>
  <c r="AE331" i="4"/>
  <c r="AE327" i="4"/>
  <c r="AE339" i="4"/>
  <c r="AE320" i="4"/>
  <c r="AE319" i="4"/>
  <c r="AE322" i="4"/>
  <c r="AE314" i="4"/>
  <c r="AE321" i="4"/>
  <c r="AE343" i="4"/>
  <c r="AE335" i="4"/>
  <c r="AE336" i="4"/>
  <c r="AE334" i="4"/>
  <c r="AE313" i="4"/>
  <c r="AE337" i="4"/>
  <c r="AE316" i="4"/>
  <c r="AE317" i="4"/>
  <c r="AE318" i="4"/>
  <c r="AE344" i="4"/>
  <c r="AE342" i="4"/>
  <c r="AE340" i="4"/>
  <c r="AE341" i="4"/>
  <c r="AE358" i="4"/>
  <c r="AE359" i="4"/>
  <c r="AE365" i="4"/>
  <c r="AE360" i="4"/>
  <c r="AE366" i="4"/>
  <c r="AE357" i="4"/>
  <c r="AE354" i="4"/>
  <c r="AE348" i="4"/>
  <c r="AE352" i="4"/>
  <c r="AE347" i="4"/>
  <c r="AE355" i="4"/>
  <c r="AE356" i="4"/>
  <c r="AE361" i="4"/>
  <c r="AE362" i="4"/>
  <c r="AE363" i="4"/>
  <c r="AE364" i="4"/>
  <c r="AE353" i="4"/>
  <c r="AE349" i="4"/>
  <c r="AE350" i="4"/>
  <c r="AE351" i="4"/>
  <c r="AE345" i="4"/>
  <c r="AE346" i="4"/>
  <c r="AE368" i="4"/>
  <c r="AE374" i="4"/>
  <c r="AE375" i="4"/>
  <c r="AE376" i="4"/>
  <c r="AE370" i="4"/>
  <c r="AE367" i="4"/>
  <c r="AE373" i="4"/>
  <c r="AE371" i="4"/>
  <c r="AE372" i="4"/>
  <c r="AE369" i="4"/>
  <c r="AE377" i="4"/>
  <c r="AE382" i="4"/>
  <c r="AE379" i="4"/>
  <c r="AE381" i="4"/>
  <c r="AE378" i="4"/>
  <c r="AE380" i="4"/>
  <c r="AE386" i="4"/>
  <c r="AE391" i="4"/>
  <c r="AE404" i="4"/>
  <c r="AE393" i="4"/>
  <c r="AE394" i="4"/>
  <c r="AE395" i="4"/>
  <c r="AE396" i="4"/>
  <c r="AE399" i="4"/>
  <c r="AE400" i="4"/>
  <c r="AE401" i="4"/>
  <c r="AE403" i="4"/>
  <c r="AE383" i="4"/>
  <c r="AE385" i="4"/>
  <c r="AE392" i="4"/>
  <c r="AE384" i="4"/>
  <c r="AE387" i="4"/>
  <c r="AE388" i="4"/>
  <c r="AE389" i="4"/>
  <c r="AE398" i="4"/>
  <c r="AE390" i="4"/>
  <c r="AE402" i="4"/>
  <c r="AE405" i="4"/>
  <c r="AE406" i="4"/>
  <c r="AE407" i="4"/>
  <c r="AE397" i="4"/>
  <c r="AE285" i="4"/>
  <c r="AD244" i="4"/>
  <c r="BC116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9" i="1"/>
  <c r="BC99" i="1"/>
  <c r="AZ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K32" i="2"/>
  <c r="K176" i="4"/>
  <c r="K31" i="2"/>
  <c r="K29" i="2"/>
  <c r="K139" i="4"/>
  <c r="K30" i="2"/>
  <c r="K6" i="2"/>
  <c r="K13" i="2"/>
  <c r="K140" i="4"/>
  <c r="K28" i="2"/>
  <c r="K177" i="4"/>
  <c r="K137" i="4"/>
  <c r="K25" i="2"/>
  <c r="K47" i="4"/>
  <c r="K115" i="4"/>
  <c r="AJ26" i="4"/>
  <c r="AJ285" i="4"/>
  <c r="AJ130" i="4"/>
  <c r="AJ132" i="4"/>
  <c r="AJ133" i="4"/>
  <c r="AJ204" i="4"/>
  <c r="AJ5" i="4"/>
  <c r="AJ6" i="4"/>
  <c r="AJ129" i="4"/>
  <c r="AJ252" i="4"/>
  <c r="AJ275" i="4"/>
  <c r="AJ128" i="4"/>
  <c r="AJ232" i="4"/>
  <c r="AJ263" i="4"/>
  <c r="AJ246" i="4"/>
  <c r="AJ267" i="4"/>
  <c r="AJ151" i="4"/>
  <c r="AJ120" i="4"/>
  <c r="AJ2" i="4"/>
  <c r="AJ241" i="4"/>
  <c r="AJ271" i="4"/>
  <c r="AJ292" i="4"/>
  <c r="AJ264" i="4"/>
  <c r="AJ269" i="4"/>
  <c r="AJ270" i="4"/>
  <c r="AJ268" i="4"/>
  <c r="AJ240" i="4"/>
  <c r="AJ265" i="4"/>
  <c r="AJ105" i="4"/>
  <c r="AJ266" i="4"/>
  <c r="AJ287" i="4"/>
  <c r="AJ288" i="4"/>
  <c r="AJ116" i="4"/>
  <c r="AJ183" i="4"/>
  <c r="AJ134" i="4"/>
  <c r="AJ27" i="4"/>
  <c r="AJ85" i="4"/>
  <c r="AJ86" i="4"/>
  <c r="AJ115" i="4"/>
  <c r="AJ65" i="4"/>
  <c r="AJ118" i="4"/>
  <c r="AJ272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2" i="4"/>
  <c r="AJ135" i="4"/>
  <c r="AJ177" i="4"/>
  <c r="AJ138" i="4"/>
  <c r="AJ143" i="4"/>
  <c r="AJ279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6" i="4"/>
  <c r="AJ281" i="4"/>
  <c r="AJ8" i="4"/>
  <c r="AJ293" i="4"/>
  <c r="AJ250" i="4"/>
  <c r="AJ251" i="4"/>
  <c r="AJ277" i="4"/>
  <c r="AJ278" i="4"/>
  <c r="AJ196" i="4"/>
  <c r="AJ218" i="4"/>
  <c r="AJ228" i="4"/>
  <c r="AJ289" i="4"/>
  <c r="AJ294" i="4"/>
  <c r="AJ197" i="4"/>
  <c r="AJ291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6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5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0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4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2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67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3" i="4"/>
  <c r="AJ114" i="4"/>
  <c r="AJ214" i="4"/>
  <c r="AJ290" i="4"/>
  <c r="AJ12" i="4"/>
  <c r="AJ19" i="4"/>
  <c r="AJ76" i="4"/>
  <c r="AJ162" i="4"/>
  <c r="AJ48" i="4"/>
  <c r="AJ273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4" i="4"/>
  <c r="AJ303" i="4"/>
  <c r="AJ301" i="4"/>
  <c r="AJ302" i="4"/>
  <c r="AJ297" i="4"/>
  <c r="AJ298" i="4"/>
  <c r="AJ296" i="4"/>
  <c r="AJ299" i="4"/>
  <c r="AJ300" i="4"/>
  <c r="AJ307" i="4"/>
  <c r="AJ308" i="4"/>
  <c r="AJ309" i="4"/>
  <c r="AJ310" i="4"/>
  <c r="AJ305" i="4"/>
  <c r="AJ311" i="4"/>
  <c r="AJ330" i="4"/>
  <c r="AJ328" i="4"/>
  <c r="AJ329" i="4"/>
  <c r="AJ338" i="4"/>
  <c r="AJ315" i="4"/>
  <c r="AJ316" i="4"/>
  <c r="AJ317" i="4"/>
  <c r="AJ318" i="4"/>
  <c r="AJ344" i="4"/>
  <c r="AJ323" i="4"/>
  <c r="AJ324" i="4"/>
  <c r="AJ325" i="4"/>
  <c r="AJ326" i="4"/>
  <c r="AJ312" i="4"/>
  <c r="AJ332" i="4"/>
  <c r="AJ333" i="4"/>
  <c r="AJ339" i="4"/>
  <c r="AJ331" i="4"/>
  <c r="AJ320" i="4"/>
  <c r="AJ319" i="4"/>
  <c r="AJ322" i="4"/>
  <c r="AJ327" i="4"/>
  <c r="AJ314" i="4"/>
  <c r="AJ342" i="4"/>
  <c r="AJ340" i="4"/>
  <c r="AJ341" i="4"/>
  <c r="AJ321" i="4"/>
  <c r="AJ335" i="4"/>
  <c r="AJ336" i="4"/>
  <c r="AJ334" i="4"/>
  <c r="AJ313" i="4"/>
  <c r="AJ337" i="4"/>
  <c r="AJ343" i="4"/>
  <c r="AJ348" i="4"/>
  <c r="AJ347" i="4"/>
  <c r="AJ358" i="4"/>
  <c r="AJ359" i="4"/>
  <c r="AJ345" i="4"/>
  <c r="AJ355" i="4"/>
  <c r="AJ356" i="4"/>
  <c r="AJ361" i="4"/>
  <c r="AJ346" i="4"/>
  <c r="AJ362" i="4"/>
  <c r="AJ363" i="4"/>
  <c r="AJ364" i="4"/>
  <c r="AJ349" i="4"/>
  <c r="AJ350" i="4"/>
  <c r="AJ351" i="4"/>
  <c r="AJ365" i="4"/>
  <c r="AJ360" i="4"/>
  <c r="AJ366" i="4"/>
  <c r="AJ357" i="4"/>
  <c r="AJ352" i="4"/>
  <c r="AJ353" i="4"/>
  <c r="AJ354" i="4"/>
  <c r="AJ368" i="4"/>
  <c r="AJ374" i="4"/>
  <c r="AJ375" i="4"/>
  <c r="AJ376" i="4"/>
  <c r="AJ370" i="4"/>
  <c r="AJ367" i="4"/>
  <c r="AJ373" i="4"/>
  <c r="AJ377" i="4"/>
  <c r="AJ371" i="4"/>
  <c r="AJ372" i="4"/>
  <c r="AJ369" i="4"/>
  <c r="AJ379" i="4"/>
  <c r="AJ381" i="4"/>
  <c r="AJ382" i="4"/>
  <c r="AJ380" i="4"/>
  <c r="AJ378" i="4"/>
  <c r="AJ386" i="4"/>
  <c r="AJ391" i="4"/>
  <c r="AJ404" i="4"/>
  <c r="AJ393" i="4"/>
  <c r="AJ394" i="4"/>
  <c r="AJ395" i="4"/>
  <c r="AJ396" i="4"/>
  <c r="AJ399" i="4"/>
  <c r="AJ400" i="4"/>
  <c r="AJ401" i="4"/>
  <c r="AJ403" i="4"/>
  <c r="AJ383" i="4"/>
  <c r="AJ385" i="4"/>
  <c r="AJ392" i="4"/>
  <c r="AJ384" i="4"/>
  <c r="AJ387" i="4"/>
  <c r="AJ388" i="4"/>
  <c r="AJ389" i="4"/>
  <c r="AJ398" i="4"/>
  <c r="AJ390" i="4"/>
  <c r="AJ402" i="4"/>
  <c r="AJ405" i="4"/>
  <c r="AJ406" i="4"/>
  <c r="AJ407" i="4"/>
  <c r="AJ397" i="4"/>
  <c r="AJ4" i="4"/>
  <c r="AJ243" i="4"/>
  <c r="AJ261" i="4"/>
  <c r="AJ238" i="4"/>
  <c r="AJ14" i="4"/>
  <c r="AJ59" i="4"/>
  <c r="AJ284" i="4"/>
  <c r="AJ28" i="4"/>
  <c r="AJ47" i="4"/>
  <c r="AJ73" i="4"/>
  <c r="AJ221" i="4"/>
  <c r="AJ253" i="4"/>
  <c r="AJ173" i="4"/>
  <c r="AJ30" i="4"/>
  <c r="AJ97" i="4"/>
  <c r="AJ81" i="4"/>
  <c r="AJ156" i="4"/>
  <c r="AJ244" i="4"/>
  <c r="F64" i="4"/>
  <c r="F65" i="4"/>
  <c r="E65" i="4"/>
  <c r="E64" i="4"/>
  <c r="M64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101" i="1"/>
  <c r="BC101" i="1"/>
  <c r="AZ102" i="1"/>
  <c r="BC102" i="1"/>
  <c r="BC155" i="1"/>
  <c r="AZ146" i="1"/>
  <c r="BC146" i="1"/>
  <c r="AZ145" i="1"/>
  <c r="BC145" i="1"/>
  <c r="AZ66" i="1"/>
  <c r="AZ220" i="1"/>
  <c r="BC220" i="1"/>
  <c r="BB220" i="1"/>
  <c r="AZ219" i="1"/>
  <c r="BC219" i="1"/>
  <c r="BB219" i="1"/>
  <c r="AZ131" i="1"/>
  <c r="BC131" i="1"/>
  <c r="AZ130" i="1"/>
  <c r="BC130" i="1"/>
  <c r="AZ30" i="1"/>
  <c r="BC30" i="1"/>
  <c r="AZ29" i="1"/>
  <c r="BC29" i="1"/>
  <c r="AZ28" i="1"/>
  <c r="BC28" i="1"/>
  <c r="AZ27" i="1"/>
  <c r="BC27" i="1"/>
  <c r="BC26" i="1"/>
  <c r="AZ81" i="1"/>
  <c r="BC81" i="1"/>
  <c r="AZ80" i="1"/>
  <c r="BC80" i="1"/>
  <c r="AZ34" i="1"/>
  <c r="BC34" i="1"/>
  <c r="AZ33" i="1"/>
  <c r="BC33" i="1"/>
  <c r="AZ3" i="1"/>
  <c r="AZ4" i="1"/>
  <c r="AZ5" i="1"/>
  <c r="AZ6" i="1"/>
  <c r="AZ7" i="1"/>
  <c r="AZ8" i="1"/>
  <c r="AZ14" i="1"/>
  <c r="AZ15" i="1"/>
  <c r="AZ17" i="1"/>
  <c r="AZ18" i="1"/>
  <c r="AZ19" i="1"/>
  <c r="AZ20" i="1"/>
  <c r="AZ21" i="1"/>
  <c r="AZ22" i="1"/>
  <c r="AZ23" i="1"/>
  <c r="AZ24" i="1"/>
  <c r="AZ25" i="1"/>
  <c r="AZ31" i="1"/>
  <c r="AZ32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3" i="1"/>
  <c r="AZ84" i="1"/>
  <c r="AZ85" i="1"/>
  <c r="AZ86" i="1"/>
  <c r="AZ95" i="1"/>
  <c r="AZ96" i="1"/>
  <c r="AZ106" i="1"/>
  <c r="AZ107" i="1"/>
  <c r="AZ108" i="1"/>
  <c r="AZ109" i="1"/>
  <c r="AZ110" i="1"/>
  <c r="AZ111" i="1"/>
  <c r="AZ112" i="1"/>
  <c r="AZ113" i="1"/>
  <c r="AZ114" i="1"/>
  <c r="AZ117" i="1"/>
  <c r="AZ118" i="1"/>
  <c r="AZ121" i="1"/>
  <c r="AZ122" i="1"/>
  <c r="AZ123" i="1"/>
  <c r="AZ124" i="1"/>
  <c r="AZ125" i="1"/>
  <c r="AZ126" i="1"/>
  <c r="AZ127" i="1"/>
  <c r="AZ128" i="1"/>
  <c r="AZ129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7" i="1"/>
  <c r="AZ148" i="1"/>
  <c r="AZ149" i="1"/>
  <c r="AZ159" i="1"/>
  <c r="AZ160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83" i="1"/>
  <c r="AZ184" i="1"/>
  <c r="AZ185" i="1"/>
  <c r="AZ186" i="1"/>
  <c r="AZ190" i="1"/>
  <c r="AZ191" i="1"/>
  <c r="AZ192" i="1"/>
  <c r="AZ193" i="1"/>
  <c r="AZ194" i="1"/>
  <c r="AZ195" i="1"/>
  <c r="AZ196" i="1"/>
  <c r="AZ197" i="1"/>
  <c r="AZ198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" i="1"/>
  <c r="BC32" i="1"/>
  <c r="BC31" i="1"/>
  <c r="BC135" i="1"/>
  <c r="BB218" i="1"/>
  <c r="BC218" i="1"/>
  <c r="BB217" i="1"/>
  <c r="BC217" i="1"/>
  <c r="BB216" i="1"/>
  <c r="BC216" i="1"/>
  <c r="BB215" i="1"/>
  <c r="BC215" i="1"/>
  <c r="BB214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B213" i="1"/>
  <c r="BC213" i="1"/>
  <c r="BC212" i="1"/>
  <c r="BC211" i="1"/>
  <c r="BC210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C209" i="1"/>
  <c r="BC208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C207" i="1"/>
  <c r="BC197" i="1"/>
  <c r="BC196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C195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C194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91" i="1"/>
  <c r="BC190" i="1"/>
  <c r="BB186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B185" i="1"/>
  <c r="BC185" i="1"/>
  <c r="BB184" i="1"/>
  <c r="BC184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B183" i="1"/>
  <c r="BC183" i="1"/>
  <c r="BB178" i="1"/>
  <c r="BC178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B177" i="1"/>
  <c r="BC177" i="1"/>
  <c r="BB176" i="1"/>
  <c r="BC176" i="1"/>
  <c r="BB175" i="1"/>
  <c r="BC175" i="1"/>
  <c r="BB174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B173" i="1"/>
  <c r="BC173" i="1"/>
  <c r="BB172" i="1"/>
  <c r="BC172" i="1"/>
  <c r="BB171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B170" i="1"/>
  <c r="BC170" i="1"/>
  <c r="BB169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B168" i="1"/>
  <c r="BC168" i="1"/>
  <c r="BB167" i="1"/>
  <c r="BC167" i="1"/>
  <c r="BB166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B165" i="1"/>
  <c r="BC165" i="1"/>
  <c r="BB164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B163" i="1"/>
  <c r="BC163" i="1"/>
  <c r="BB160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4" i="1"/>
  <c r="BC152" i="1"/>
  <c r="BC151" i="1"/>
  <c r="BC149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4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C143" i="1"/>
  <c r="BC142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9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C138" i="1"/>
  <c r="BC137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C136" i="1"/>
  <c r="BC134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C133" i="1"/>
  <c r="BC129" i="1"/>
  <c r="BC128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C127" i="1"/>
  <c r="BC126" i="1"/>
  <c r="BC125" i="1"/>
  <c r="BC124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C123" i="1"/>
  <c r="BC122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C121" i="1"/>
  <c r="BC118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C117" i="1"/>
  <c r="BC111" i="1"/>
  <c r="BC110" i="1"/>
  <c r="BC109" i="1"/>
  <c r="BC108" i="1"/>
  <c r="BC107" i="1"/>
  <c r="BC106" i="1"/>
  <c r="BC96" i="1"/>
  <c r="BC95" i="1"/>
  <c r="BC86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C85" i="1"/>
  <c r="BC84" i="1"/>
  <c r="BC83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5" i="1"/>
  <c r="BC64" i="1"/>
  <c r="BC63" i="1"/>
  <c r="BC62" i="1"/>
  <c r="BC61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B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89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2" i="2"/>
  <c r="K22" i="2"/>
  <c r="T22" i="2"/>
  <c r="AA22" i="2"/>
  <c r="AD22" i="2"/>
  <c r="AE22" i="2"/>
  <c r="AF22" i="2"/>
  <c r="AG22" i="2"/>
  <c r="AH22" i="2"/>
  <c r="AI22" i="2"/>
  <c r="AK22" i="2"/>
  <c r="AL22" i="2"/>
  <c r="R43" i="2"/>
  <c r="R320" i="4"/>
  <c r="R330" i="4"/>
  <c r="R328" i="4"/>
  <c r="R329" i="4"/>
  <c r="R337" i="4"/>
  <c r="R338" i="4"/>
  <c r="R332" i="4"/>
  <c r="R333" i="4"/>
  <c r="R322" i="4"/>
  <c r="R325" i="4"/>
  <c r="R323" i="4"/>
  <c r="R324" i="4"/>
  <c r="R341" i="4"/>
  <c r="R335" i="4"/>
  <c r="R342" i="4"/>
  <c r="R312" i="4"/>
  <c r="R319" i="4"/>
  <c r="R316" i="4"/>
  <c r="R47" i="2"/>
  <c r="R347" i="4"/>
  <c r="R334" i="4"/>
  <c r="R353" i="4"/>
  <c r="R363" i="4"/>
  <c r="R345" i="4"/>
  <c r="R361" i="4"/>
  <c r="R348" i="4"/>
  <c r="R362" i="4"/>
  <c r="R364" i="4"/>
  <c r="R315" i="4"/>
  <c r="R346" i="4"/>
  <c r="R356" i="4"/>
  <c r="R351" i="4"/>
  <c r="R355" i="4"/>
  <c r="R349" i="4"/>
  <c r="R350" i="4"/>
  <c r="R33" i="2"/>
  <c r="R84" i="4"/>
  <c r="R83" i="4"/>
  <c r="R317" i="4"/>
  <c r="R82" i="4"/>
  <c r="R327" i="4"/>
  <c r="R354" i="4"/>
  <c r="R343" i="4"/>
  <c r="R313" i="4"/>
  <c r="R339" i="4"/>
  <c r="R326" i="4"/>
  <c r="R336" i="4"/>
  <c r="R50" i="4"/>
  <c r="R358" i="4"/>
  <c r="R100" i="4"/>
  <c r="R49" i="4"/>
  <c r="R359" i="4"/>
  <c r="R318" i="4"/>
  <c r="R68" i="4"/>
  <c r="R34" i="2"/>
  <c r="R87" i="4"/>
  <c r="R376" i="4"/>
  <c r="R369" i="4"/>
  <c r="R314" i="4"/>
  <c r="R321" i="4"/>
  <c r="R158" i="4"/>
  <c r="R373" i="4"/>
  <c r="R370" i="4"/>
  <c r="R368" i="4"/>
  <c r="R377" i="4"/>
  <c r="R375" i="4"/>
  <c r="R374" i="4"/>
  <c r="R367" i="4"/>
  <c r="R371" i="4"/>
  <c r="R344" i="4"/>
  <c r="R372" i="4"/>
  <c r="R301" i="4"/>
  <c r="R311" i="4"/>
  <c r="R309" i="4"/>
  <c r="R302" i="4"/>
  <c r="R208" i="4"/>
  <c r="R305" i="4"/>
  <c r="R308" i="4"/>
  <c r="R298" i="4"/>
  <c r="R310" i="4"/>
  <c r="R303" i="4"/>
  <c r="R152" i="4"/>
  <c r="R307" i="4"/>
  <c r="R296" i="4"/>
  <c r="R299" i="4"/>
  <c r="R304" i="4"/>
  <c r="R297" i="4"/>
  <c r="R300" i="4"/>
  <c r="R111" i="4"/>
  <c r="R126" i="4"/>
  <c r="R274" i="4"/>
  <c r="R197" i="4"/>
  <c r="R179" i="4"/>
  <c r="R280" i="4"/>
  <c r="R62" i="4"/>
  <c r="R273" i="4"/>
  <c r="R218" i="4"/>
  <c r="R165" i="4"/>
  <c r="R171" i="4"/>
  <c r="R148" i="4"/>
  <c r="R160" i="4"/>
  <c r="R180" i="4"/>
  <c r="R146" i="4"/>
  <c r="R178" i="4"/>
  <c r="R226" i="4"/>
  <c r="R45" i="4"/>
  <c r="R225" i="4"/>
  <c r="R7" i="2"/>
  <c r="R34" i="4"/>
  <c r="R89" i="4"/>
  <c r="R35" i="4"/>
  <c r="R205" i="4"/>
  <c r="R138" i="4"/>
  <c r="R272" i="4"/>
  <c r="R157" i="4"/>
  <c r="R139" i="4"/>
  <c r="R200" i="4"/>
  <c r="R38" i="4"/>
  <c r="R236" i="4"/>
  <c r="R182" i="4"/>
  <c r="R265" i="4"/>
  <c r="R74" i="4"/>
  <c r="R224" i="4"/>
  <c r="R137" i="4"/>
  <c r="R217" i="4"/>
  <c r="R250" i="4"/>
  <c r="R201" i="4"/>
  <c r="R27" i="4"/>
  <c r="R119" i="4"/>
  <c r="R147" i="4"/>
  <c r="R154" i="4"/>
  <c r="R292" i="4"/>
  <c r="R223" i="4"/>
  <c r="R206" i="4"/>
  <c r="R202" i="4"/>
  <c r="R269" i="4"/>
  <c r="R207" i="4"/>
  <c r="R173" i="4"/>
  <c r="R95" i="4"/>
  <c r="R96" i="4"/>
  <c r="R184" i="4"/>
  <c r="R107" i="4"/>
  <c r="R271" i="4"/>
  <c r="R249" i="4"/>
  <c r="R288" i="4"/>
  <c r="R216" i="4"/>
  <c r="R289" i="4"/>
  <c r="R360" i="4"/>
  <c r="R174" i="4"/>
  <c r="R209" i="4"/>
  <c r="R52" i="4"/>
  <c r="R125" i="4"/>
  <c r="R140" i="4"/>
  <c r="R103" i="4"/>
  <c r="R39" i="4"/>
  <c r="R183" i="4"/>
  <c r="R266" i="4"/>
  <c r="R211" i="4"/>
  <c r="R23" i="2"/>
  <c r="R195" i="4"/>
  <c r="R172" i="4"/>
  <c r="R175" i="4"/>
  <c r="R176" i="4"/>
  <c r="R177" i="4"/>
  <c r="R28" i="4"/>
  <c r="R242" i="4"/>
  <c r="R75" i="4"/>
  <c r="R135" i="4"/>
  <c r="R136" i="4"/>
  <c r="R340" i="4"/>
  <c r="R262" i="4"/>
  <c r="R63" i="4"/>
  <c r="R150" i="4"/>
  <c r="R268" i="4"/>
  <c r="R193" i="4"/>
  <c r="R285" i="4"/>
  <c r="R232" i="4"/>
  <c r="R61" i="4"/>
  <c r="R234" i="4"/>
  <c r="R78" i="4"/>
  <c r="R101" i="4"/>
  <c r="R153" i="4"/>
  <c r="R227" i="4"/>
  <c r="R259" i="4"/>
  <c r="R21" i="4"/>
  <c r="R143" i="4"/>
  <c r="R365" i="4"/>
  <c r="R31" i="4"/>
  <c r="R72" i="4"/>
  <c r="R253" i="4"/>
  <c r="R54" i="4"/>
  <c r="R40" i="4"/>
  <c r="R264" i="4"/>
  <c r="R276" i="4"/>
  <c r="R213" i="4"/>
  <c r="R215" i="4"/>
  <c r="R294" i="4"/>
  <c r="R281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7" i="4"/>
  <c r="R122" i="4"/>
  <c r="R127" i="4"/>
  <c r="R192" i="4"/>
  <c r="R92" i="4"/>
  <c r="R93" i="4"/>
  <c r="R97" i="4"/>
  <c r="R12" i="4"/>
  <c r="R188" i="4"/>
  <c r="R270" i="4"/>
  <c r="R203" i="4"/>
  <c r="R293" i="4"/>
  <c r="R94" i="4"/>
  <c r="R145" i="4"/>
  <c r="R185" i="4"/>
  <c r="R36" i="4"/>
  <c r="R67" i="4"/>
  <c r="R230" i="4"/>
  <c r="R30" i="4"/>
  <c r="R263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6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7" i="4"/>
  <c r="R278" i="4"/>
  <c r="R166" i="4"/>
  <c r="R256" i="4"/>
  <c r="R33" i="4"/>
  <c r="R60" i="4"/>
  <c r="R210" i="4"/>
  <c r="R220" i="4"/>
  <c r="R221" i="4"/>
  <c r="R246" i="4"/>
  <c r="R123" i="4"/>
  <c r="R279" i="4"/>
  <c r="R141" i="4"/>
  <c r="R258" i="4"/>
  <c r="R261" i="4"/>
  <c r="R42" i="4"/>
  <c r="R71" i="4"/>
  <c r="R80" i="4"/>
  <c r="R29" i="4"/>
  <c r="R245" i="4"/>
  <c r="R231" i="4"/>
  <c r="R284" i="4"/>
  <c r="R58" i="4"/>
  <c r="R186" i="4"/>
  <c r="R124" i="4"/>
  <c r="R73" i="4"/>
  <c r="R79" i="4"/>
  <c r="R196" i="4"/>
  <c r="R260" i="4"/>
  <c r="R282" i="4"/>
  <c r="R120" i="4"/>
  <c r="R76" i="4"/>
  <c r="R16" i="4"/>
  <c r="R48" i="4"/>
  <c r="R291" i="4"/>
  <c r="R59" i="4"/>
  <c r="R9" i="4"/>
  <c r="R10" i="4"/>
  <c r="R19" i="4"/>
  <c r="R248" i="4"/>
  <c r="R251" i="4"/>
  <c r="R252" i="4"/>
  <c r="R11" i="4"/>
  <c r="R255" i="4"/>
  <c r="R287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0" i="4"/>
  <c r="Z366" i="4"/>
  <c r="Z357" i="4"/>
  <c r="U2" i="12"/>
  <c r="R283" i="4"/>
  <c r="R290" i="4"/>
  <c r="R69" i="4"/>
  <c r="R331" i="4"/>
  <c r="Q2" i="12"/>
  <c r="O2" i="12"/>
  <c r="N392" i="4"/>
  <c r="N404" i="4"/>
  <c r="M2" i="12"/>
  <c r="K2" i="12"/>
  <c r="J188" i="4"/>
  <c r="J23" i="4"/>
  <c r="J179" i="4"/>
  <c r="J180" i="4"/>
  <c r="J283" i="4"/>
  <c r="J187" i="4"/>
  <c r="J237" i="4"/>
  <c r="J264" i="4"/>
  <c r="J239" i="4"/>
  <c r="J240" i="4"/>
  <c r="J242" i="4"/>
  <c r="J265" i="4"/>
  <c r="J243" i="4"/>
  <c r="J266" i="4"/>
  <c r="J121" i="4"/>
  <c r="J267" i="4"/>
  <c r="J268" i="4"/>
  <c r="J269" i="4"/>
  <c r="J270" i="4"/>
  <c r="J151" i="4"/>
  <c r="J210" i="4"/>
  <c r="J220" i="4"/>
  <c r="J221" i="4"/>
  <c r="J249" i="4"/>
  <c r="J192" i="4"/>
  <c r="J213" i="4"/>
  <c r="J77" i="4"/>
  <c r="J287" i="4"/>
  <c r="J199" i="4"/>
  <c r="J261" i="4"/>
  <c r="J186" i="4"/>
  <c r="J238" i="4"/>
  <c r="J241" i="4"/>
  <c r="J271" i="4"/>
  <c r="J9" i="4"/>
  <c r="J190" i="4"/>
  <c r="J10" i="4"/>
  <c r="J23" i="2"/>
  <c r="J16" i="4"/>
  <c r="J276" i="4"/>
  <c r="J281" i="4"/>
  <c r="J8" i="4"/>
  <c r="J68" i="4"/>
  <c r="J293" i="4"/>
  <c r="J250" i="4"/>
  <c r="J251" i="4"/>
  <c r="J277" i="4"/>
  <c r="J278" i="4"/>
  <c r="J279" i="4"/>
  <c r="J87" i="4"/>
  <c r="J288" i="4"/>
  <c r="J196" i="4"/>
  <c r="J218" i="4"/>
  <c r="J228" i="4"/>
  <c r="J289" i="4"/>
  <c r="J294" i="4"/>
  <c r="J197" i="4"/>
  <c r="J291" i="4"/>
  <c r="J100" i="4"/>
  <c r="J245" i="4"/>
  <c r="J194" i="4"/>
  <c r="J141" i="4"/>
  <c r="J116" i="4"/>
  <c r="J233" i="4"/>
  <c r="J234" i="4"/>
  <c r="J155" i="4"/>
  <c r="J191" i="4"/>
  <c r="J248" i="4"/>
  <c r="J292" i="4"/>
  <c r="J73" i="4"/>
  <c r="J212" i="4"/>
  <c r="J254" i="4"/>
  <c r="J255" i="4"/>
  <c r="J230" i="4"/>
  <c r="J257" i="4"/>
  <c r="J178" i="4"/>
  <c r="J282" i="4"/>
  <c r="J236" i="4"/>
  <c r="J189" i="4"/>
  <c r="J275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6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4" i="4"/>
  <c r="J158" i="4"/>
  <c r="J273" i="4"/>
  <c r="J124" i="4"/>
  <c r="J211" i="4"/>
  <c r="J165" i="4"/>
  <c r="J166" i="4"/>
  <c r="J167" i="4"/>
  <c r="J174" i="4"/>
  <c r="J290" i="4"/>
  <c r="J144" i="4"/>
  <c r="J120" i="4"/>
  <c r="J80" i="4"/>
  <c r="J169" i="4"/>
  <c r="J171" i="4"/>
  <c r="J206" i="4"/>
  <c r="J172" i="4"/>
  <c r="J295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0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2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7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0" i="2"/>
  <c r="J110" i="4"/>
  <c r="J66" i="4"/>
  <c r="J102" i="4"/>
  <c r="J175" i="4"/>
  <c r="J8" i="2"/>
  <c r="J81" i="4"/>
  <c r="J107" i="4"/>
  <c r="J32" i="4"/>
  <c r="J15" i="4"/>
  <c r="J41" i="4"/>
  <c r="J106" i="4"/>
  <c r="J33" i="4"/>
  <c r="J67" i="4"/>
  <c r="J36" i="4"/>
  <c r="J108" i="4"/>
  <c r="J46" i="4"/>
  <c r="J37" i="4"/>
  <c r="J34" i="4"/>
  <c r="I2" i="12"/>
  <c r="H90" i="4"/>
  <c r="H89" i="4"/>
  <c r="G2" i="12"/>
  <c r="F244" i="4"/>
  <c r="F43" i="2"/>
  <c r="F232" i="4"/>
  <c r="F262" i="4"/>
  <c r="F263" i="4"/>
  <c r="F237" i="4"/>
  <c r="F264" i="4"/>
  <c r="F239" i="4"/>
  <c r="F240" i="4"/>
  <c r="F242" i="4"/>
  <c r="F265" i="4"/>
  <c r="F243" i="4"/>
  <c r="F266" i="4"/>
  <c r="F246" i="4"/>
  <c r="F267" i="4"/>
  <c r="F268" i="4"/>
  <c r="F269" i="4"/>
  <c r="F270" i="4"/>
  <c r="F151" i="4"/>
  <c r="F249" i="4"/>
  <c r="F287" i="4"/>
  <c r="F49" i="2"/>
  <c r="F284" i="4"/>
  <c r="F261" i="4"/>
  <c r="F238" i="4"/>
  <c r="F241" i="4"/>
  <c r="F271" i="4"/>
  <c r="F190" i="4"/>
  <c r="F276" i="4"/>
  <c r="F281" i="4"/>
  <c r="F68" i="4"/>
  <c r="F279" i="4"/>
  <c r="F34" i="2"/>
  <c r="F87" i="4"/>
  <c r="F288" i="4"/>
  <c r="F218" i="4"/>
  <c r="F197" i="4"/>
  <c r="F100" i="4"/>
  <c r="F116" i="4"/>
  <c r="F233" i="4"/>
  <c r="F292" i="4"/>
  <c r="F129" i="4"/>
  <c r="F212" i="4"/>
  <c r="F254" i="4"/>
  <c r="F255" i="4"/>
  <c r="F9" i="2"/>
  <c r="F8" i="2"/>
  <c r="F149" i="4"/>
  <c r="F236" i="4"/>
  <c r="F204" i="4"/>
  <c r="F256" i="4"/>
  <c r="F114" i="4"/>
  <c r="F145" i="4"/>
  <c r="F183" i="4"/>
  <c r="F235" i="4"/>
  <c r="F286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4" i="4"/>
  <c r="F152" i="4"/>
  <c r="F158" i="4"/>
  <c r="F273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5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0" i="4"/>
  <c r="F118" i="4"/>
  <c r="F53" i="4"/>
  <c r="F10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2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7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67" i="4"/>
  <c r="F36" i="4"/>
  <c r="F108" i="4"/>
  <c r="F47" i="2"/>
  <c r="F46" i="4"/>
  <c r="F37" i="4"/>
  <c r="F34" i="4"/>
  <c r="F35" i="4"/>
  <c r="F301" i="4"/>
  <c r="F302" i="4"/>
  <c r="F303" i="4"/>
  <c r="F304" i="4"/>
  <c r="F307" i="4"/>
  <c r="F308" i="4"/>
  <c r="F309" i="4"/>
  <c r="F310" i="4"/>
  <c r="F297" i="4"/>
  <c r="F298" i="4"/>
  <c r="F296" i="4"/>
  <c r="F299" i="4"/>
  <c r="F300" i="4"/>
  <c r="F311" i="4"/>
  <c r="F48" i="2"/>
  <c r="F305" i="4"/>
  <c r="F339" i="4"/>
  <c r="F330" i="4"/>
  <c r="F328" i="4"/>
  <c r="F329" i="4"/>
  <c r="F321" i="4"/>
  <c r="F331" i="4"/>
  <c r="F320" i="4"/>
  <c r="F338" i="4"/>
  <c r="F313" i="4"/>
  <c r="F336" i="4"/>
  <c r="F319" i="4"/>
  <c r="F343" i="4"/>
  <c r="F322" i="4"/>
  <c r="F315" i="4"/>
  <c r="F316" i="4"/>
  <c r="F317" i="4"/>
  <c r="F318" i="4"/>
  <c r="F344" i="4"/>
  <c r="F334" i="4"/>
  <c r="F335" i="4"/>
  <c r="F337" i="4"/>
  <c r="F323" i="4"/>
  <c r="F324" i="4"/>
  <c r="F325" i="4"/>
  <c r="F326" i="4"/>
  <c r="F327" i="4"/>
  <c r="F314" i="4"/>
  <c r="F312" i="4"/>
  <c r="F332" i="4"/>
  <c r="F333" i="4"/>
  <c r="F342" i="4"/>
  <c r="F340" i="4"/>
  <c r="F341" i="4"/>
  <c r="F348" i="4"/>
  <c r="F347" i="4"/>
  <c r="F358" i="4"/>
  <c r="F359" i="4"/>
  <c r="F345" i="4"/>
  <c r="F355" i="4"/>
  <c r="F356" i="4"/>
  <c r="F361" i="4"/>
  <c r="F346" i="4"/>
  <c r="F362" i="4"/>
  <c r="F363" i="4"/>
  <c r="F364" i="4"/>
  <c r="F349" i="4"/>
  <c r="F350" i="4"/>
  <c r="F351" i="4"/>
  <c r="F353" i="4"/>
  <c r="F354" i="4"/>
  <c r="F352" i="4"/>
  <c r="F365" i="4"/>
  <c r="F360" i="4"/>
  <c r="F366" i="4"/>
  <c r="F357" i="4"/>
  <c r="F376" i="4"/>
  <c r="F374" i="4"/>
  <c r="F370" i="4"/>
  <c r="F371" i="4"/>
  <c r="F367" i="4"/>
  <c r="F368" i="4"/>
  <c r="F372" i="4"/>
  <c r="F373" i="4"/>
  <c r="F375" i="4"/>
  <c r="F369" i="4"/>
  <c r="F377" i="4"/>
  <c r="F386" i="4"/>
  <c r="F385" i="4"/>
  <c r="F392" i="4"/>
  <c r="F384" i="4"/>
  <c r="F393" i="4"/>
  <c r="F394" i="4"/>
  <c r="F395" i="4"/>
  <c r="F396" i="4"/>
  <c r="F397" i="4"/>
  <c r="F387" i="4"/>
  <c r="F388" i="4"/>
  <c r="F389" i="4"/>
  <c r="F398" i="4"/>
  <c r="F399" i="4"/>
  <c r="F400" i="4"/>
  <c r="F401" i="4"/>
  <c r="F390" i="4"/>
  <c r="F391" i="4"/>
  <c r="F402" i="4"/>
  <c r="F403" i="4"/>
  <c r="F404" i="4"/>
  <c r="F405" i="4"/>
  <c r="F406" i="4"/>
  <c r="F407" i="4"/>
  <c r="F383" i="4"/>
  <c r="E2" i="12"/>
  <c r="C2" i="12"/>
  <c r="E244" i="4"/>
  <c r="E43" i="2"/>
  <c r="E232" i="4"/>
  <c r="E262" i="4"/>
  <c r="E263" i="4"/>
  <c r="E237" i="4"/>
  <c r="E264" i="4"/>
  <c r="E239" i="4"/>
  <c r="E240" i="4"/>
  <c r="E242" i="4"/>
  <c r="E265" i="4"/>
  <c r="E243" i="4"/>
  <c r="E266" i="4"/>
  <c r="E246" i="4"/>
  <c r="E267" i="4"/>
  <c r="E268" i="4"/>
  <c r="E269" i="4"/>
  <c r="E270" i="4"/>
  <c r="E151" i="4"/>
  <c r="E249" i="4"/>
  <c r="E287" i="4"/>
  <c r="E49" i="2"/>
  <c r="E284" i="4"/>
  <c r="E261" i="4"/>
  <c r="E238" i="4"/>
  <c r="E241" i="4"/>
  <c r="E271" i="4"/>
  <c r="E190" i="4"/>
  <c r="E276" i="4"/>
  <c r="E281" i="4"/>
  <c r="E68" i="4"/>
  <c r="E279" i="4"/>
  <c r="E34" i="2"/>
  <c r="E87" i="4"/>
  <c r="E288" i="4"/>
  <c r="E218" i="4"/>
  <c r="E197" i="4"/>
  <c r="E100" i="4"/>
  <c r="E116" i="4"/>
  <c r="E233" i="4"/>
  <c r="E292" i="4"/>
  <c r="E129" i="4"/>
  <c r="E212" i="4"/>
  <c r="E254" i="4"/>
  <c r="E255" i="4"/>
  <c r="E9" i="2"/>
  <c r="E8" i="2"/>
  <c r="E149" i="4"/>
  <c r="E236" i="4"/>
  <c r="E204" i="4"/>
  <c r="E256" i="4"/>
  <c r="E114" i="4"/>
  <c r="E145" i="4"/>
  <c r="E183" i="4"/>
  <c r="E235" i="4"/>
  <c r="E286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4" i="4"/>
  <c r="E152" i="4"/>
  <c r="E158" i="4"/>
  <c r="E273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5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0" i="4"/>
  <c r="E118" i="4"/>
  <c r="E53" i="4"/>
  <c r="E10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2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7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67" i="4"/>
  <c r="E36" i="4"/>
  <c r="E108" i="4"/>
  <c r="E47" i="2"/>
  <c r="E46" i="4"/>
  <c r="E37" i="4"/>
  <c r="E34" i="4"/>
  <c r="E35" i="4"/>
  <c r="E301" i="4"/>
  <c r="E302" i="4"/>
  <c r="E303" i="4"/>
  <c r="E304" i="4"/>
  <c r="E307" i="4"/>
  <c r="E308" i="4"/>
  <c r="E309" i="4"/>
  <c r="E310" i="4"/>
  <c r="E297" i="4"/>
  <c r="E298" i="4"/>
  <c r="E296" i="4"/>
  <c r="E299" i="4"/>
  <c r="E300" i="4"/>
  <c r="E311" i="4"/>
  <c r="E48" i="2"/>
  <c r="E305" i="4"/>
  <c r="E339" i="4"/>
  <c r="E330" i="4"/>
  <c r="E328" i="4"/>
  <c r="E329" i="4"/>
  <c r="E321" i="4"/>
  <c r="E331" i="4"/>
  <c r="E320" i="4"/>
  <c r="E338" i="4"/>
  <c r="E313" i="4"/>
  <c r="E336" i="4"/>
  <c r="E319" i="4"/>
  <c r="E343" i="4"/>
  <c r="E322" i="4"/>
  <c r="E315" i="4"/>
  <c r="E316" i="4"/>
  <c r="E317" i="4"/>
  <c r="E318" i="4"/>
  <c r="E344" i="4"/>
  <c r="E334" i="4"/>
  <c r="E335" i="4"/>
  <c r="E337" i="4"/>
  <c r="E323" i="4"/>
  <c r="E324" i="4"/>
  <c r="E325" i="4"/>
  <c r="E326" i="4"/>
  <c r="E327" i="4"/>
  <c r="E314" i="4"/>
  <c r="E312" i="4"/>
  <c r="E332" i="4"/>
  <c r="E333" i="4"/>
  <c r="E342" i="4"/>
  <c r="E340" i="4"/>
  <c r="E341" i="4"/>
  <c r="E348" i="4"/>
  <c r="E347" i="4"/>
  <c r="E358" i="4"/>
  <c r="E359" i="4"/>
  <c r="E345" i="4"/>
  <c r="E355" i="4"/>
  <c r="E356" i="4"/>
  <c r="E361" i="4"/>
  <c r="E346" i="4"/>
  <c r="E362" i="4"/>
  <c r="E363" i="4"/>
  <c r="E364" i="4"/>
  <c r="E349" i="4"/>
  <c r="E350" i="4"/>
  <c r="E351" i="4"/>
  <c r="E353" i="4"/>
  <c r="E354" i="4"/>
  <c r="E352" i="4"/>
  <c r="E365" i="4"/>
  <c r="E360" i="4"/>
  <c r="E366" i="4"/>
  <c r="E357" i="4"/>
  <c r="E376" i="4"/>
  <c r="E374" i="4"/>
  <c r="E370" i="4"/>
  <c r="E371" i="4"/>
  <c r="E367" i="4"/>
  <c r="E368" i="4"/>
  <c r="E372" i="4"/>
  <c r="E373" i="4"/>
  <c r="E375" i="4"/>
  <c r="E369" i="4"/>
  <c r="E377" i="4"/>
  <c r="E386" i="4"/>
  <c r="E385" i="4"/>
  <c r="E392" i="4"/>
  <c r="E384" i="4"/>
  <c r="E393" i="4"/>
  <c r="E394" i="4"/>
  <c r="E395" i="4"/>
  <c r="E396" i="4"/>
  <c r="E397" i="4"/>
  <c r="E387" i="4"/>
  <c r="E388" i="4"/>
  <c r="E389" i="4"/>
  <c r="E398" i="4"/>
  <c r="E399" i="4"/>
  <c r="E400" i="4"/>
  <c r="E401" i="4"/>
  <c r="E390" i="4"/>
  <c r="E391" i="4"/>
  <c r="E402" i="4"/>
  <c r="E403" i="4"/>
  <c r="E404" i="4"/>
  <c r="E405" i="4"/>
  <c r="E406" i="4"/>
  <c r="E407" i="4"/>
  <c r="E383" i="4"/>
  <c r="D2" i="12"/>
  <c r="F2" i="12"/>
  <c r="I188" i="4"/>
  <c r="I23" i="4"/>
  <c r="I179" i="4"/>
  <c r="I180" i="4"/>
  <c r="I283" i="4"/>
  <c r="I187" i="4"/>
  <c r="I237" i="4"/>
  <c r="I264" i="4"/>
  <c r="I239" i="4"/>
  <c r="I240" i="4"/>
  <c r="I242" i="4"/>
  <c r="I265" i="4"/>
  <c r="I243" i="4"/>
  <c r="I266" i="4"/>
  <c r="I121" i="4"/>
  <c r="I267" i="4"/>
  <c r="I268" i="4"/>
  <c r="I269" i="4"/>
  <c r="I270" i="4"/>
  <c r="I151" i="4"/>
  <c r="I210" i="4"/>
  <c r="I220" i="4"/>
  <c r="I221" i="4"/>
  <c r="I249" i="4"/>
  <c r="I192" i="4"/>
  <c r="I213" i="4"/>
  <c r="I77" i="4"/>
  <c r="I287" i="4"/>
  <c r="I199" i="4"/>
  <c r="I261" i="4"/>
  <c r="I186" i="4"/>
  <c r="I238" i="4"/>
  <c r="I241" i="4"/>
  <c r="I271" i="4"/>
  <c r="I9" i="4"/>
  <c r="I190" i="4"/>
  <c r="I10" i="4"/>
  <c r="I23" i="2"/>
  <c r="I16" i="4"/>
  <c r="I276" i="4"/>
  <c r="I281" i="4"/>
  <c r="I8" i="4"/>
  <c r="I293" i="4"/>
  <c r="I250" i="4"/>
  <c r="I251" i="4"/>
  <c r="I277" i="4"/>
  <c r="I278" i="4"/>
  <c r="I279" i="4"/>
  <c r="I288" i="4"/>
  <c r="I196" i="4"/>
  <c r="I218" i="4"/>
  <c r="I228" i="4"/>
  <c r="I289" i="4"/>
  <c r="I294" i="4"/>
  <c r="I197" i="4"/>
  <c r="I291" i="4"/>
  <c r="I245" i="4"/>
  <c r="I194" i="4"/>
  <c r="I141" i="4"/>
  <c r="I116" i="4"/>
  <c r="I233" i="4"/>
  <c r="I234" i="4"/>
  <c r="I155" i="4"/>
  <c r="I191" i="4"/>
  <c r="I248" i="4"/>
  <c r="I292" i="4"/>
  <c r="I73" i="4"/>
  <c r="I212" i="4"/>
  <c r="I254" i="4"/>
  <c r="I255" i="4"/>
  <c r="I230" i="4"/>
  <c r="I257" i="4"/>
  <c r="I178" i="4"/>
  <c r="I282" i="4"/>
  <c r="I236" i="4"/>
  <c r="I189" i="4"/>
  <c r="I275" i="4"/>
  <c r="I222" i="4"/>
  <c r="I253" i="4"/>
  <c r="I231" i="4"/>
  <c r="I219" i="4"/>
  <c r="I122" i="4"/>
  <c r="I229" i="4"/>
  <c r="I256" i="4"/>
  <c r="I259" i="4"/>
  <c r="I25" i="2"/>
  <c r="I114" i="4"/>
  <c r="I145" i="4"/>
  <c r="I183" i="4"/>
  <c r="I235" i="4"/>
  <c r="I127" i="4"/>
  <c r="I286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4" i="4"/>
  <c r="I158" i="4"/>
  <c r="I273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5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0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2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7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0" i="2"/>
  <c r="I110" i="4"/>
  <c r="I66" i="4"/>
  <c r="I102" i="4"/>
  <c r="I175" i="4"/>
  <c r="I8" i="2"/>
  <c r="I81" i="4"/>
  <c r="I107" i="4"/>
  <c r="I32" i="4"/>
  <c r="I15" i="4"/>
  <c r="I41" i="4"/>
  <c r="I106" i="4"/>
  <c r="I33" i="4"/>
  <c r="I67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6" i="4"/>
  <c r="M385" i="4"/>
  <c r="M392" i="4"/>
  <c r="M384" i="4"/>
  <c r="M393" i="4"/>
  <c r="M394" i="4"/>
  <c r="M395" i="4"/>
  <c r="M396" i="4"/>
  <c r="M397" i="4"/>
  <c r="M387" i="4"/>
  <c r="M388" i="4"/>
  <c r="M389" i="4"/>
  <c r="M398" i="4"/>
  <c r="M399" i="4"/>
  <c r="M400" i="4"/>
  <c r="M401" i="4"/>
  <c r="M390" i="4"/>
  <c r="M391" i="4"/>
  <c r="M402" i="4"/>
  <c r="M403" i="4"/>
  <c r="M404" i="4"/>
  <c r="M405" i="4"/>
  <c r="M406" i="4"/>
  <c r="M407" i="4"/>
  <c r="M383" i="4"/>
  <c r="L2" i="12"/>
  <c r="N2" i="12"/>
  <c r="Q283" i="4"/>
  <c r="Q290" i="4"/>
  <c r="Q69" i="4"/>
  <c r="P2" i="12"/>
  <c r="R2" i="12"/>
  <c r="V2" i="12"/>
  <c r="Y313" i="4"/>
  <c r="Y357" i="4"/>
  <c r="B380" i="4"/>
  <c r="C380" i="4"/>
  <c r="B382" i="4"/>
  <c r="C382" i="4"/>
  <c r="B379" i="4"/>
  <c r="C379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7" i="5"/>
  <c r="BA322" i="5"/>
  <c r="BA115" i="5"/>
  <c r="BA332" i="5"/>
  <c r="BA338" i="5"/>
  <c r="BA330" i="5"/>
  <c r="BA369" i="5"/>
  <c r="BA374" i="5"/>
  <c r="BA367" i="5"/>
  <c r="BA365" i="5"/>
  <c r="BA364" i="5"/>
  <c r="BA328" i="5"/>
  <c r="BA301" i="5"/>
  <c r="BA360" i="5"/>
  <c r="BA378" i="5"/>
  <c r="BA366" i="5"/>
  <c r="BA319" i="5"/>
  <c r="BA299" i="5"/>
  <c r="BA309" i="5"/>
  <c r="BA298" i="5"/>
  <c r="BA326" i="5"/>
  <c r="BA371" i="5"/>
  <c r="BA320" i="5"/>
  <c r="BA379" i="5"/>
  <c r="BA340" i="5"/>
  <c r="BA303" i="5"/>
  <c r="BA382" i="5"/>
  <c r="BA381" i="5"/>
  <c r="BA311" i="5"/>
  <c r="BA321" i="5"/>
  <c r="BA293" i="5"/>
  <c r="BA292" i="5"/>
  <c r="BA357" i="5"/>
  <c r="BA306" i="5"/>
  <c r="BA325" i="5"/>
  <c r="BA310" i="5"/>
  <c r="BA356" i="5"/>
  <c r="BA368" i="5"/>
  <c r="BA318" i="5"/>
  <c r="BA302" i="5"/>
  <c r="BA376" i="5"/>
  <c r="BA372" i="5"/>
  <c r="BA297" i="5"/>
  <c r="BA305" i="5"/>
  <c r="BA317" i="5"/>
  <c r="BA323" i="5"/>
  <c r="BA362" i="5"/>
  <c r="BA358" i="5"/>
  <c r="BA361" i="5"/>
  <c r="BA296" i="5"/>
  <c r="BA334" i="5"/>
  <c r="BA27" i="5"/>
  <c r="BA327" i="5"/>
  <c r="BA353" i="5"/>
  <c r="BA363" i="5"/>
  <c r="BA68" i="5"/>
  <c r="BA375" i="5"/>
  <c r="BA354" i="5"/>
  <c r="BA331" i="5"/>
  <c r="BA380" i="5"/>
  <c r="BA346" i="5"/>
  <c r="BA333" i="5"/>
  <c r="BA304" i="5"/>
  <c r="BA351" i="5"/>
  <c r="BA307" i="5"/>
  <c r="BA308" i="5"/>
  <c r="BA329" i="5"/>
  <c r="BA352" i="5"/>
  <c r="BA344" i="5"/>
  <c r="BA370" i="5"/>
  <c r="BA347" i="5"/>
  <c r="BA373" i="5"/>
  <c r="BA345" i="5"/>
  <c r="BA312" i="5"/>
  <c r="BA377" i="5"/>
  <c r="BA313" i="5"/>
  <c r="BA314" i="5"/>
  <c r="BA341" i="5"/>
  <c r="BA342" i="5"/>
  <c r="BA337" i="5"/>
  <c r="BA355" i="5"/>
  <c r="BA336" i="5"/>
  <c r="BA316" i="5"/>
  <c r="BA335" i="5"/>
  <c r="BA315" i="5"/>
  <c r="BA359" i="5"/>
  <c r="BA339" i="5"/>
  <c r="BA348" i="5"/>
  <c r="BA343" i="5"/>
  <c r="BA349" i="5"/>
  <c r="BA350" i="5"/>
  <c r="BA324" i="5"/>
  <c r="BA386" i="5"/>
  <c r="BF217" i="5"/>
  <c r="BF322" i="5"/>
  <c r="BF324" i="5"/>
  <c r="BF330" i="5"/>
  <c r="BF332" i="5"/>
  <c r="BF338" i="5"/>
  <c r="BF386" i="5"/>
  <c r="BF251" i="5"/>
  <c r="BF260" i="5"/>
  <c r="BF403" i="5"/>
  <c r="BF387" i="5"/>
  <c r="BF397" i="5"/>
  <c r="BF399" i="5"/>
  <c r="BF95" i="5"/>
  <c r="BF159" i="5"/>
  <c r="BF186" i="5"/>
  <c r="BF40" i="5"/>
  <c r="BF45" i="5"/>
  <c r="BF175" i="5"/>
  <c r="BF384" i="5"/>
  <c r="BF400" i="5"/>
  <c r="BF401" i="5"/>
  <c r="BF59" i="5"/>
  <c r="BF115" i="5"/>
  <c r="BF281" i="5"/>
  <c r="BF288" i="5"/>
  <c r="BF37" i="5"/>
  <c r="BF38" i="5"/>
  <c r="BF39" i="5"/>
  <c r="BF100" i="5"/>
  <c r="BF328" i="5"/>
  <c r="BF394" i="5"/>
  <c r="BF406" i="5"/>
  <c r="BF36" i="5"/>
  <c r="BF64" i="5"/>
  <c r="BF173" i="5"/>
  <c r="BF63" i="5"/>
  <c r="BF65" i="5"/>
  <c r="BF365" i="5"/>
  <c r="BF367" i="5"/>
  <c r="BF369" i="5"/>
  <c r="BF374" i="5"/>
  <c r="BF392" i="5"/>
  <c r="BF393" i="5"/>
  <c r="BF404" i="5"/>
  <c r="BF51" i="5"/>
  <c r="BF54" i="5"/>
  <c r="BF57" i="5"/>
  <c r="BF151" i="5"/>
  <c r="BF255" i="5"/>
  <c r="BF364" i="5"/>
  <c r="BF48" i="5"/>
  <c r="BF383" i="5"/>
  <c r="BF388" i="5"/>
  <c r="BF390" i="5"/>
  <c r="BF395" i="5"/>
  <c r="BF396" i="5"/>
  <c r="BF398" i="5"/>
  <c r="BF407" i="5"/>
  <c r="BF146" i="5"/>
  <c r="BF150" i="5"/>
  <c r="BF319" i="5"/>
  <c r="BF174" i="5"/>
  <c r="BF326" i="5"/>
  <c r="BF402" i="5"/>
  <c r="BF140" i="5"/>
  <c r="BF405" i="5"/>
  <c r="BF50" i="5"/>
  <c r="BF261" i="5"/>
  <c r="BF138" i="5"/>
  <c r="BF152" i="5"/>
  <c r="BF320" i="5"/>
  <c r="BF127" i="5"/>
  <c r="BF135" i="5"/>
  <c r="BF147" i="5"/>
  <c r="BF254" i="5"/>
  <c r="BF177" i="5"/>
  <c r="BF242" i="5"/>
  <c r="BF244" i="5"/>
  <c r="BF122" i="5"/>
  <c r="BF253" i="5"/>
  <c r="BF25" i="5"/>
  <c r="BF223" i="5"/>
  <c r="BF301" i="5"/>
  <c r="BF391" i="5"/>
  <c r="BF116" i="5"/>
  <c r="BF207" i="5"/>
  <c r="BF239" i="5"/>
  <c r="BF241" i="5"/>
  <c r="BF243" i="5"/>
  <c r="BF360" i="5"/>
  <c r="BF385" i="5"/>
  <c r="BF121" i="5"/>
  <c r="BF8" i="5"/>
  <c r="BF340" i="5"/>
  <c r="BF366" i="5"/>
  <c r="BF378" i="5"/>
  <c r="BF267" i="5"/>
  <c r="BF136" i="5"/>
  <c r="BF181" i="5"/>
  <c r="BF219" i="5"/>
  <c r="BF238" i="5"/>
  <c r="BF240" i="5"/>
  <c r="BF58" i="5"/>
  <c r="BF252" i="5"/>
  <c r="BF245" i="5"/>
  <c r="BF389" i="5"/>
  <c r="BF72" i="5"/>
  <c r="BF214" i="5"/>
  <c r="BF237" i="5"/>
  <c r="BF298" i="5"/>
  <c r="BF299" i="5"/>
  <c r="BF309" i="5"/>
  <c r="BF103" i="5"/>
  <c r="BF137" i="5"/>
  <c r="BF86" i="5"/>
  <c r="BF15" i="5"/>
  <c r="BF179" i="5"/>
  <c r="BF321" i="5"/>
  <c r="BF371" i="5"/>
  <c r="BF53" i="5"/>
  <c r="BF85" i="5"/>
  <c r="BF129" i="5"/>
  <c r="BF176" i="5"/>
  <c r="BF5" i="5"/>
  <c r="BF21" i="5"/>
  <c r="BF22" i="5"/>
  <c r="BF23" i="5"/>
  <c r="BF24" i="5"/>
  <c r="BF9" i="5"/>
  <c r="BF134" i="5"/>
  <c r="BF178" i="5"/>
  <c r="BF218" i="5"/>
  <c r="BF250" i="5"/>
  <c r="BF112" i="5"/>
  <c r="BF222" i="5"/>
  <c r="BF262" i="5"/>
  <c r="BF10" i="5"/>
  <c r="BF130" i="5"/>
  <c r="BF145" i="5"/>
  <c r="BF171" i="5"/>
  <c r="BF20" i="5"/>
  <c r="BF215" i="5"/>
  <c r="BF379" i="5"/>
  <c r="BF282" i="5"/>
  <c r="BE2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89" i="5"/>
  <c r="T39" i="2"/>
  <c r="T19" i="2"/>
  <c r="K43" i="2"/>
  <c r="K39" i="2"/>
  <c r="K19" i="2"/>
  <c r="BE382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261" i="5"/>
  <c r="BE52" i="5"/>
  <c r="BE262" i="5"/>
  <c r="BE263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9" i="5"/>
  <c r="BE71" i="5"/>
  <c r="BE72" i="5"/>
  <c r="BE73" i="5"/>
  <c r="BE74" i="5"/>
  <c r="BE75" i="5"/>
  <c r="BE76" i="5"/>
  <c r="BE77" i="5"/>
  <c r="BE78" i="5"/>
  <c r="BE79" i="5"/>
  <c r="BE264" i="5"/>
  <c r="BE80" i="5"/>
  <c r="BE81" i="5"/>
  <c r="BE82" i="5"/>
  <c r="BE83" i="5"/>
  <c r="BE256" i="5"/>
  <c r="BE257" i="5"/>
  <c r="BE84" i="5"/>
  <c r="BE258" i="5"/>
  <c r="BE250" i="5"/>
  <c r="BE85" i="5"/>
  <c r="BE86" i="5"/>
  <c r="BE87" i="5"/>
  <c r="BE88" i="5"/>
  <c r="BE89" i="5"/>
  <c r="BE90" i="5"/>
  <c r="BE10" i="5"/>
  <c r="BE11" i="5"/>
  <c r="BE91" i="5"/>
  <c r="BE92" i="5"/>
  <c r="BE93" i="5"/>
  <c r="BE259" i="5"/>
  <c r="BE94" i="5"/>
  <c r="BE251" i="5"/>
  <c r="BE260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2" i="5"/>
  <c r="BE113" i="5"/>
  <c r="BE114" i="5"/>
  <c r="BE265" i="5"/>
  <c r="BE266" i="5"/>
  <c r="BE12" i="5"/>
  <c r="BE115" i="5"/>
  <c r="BE13" i="5"/>
  <c r="BE267" i="5"/>
  <c r="BE116" i="5"/>
  <c r="BE268" i="5"/>
  <c r="BE269" i="5"/>
  <c r="BE14" i="5"/>
  <c r="BE117" i="5"/>
  <c r="BE118" i="5"/>
  <c r="BE270" i="5"/>
  <c r="BE119" i="5"/>
  <c r="BE120" i="5"/>
  <c r="BE121" i="5"/>
  <c r="BE122" i="5"/>
  <c r="BE15" i="5"/>
  <c r="BE271" i="5"/>
  <c r="BE123" i="5"/>
  <c r="BE124" i="5"/>
  <c r="BE272" i="5"/>
  <c r="BE125" i="5"/>
  <c r="BE126" i="5"/>
  <c r="BE127" i="5"/>
  <c r="BE128" i="5"/>
  <c r="BE129" i="5"/>
  <c r="BE130" i="5"/>
  <c r="BE3" i="5"/>
  <c r="BE131" i="5"/>
  <c r="BE132" i="5"/>
  <c r="BE4" i="5"/>
  <c r="BE133" i="5"/>
  <c r="BE134" i="5"/>
  <c r="BE252" i="5"/>
  <c r="BE135" i="5"/>
  <c r="BE136" i="5"/>
  <c r="BE137" i="5"/>
  <c r="BE138" i="5"/>
  <c r="BE139" i="5"/>
  <c r="BE140" i="5"/>
  <c r="BE141" i="5"/>
  <c r="BE142" i="5"/>
  <c r="BE143" i="5"/>
  <c r="BE144" i="5"/>
  <c r="BE273" i="5"/>
  <c r="BE145" i="5"/>
  <c r="BE146" i="5"/>
  <c r="BE147" i="5"/>
  <c r="BE148" i="5"/>
  <c r="BE274" i="5"/>
  <c r="BE275" i="5"/>
  <c r="BE276" i="5"/>
  <c r="BE149" i="5"/>
  <c r="BE150" i="5"/>
  <c r="BE277" i="5"/>
  <c r="BE151" i="5"/>
  <c r="BE152" i="5"/>
  <c r="BE153" i="5"/>
  <c r="BE154" i="5"/>
  <c r="BE155" i="5"/>
  <c r="BE156" i="5"/>
  <c r="BE157" i="5"/>
  <c r="BE158" i="5"/>
  <c r="BE159" i="5"/>
  <c r="BE160" i="5"/>
  <c r="BE253" i="5"/>
  <c r="BE254" i="5"/>
  <c r="BE161" i="5"/>
  <c r="BE162" i="5"/>
  <c r="BE163" i="5"/>
  <c r="BE164" i="5"/>
  <c r="BE16" i="5"/>
  <c r="BE17" i="5"/>
  <c r="BE18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278" i="5"/>
  <c r="BE279" i="5"/>
  <c r="BE280" i="5"/>
  <c r="BE191" i="5"/>
  <c r="BE192" i="5"/>
  <c r="BE193" i="5"/>
  <c r="BE281" i="5"/>
  <c r="BE283" i="5"/>
  <c r="BE284" i="5"/>
  <c r="BE5" i="5"/>
  <c r="BE285" i="5"/>
  <c r="BE286" i="5"/>
  <c r="BE287" i="5"/>
  <c r="BE288" i="5"/>
  <c r="BE194" i="5"/>
  <c r="BE195" i="5"/>
  <c r="BE196" i="5"/>
  <c r="BE197" i="5"/>
  <c r="BE290" i="5"/>
  <c r="BE198" i="5"/>
  <c r="BE19" i="5"/>
  <c r="BE199" i="5"/>
  <c r="BE200" i="5"/>
  <c r="BE201" i="5"/>
  <c r="BE202" i="5"/>
  <c r="BE203" i="5"/>
  <c r="BE204" i="5"/>
  <c r="BE20" i="5"/>
  <c r="BE21" i="5"/>
  <c r="BE22" i="5"/>
  <c r="BE205" i="5"/>
  <c r="BE23" i="5"/>
  <c r="BE24" i="5"/>
  <c r="BE6" i="5"/>
  <c r="BE7" i="5"/>
  <c r="BE206" i="5"/>
  <c r="BE207" i="5"/>
  <c r="BE291" i="5"/>
  <c r="BE208" i="5"/>
  <c r="BE209" i="5"/>
  <c r="BE210" i="5"/>
  <c r="BE255" i="5"/>
  <c r="BE211" i="5"/>
  <c r="BE25" i="5"/>
  <c r="BE212" i="5"/>
  <c r="BE213" i="5"/>
  <c r="BE214" i="5"/>
  <c r="BE215" i="5"/>
  <c r="BE216" i="5"/>
  <c r="BE26" i="5"/>
  <c r="BE217" i="5"/>
  <c r="BE218" i="5"/>
  <c r="BE219" i="5"/>
  <c r="BE220" i="5"/>
  <c r="BE221" i="5"/>
  <c r="BE222" i="5"/>
  <c r="BE223" i="5"/>
  <c r="BE224" i="5"/>
  <c r="BE225" i="5"/>
  <c r="BE226" i="5"/>
  <c r="BE292" i="5"/>
  <c r="BE293" i="5"/>
  <c r="BE8" i="5"/>
  <c r="BE227" i="5"/>
  <c r="BE228" i="5"/>
  <c r="BE229" i="5"/>
  <c r="BE294" i="5"/>
  <c r="BE230" i="5"/>
  <c r="BE27" i="5"/>
  <c r="BE28" i="5"/>
  <c r="BE29" i="5"/>
  <c r="BE30" i="5"/>
  <c r="BE31" i="5"/>
  <c r="BE231" i="5"/>
  <c r="BE32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33" i="5"/>
  <c r="BE295" i="5"/>
  <c r="BE34" i="5"/>
  <c r="BE35" i="5"/>
  <c r="BE248" i="5"/>
  <c r="BE249" i="5"/>
  <c r="BE296" i="5"/>
  <c r="BE297" i="5"/>
  <c r="BE298" i="5"/>
  <c r="BE299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4" i="5"/>
  <c r="BE335" i="5"/>
  <c r="BE336" i="5"/>
  <c r="BE337" i="5"/>
  <c r="BE338" i="5"/>
  <c r="BE339" i="5"/>
  <c r="BE340" i="5"/>
  <c r="BE341" i="5"/>
  <c r="BE342" i="5"/>
  <c r="BE343" i="5"/>
  <c r="BE33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289" i="5"/>
  <c r="BC289" i="5"/>
  <c r="BC382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261" i="5"/>
  <c r="BC52" i="5"/>
  <c r="BC262" i="5"/>
  <c r="BC263" i="5"/>
  <c r="BC53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9" i="5"/>
  <c r="BC71" i="5"/>
  <c r="BC72" i="5"/>
  <c r="BC73" i="5"/>
  <c r="BC74" i="5"/>
  <c r="BC75" i="5"/>
  <c r="BC76" i="5"/>
  <c r="BC77" i="5"/>
  <c r="BC78" i="5"/>
  <c r="BC79" i="5"/>
  <c r="BC264" i="5"/>
  <c r="BC80" i="5"/>
  <c r="BC81" i="5"/>
  <c r="BC82" i="5"/>
  <c r="BC83" i="5"/>
  <c r="BC256" i="5"/>
  <c r="BC257" i="5"/>
  <c r="BC84" i="5"/>
  <c r="BC258" i="5"/>
  <c r="BC250" i="5"/>
  <c r="BC85" i="5"/>
  <c r="BC86" i="5"/>
  <c r="BC87" i="5"/>
  <c r="BC88" i="5"/>
  <c r="BC89" i="5"/>
  <c r="BC90" i="5"/>
  <c r="BC10" i="5"/>
  <c r="BC11" i="5"/>
  <c r="BC91" i="5"/>
  <c r="BC92" i="5"/>
  <c r="BC93" i="5"/>
  <c r="BC259" i="5"/>
  <c r="BC94" i="5"/>
  <c r="BC251" i="5"/>
  <c r="BC260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2" i="5"/>
  <c r="BC113" i="5"/>
  <c r="BC114" i="5"/>
  <c r="BC265" i="5"/>
  <c r="BC266" i="5"/>
  <c r="BC12" i="5"/>
  <c r="BC115" i="5"/>
  <c r="BC13" i="5"/>
  <c r="BC267" i="5"/>
  <c r="BC268" i="5"/>
  <c r="BC269" i="5"/>
  <c r="BC14" i="5"/>
  <c r="BC117" i="5"/>
  <c r="BC118" i="5"/>
  <c r="BC270" i="5"/>
  <c r="BC119" i="5"/>
  <c r="BC120" i="5"/>
  <c r="BC121" i="5"/>
  <c r="BC122" i="5"/>
  <c r="BC15" i="5"/>
  <c r="BC271" i="5"/>
  <c r="BC123" i="5"/>
  <c r="BC124" i="5"/>
  <c r="BC272" i="5"/>
  <c r="BC125" i="5"/>
  <c r="BC126" i="5"/>
  <c r="BC127" i="5"/>
  <c r="BC128" i="5"/>
  <c r="BC129" i="5"/>
  <c r="BC130" i="5"/>
  <c r="BC3" i="5"/>
  <c r="BC131" i="5"/>
  <c r="BC132" i="5"/>
  <c r="BC4" i="5"/>
  <c r="BC133" i="5"/>
  <c r="BC134" i="5"/>
  <c r="BC252" i="5"/>
  <c r="BC135" i="5"/>
  <c r="BC136" i="5"/>
  <c r="BC137" i="5"/>
  <c r="BC138" i="5"/>
  <c r="BC139" i="5"/>
  <c r="BC140" i="5"/>
  <c r="BC141" i="5"/>
  <c r="BC142" i="5"/>
  <c r="BC143" i="5"/>
  <c r="BC144" i="5"/>
  <c r="BC273" i="5"/>
  <c r="BC145" i="5"/>
  <c r="BC146" i="5"/>
  <c r="BC147" i="5"/>
  <c r="BC148" i="5"/>
  <c r="BC274" i="5"/>
  <c r="BC275" i="5"/>
  <c r="BC276" i="5"/>
  <c r="BC149" i="5"/>
  <c r="BC150" i="5"/>
  <c r="BC277" i="5"/>
  <c r="BC151" i="5"/>
  <c r="BC152" i="5"/>
  <c r="BC153" i="5"/>
  <c r="BC154" i="5"/>
  <c r="BC155" i="5"/>
  <c r="BC156" i="5"/>
  <c r="BC157" i="5"/>
  <c r="BC158" i="5"/>
  <c r="BC159" i="5"/>
  <c r="BC160" i="5"/>
  <c r="BC253" i="5"/>
  <c r="BC254" i="5"/>
  <c r="BC161" i="5"/>
  <c r="BC162" i="5"/>
  <c r="BC163" i="5"/>
  <c r="BC164" i="5"/>
  <c r="BC16" i="5"/>
  <c r="BC17" i="5"/>
  <c r="BC18" i="5"/>
  <c r="BC165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278" i="5"/>
  <c r="BC279" i="5"/>
  <c r="BC280" i="5"/>
  <c r="BC191" i="5"/>
  <c r="BC192" i="5"/>
  <c r="BC193" i="5"/>
  <c r="BC281" i="5"/>
  <c r="BC282" i="5"/>
  <c r="BC283" i="5"/>
  <c r="BC284" i="5"/>
  <c r="BC5" i="5"/>
  <c r="BC285" i="5"/>
  <c r="BC286" i="5"/>
  <c r="BC287" i="5"/>
  <c r="BC288" i="5"/>
  <c r="BC194" i="5"/>
  <c r="BC195" i="5"/>
  <c r="BC196" i="5"/>
  <c r="BC197" i="5"/>
  <c r="BC290" i="5"/>
  <c r="BC198" i="5"/>
  <c r="BC19" i="5"/>
  <c r="BC199" i="5"/>
  <c r="BC200" i="5"/>
  <c r="BC201" i="5"/>
  <c r="BC202" i="5"/>
  <c r="BC203" i="5"/>
  <c r="BC204" i="5"/>
  <c r="BC20" i="5"/>
  <c r="BC21" i="5"/>
  <c r="BC22" i="5"/>
  <c r="BC205" i="5"/>
  <c r="BC23" i="5"/>
  <c r="BC24" i="5"/>
  <c r="BC6" i="5"/>
  <c r="BC7" i="5"/>
  <c r="BC206" i="5"/>
  <c r="BC207" i="5"/>
  <c r="BC291" i="5"/>
  <c r="BC208" i="5"/>
  <c r="BC209" i="5"/>
  <c r="BC210" i="5"/>
  <c r="BC255" i="5"/>
  <c r="BC211" i="5"/>
  <c r="BC25" i="5"/>
  <c r="BC212" i="5"/>
  <c r="BC213" i="5"/>
  <c r="BC214" i="5"/>
  <c r="BC215" i="5"/>
  <c r="BC216" i="5"/>
  <c r="BC26" i="5"/>
  <c r="BC217" i="5"/>
  <c r="BC218" i="5"/>
  <c r="BC219" i="5"/>
  <c r="BC220" i="5"/>
  <c r="BC221" i="5"/>
  <c r="BC222" i="5"/>
  <c r="BC223" i="5"/>
  <c r="BC224" i="5"/>
  <c r="BC225" i="5"/>
  <c r="BC226" i="5"/>
  <c r="BC292" i="5"/>
  <c r="BC293" i="5"/>
  <c r="BC8" i="5"/>
  <c r="BC227" i="5"/>
  <c r="BC228" i="5"/>
  <c r="BC229" i="5"/>
  <c r="BC294" i="5"/>
  <c r="BC230" i="5"/>
  <c r="BC27" i="5"/>
  <c r="BC28" i="5"/>
  <c r="BC29" i="5"/>
  <c r="BC30" i="5"/>
  <c r="BC31" i="5"/>
  <c r="BC231" i="5"/>
  <c r="BC32" i="5"/>
  <c r="BC232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33" i="5"/>
  <c r="BC295" i="5"/>
  <c r="BC34" i="5"/>
  <c r="BC35" i="5"/>
  <c r="BC248" i="5"/>
  <c r="BC249" i="5"/>
  <c r="BC296" i="5"/>
  <c r="BC297" i="5"/>
  <c r="BC298" i="5"/>
  <c r="BC299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4" i="5"/>
  <c r="BC335" i="5"/>
  <c r="BC336" i="5"/>
  <c r="BC337" i="5"/>
  <c r="BC338" i="5"/>
  <c r="BC339" i="5"/>
  <c r="BC340" i="5"/>
  <c r="BC341" i="5"/>
  <c r="BC342" i="5"/>
  <c r="BC343" i="5"/>
  <c r="BC33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3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B382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261" i="5"/>
  <c r="BB52" i="5"/>
  <c r="BB262" i="5"/>
  <c r="BB263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9" i="5"/>
  <c r="BB71" i="5"/>
  <c r="BB72" i="5"/>
  <c r="BB73" i="5"/>
  <c r="BB74" i="5"/>
  <c r="BB75" i="5"/>
  <c r="BB76" i="5"/>
  <c r="BB77" i="5"/>
  <c r="BB78" i="5"/>
  <c r="BB79" i="5"/>
  <c r="BB264" i="5"/>
  <c r="BB80" i="5"/>
  <c r="BB81" i="5"/>
  <c r="BB82" i="5"/>
  <c r="BB83" i="5"/>
  <c r="BB256" i="5"/>
  <c r="BB257" i="5"/>
  <c r="BB84" i="5"/>
  <c r="BB258" i="5"/>
  <c r="BB250" i="5"/>
  <c r="BB85" i="5"/>
  <c r="BB86" i="5"/>
  <c r="BB87" i="5"/>
  <c r="BB88" i="5"/>
  <c r="BB89" i="5"/>
  <c r="BB90" i="5"/>
  <c r="BB10" i="5"/>
  <c r="BB11" i="5"/>
  <c r="BB91" i="5"/>
  <c r="BB92" i="5"/>
  <c r="BB93" i="5"/>
  <c r="BB259" i="5"/>
  <c r="BB94" i="5"/>
  <c r="BB251" i="5"/>
  <c r="BB260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2" i="5"/>
  <c r="BB113" i="5"/>
  <c r="BB114" i="5"/>
  <c r="BB265" i="5"/>
  <c r="BB266" i="5"/>
  <c r="BB12" i="5"/>
  <c r="BB115" i="5"/>
  <c r="BB13" i="5"/>
  <c r="BB267" i="5"/>
  <c r="BB116" i="5"/>
  <c r="BB268" i="5"/>
  <c r="BB269" i="5"/>
  <c r="BB14" i="5"/>
  <c r="BB117" i="5"/>
  <c r="BB118" i="5"/>
  <c r="BB270" i="5"/>
  <c r="BB119" i="5"/>
  <c r="BB120" i="5"/>
  <c r="BB121" i="5"/>
  <c r="BB122" i="5"/>
  <c r="BB15" i="5"/>
  <c r="BB271" i="5"/>
  <c r="BB123" i="5"/>
  <c r="BB124" i="5"/>
  <c r="BB272" i="5"/>
  <c r="BB125" i="5"/>
  <c r="BB126" i="5"/>
  <c r="BB127" i="5"/>
  <c r="BB128" i="5"/>
  <c r="BB129" i="5"/>
  <c r="BB130" i="5"/>
  <c r="BB3" i="5"/>
  <c r="BB131" i="5"/>
  <c r="BB132" i="5"/>
  <c r="BB4" i="5"/>
  <c r="BB133" i="5"/>
  <c r="BB134" i="5"/>
  <c r="BB252" i="5"/>
  <c r="BB135" i="5"/>
  <c r="BB136" i="5"/>
  <c r="BB137" i="5"/>
  <c r="BB138" i="5"/>
  <c r="BB139" i="5"/>
  <c r="BB140" i="5"/>
  <c r="BB141" i="5"/>
  <c r="BB142" i="5"/>
  <c r="BB143" i="5"/>
  <c r="BB144" i="5"/>
  <c r="BB273" i="5"/>
  <c r="BB145" i="5"/>
  <c r="BB146" i="5"/>
  <c r="BB147" i="5"/>
  <c r="BB148" i="5"/>
  <c r="BB274" i="5"/>
  <c r="BB275" i="5"/>
  <c r="BB276" i="5"/>
  <c r="BB149" i="5"/>
  <c r="BB150" i="5"/>
  <c r="BB277" i="5"/>
  <c r="BB151" i="5"/>
  <c r="BB152" i="5"/>
  <c r="BB153" i="5"/>
  <c r="BB154" i="5"/>
  <c r="BB155" i="5"/>
  <c r="BB156" i="5"/>
  <c r="BB157" i="5"/>
  <c r="BB158" i="5"/>
  <c r="BB159" i="5"/>
  <c r="BB160" i="5"/>
  <c r="BB253" i="5"/>
  <c r="BB254" i="5"/>
  <c r="BB161" i="5"/>
  <c r="BB162" i="5"/>
  <c r="BB163" i="5"/>
  <c r="BB164" i="5"/>
  <c r="BB16" i="5"/>
  <c r="BB17" i="5"/>
  <c r="BB18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278" i="5"/>
  <c r="BB279" i="5"/>
  <c r="BB280" i="5"/>
  <c r="BB191" i="5"/>
  <c r="BB192" i="5"/>
  <c r="BB193" i="5"/>
  <c r="BB281" i="5"/>
  <c r="BB282" i="5"/>
  <c r="BB283" i="5"/>
  <c r="BB284" i="5"/>
  <c r="BB5" i="5"/>
  <c r="BB285" i="5"/>
  <c r="BB286" i="5"/>
  <c r="BB287" i="5"/>
  <c r="BB288" i="5"/>
  <c r="BB194" i="5"/>
  <c r="BB195" i="5"/>
  <c r="BB196" i="5"/>
  <c r="BB197" i="5"/>
  <c r="BB290" i="5"/>
  <c r="BB198" i="5"/>
  <c r="BB19" i="5"/>
  <c r="BB199" i="5"/>
  <c r="BB200" i="5"/>
  <c r="BB201" i="5"/>
  <c r="BB202" i="5"/>
  <c r="BB203" i="5"/>
  <c r="BB204" i="5"/>
  <c r="BB20" i="5"/>
  <c r="BB21" i="5"/>
  <c r="BB22" i="5"/>
  <c r="BB205" i="5"/>
  <c r="BB23" i="5"/>
  <c r="BB24" i="5"/>
  <c r="BB6" i="5"/>
  <c r="BB7" i="5"/>
  <c r="BB206" i="5"/>
  <c r="BB207" i="5"/>
  <c r="BB291" i="5"/>
  <c r="BB208" i="5"/>
  <c r="BB209" i="5"/>
  <c r="BB210" i="5"/>
  <c r="BB255" i="5"/>
  <c r="BB211" i="5"/>
  <c r="BB25" i="5"/>
  <c r="BB212" i="5"/>
  <c r="BB213" i="5"/>
  <c r="BB214" i="5"/>
  <c r="BB215" i="5"/>
  <c r="BB216" i="5"/>
  <c r="BB26" i="5"/>
  <c r="BB217" i="5"/>
  <c r="BB218" i="5"/>
  <c r="BB219" i="5"/>
  <c r="BB220" i="5"/>
  <c r="BB221" i="5"/>
  <c r="BB222" i="5"/>
  <c r="BB223" i="5"/>
  <c r="BB224" i="5"/>
  <c r="BB225" i="5"/>
  <c r="BB226" i="5"/>
  <c r="BB292" i="5"/>
  <c r="BB293" i="5"/>
  <c r="BB8" i="5"/>
  <c r="BB227" i="5"/>
  <c r="BB228" i="5"/>
  <c r="BB229" i="5"/>
  <c r="BB294" i="5"/>
  <c r="BB230" i="5"/>
  <c r="BB27" i="5"/>
  <c r="BB28" i="5"/>
  <c r="BB29" i="5"/>
  <c r="BB30" i="5"/>
  <c r="BB31" i="5"/>
  <c r="BB231" i="5"/>
  <c r="BB32" i="5"/>
  <c r="BB232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33" i="5"/>
  <c r="BB295" i="5"/>
  <c r="BB34" i="5"/>
  <c r="BB35" i="5"/>
  <c r="BB248" i="5"/>
  <c r="BB249" i="5"/>
  <c r="BB296" i="5"/>
  <c r="BB297" i="5"/>
  <c r="BB298" i="5"/>
  <c r="BB299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4" i="5"/>
  <c r="BB335" i="5"/>
  <c r="BB336" i="5"/>
  <c r="BB337" i="5"/>
  <c r="BB338" i="5"/>
  <c r="BB339" i="5"/>
  <c r="BB340" i="5"/>
  <c r="BB341" i="5"/>
  <c r="BB342" i="5"/>
  <c r="BB343" i="5"/>
  <c r="BB333" i="5"/>
  <c r="BB34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3" i="5"/>
  <c r="BB384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28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301" i="4"/>
  <c r="AH302" i="4"/>
  <c r="AH303" i="4"/>
  <c r="AH304" i="4"/>
  <c r="AH308" i="4"/>
  <c r="AH309" i="4"/>
  <c r="AH310" i="4"/>
  <c r="AH298" i="4"/>
  <c r="AH296" i="4"/>
  <c r="AH299" i="4"/>
  <c r="AH300" i="4"/>
  <c r="AH311" i="4"/>
  <c r="AH305" i="4"/>
  <c r="AH339" i="4"/>
  <c r="AH330" i="4"/>
  <c r="AH328" i="4"/>
  <c r="AH329" i="4"/>
  <c r="AH321" i="4"/>
  <c r="AH331" i="4"/>
  <c r="AH320" i="4"/>
  <c r="AH338" i="4"/>
  <c r="AH313" i="4"/>
  <c r="AH336" i="4"/>
  <c r="AH319" i="4"/>
  <c r="AH343" i="4"/>
  <c r="AH322" i="4"/>
  <c r="AH315" i="4"/>
  <c r="AH316" i="4"/>
  <c r="AH317" i="4"/>
  <c r="AH318" i="4"/>
  <c r="AH344" i="4"/>
  <c r="AH334" i="4"/>
  <c r="AH335" i="4"/>
  <c r="AH337" i="4"/>
  <c r="AH323" i="4"/>
  <c r="AH324" i="4"/>
  <c r="AH325" i="4"/>
  <c r="AH326" i="4"/>
  <c r="AH327" i="4"/>
  <c r="AH314" i="4"/>
  <c r="AH312" i="4"/>
  <c r="AH332" i="4"/>
  <c r="AH333" i="4"/>
  <c r="AH342" i="4"/>
  <c r="AH340" i="4"/>
  <c r="AH341" i="4"/>
  <c r="AH348" i="4"/>
  <c r="AH347" i="4"/>
  <c r="AH358" i="4"/>
  <c r="AH359" i="4"/>
  <c r="AH345" i="4"/>
  <c r="AH355" i="4"/>
  <c r="AH356" i="4"/>
  <c r="AH361" i="4"/>
  <c r="AH346" i="4"/>
  <c r="AH362" i="4"/>
  <c r="AH363" i="4"/>
  <c r="AH364" i="4"/>
  <c r="AH349" i="4"/>
  <c r="AH350" i="4"/>
  <c r="AH351" i="4"/>
  <c r="AH353" i="4"/>
  <c r="AH354" i="4"/>
  <c r="AH352" i="4"/>
  <c r="AH365" i="4"/>
  <c r="AH360" i="4"/>
  <c r="AH366" i="4"/>
  <c r="AH357" i="4"/>
  <c r="AH376" i="4"/>
  <c r="AH374" i="4"/>
  <c r="AH370" i="4"/>
  <c r="AH371" i="4"/>
  <c r="AH367" i="4"/>
  <c r="AH368" i="4"/>
  <c r="AH372" i="4"/>
  <c r="AH373" i="4"/>
  <c r="AH375" i="4"/>
  <c r="AH369" i="4"/>
  <c r="AH377" i="4"/>
  <c r="AH380" i="4"/>
  <c r="AH382" i="4"/>
  <c r="AH381" i="4"/>
  <c r="AH379" i="4"/>
  <c r="AH378" i="4"/>
  <c r="AH386" i="4"/>
  <c r="AH385" i="4"/>
  <c r="AH392" i="4"/>
  <c r="AH384" i="4"/>
  <c r="AH393" i="4"/>
  <c r="AH394" i="4"/>
  <c r="AH395" i="4"/>
  <c r="AH396" i="4"/>
  <c r="AH397" i="4"/>
  <c r="AH387" i="4"/>
  <c r="AH388" i="4"/>
  <c r="AH389" i="4"/>
  <c r="AH398" i="4"/>
  <c r="AH399" i="4"/>
  <c r="AH400" i="4"/>
  <c r="AH401" i="4"/>
  <c r="AH390" i="4"/>
  <c r="AH391" i="4"/>
  <c r="AH402" i="4"/>
  <c r="AH403" i="4"/>
  <c r="AH404" i="4"/>
  <c r="AH405" i="4"/>
  <c r="AH406" i="4"/>
  <c r="AH407" i="4"/>
  <c r="AH383" i="4"/>
  <c r="BF77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61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3" i="5"/>
  <c r="AQ163" i="5"/>
  <c r="AR163" i="5"/>
  <c r="AS163" i="5"/>
  <c r="AT163" i="5"/>
  <c r="AU163" i="5"/>
  <c r="AV163" i="5"/>
  <c r="AW163" i="5"/>
  <c r="AP107" i="5"/>
  <c r="AR107" i="5"/>
  <c r="AT107" i="5"/>
  <c r="AU107" i="5"/>
  <c r="AV107" i="5"/>
  <c r="AW107" i="5"/>
  <c r="AP164" i="5"/>
  <c r="AQ164" i="5"/>
  <c r="AR164" i="5"/>
  <c r="AS164" i="5"/>
  <c r="AT164" i="5"/>
  <c r="AU164" i="5"/>
  <c r="AV164" i="5"/>
  <c r="AW164" i="5"/>
  <c r="AP168" i="5"/>
  <c r="AR168" i="5"/>
  <c r="AT168" i="5"/>
  <c r="AU168" i="5"/>
  <c r="AV168" i="5"/>
  <c r="AW168" i="5"/>
  <c r="AP247" i="5"/>
  <c r="AR247" i="5"/>
  <c r="AT247" i="5"/>
  <c r="AU247" i="5"/>
  <c r="AV247" i="5"/>
  <c r="AW247" i="5"/>
  <c r="AP171" i="5"/>
  <c r="AQ171" i="5"/>
  <c r="AR171" i="5"/>
  <c r="AS171" i="5"/>
  <c r="AT171" i="5"/>
  <c r="AU171" i="5"/>
  <c r="AV171" i="5"/>
  <c r="AW171" i="5"/>
  <c r="AP182" i="5"/>
  <c r="AQ182" i="5"/>
  <c r="AR182" i="5"/>
  <c r="AS182" i="5"/>
  <c r="AT182" i="5"/>
  <c r="AU182" i="5"/>
  <c r="AV182" i="5"/>
  <c r="AW182" i="5"/>
  <c r="AP184" i="5"/>
  <c r="AQ184" i="5"/>
  <c r="AR184" i="5"/>
  <c r="AS184" i="5"/>
  <c r="AT184" i="5"/>
  <c r="AU184" i="5"/>
  <c r="AV184" i="5"/>
  <c r="AW184" i="5"/>
  <c r="AP185" i="5"/>
  <c r="AQ185" i="5"/>
  <c r="AR185" i="5"/>
  <c r="AS185" i="5"/>
  <c r="AT185" i="5"/>
  <c r="AU185" i="5"/>
  <c r="AV185" i="5"/>
  <c r="AW185" i="5"/>
  <c r="AP137" i="5"/>
  <c r="AQ137" i="5"/>
  <c r="AR137" i="5"/>
  <c r="AT137" i="5"/>
  <c r="AU137" i="5"/>
  <c r="AV137" i="5"/>
  <c r="AW137" i="5"/>
  <c r="AP169" i="5"/>
  <c r="AR169" i="5"/>
  <c r="AT169" i="5"/>
  <c r="AU169" i="5"/>
  <c r="AV169" i="5"/>
  <c r="AW169" i="5"/>
  <c r="AP220" i="5"/>
  <c r="AQ220" i="5"/>
  <c r="AR220" i="5"/>
  <c r="AT220" i="5"/>
  <c r="AU220" i="5"/>
  <c r="AV220" i="5"/>
  <c r="AW220" i="5"/>
  <c r="AP75" i="5"/>
  <c r="AQ75" i="5"/>
  <c r="AR75" i="5"/>
  <c r="AT75" i="5"/>
  <c r="AU75" i="5"/>
  <c r="AV75" i="5"/>
  <c r="AW75" i="5"/>
  <c r="AP77" i="5"/>
  <c r="AQ77" i="5"/>
  <c r="AR77" i="5"/>
  <c r="AT77" i="5"/>
  <c r="AU77" i="5"/>
  <c r="AV77" i="5"/>
  <c r="AW77" i="5"/>
  <c r="AP115" i="5"/>
  <c r="AR115" i="5"/>
  <c r="AT115" i="5"/>
  <c r="AU115" i="5"/>
  <c r="AV115" i="5"/>
  <c r="AW115" i="5"/>
  <c r="AP238" i="5"/>
  <c r="AQ238" i="5"/>
  <c r="AR238" i="5"/>
  <c r="AT238" i="5"/>
  <c r="AU238" i="5"/>
  <c r="AV238" i="5"/>
  <c r="AW238" i="5"/>
  <c r="AP261" i="5"/>
  <c r="AQ261" i="5"/>
  <c r="AR261" i="5"/>
  <c r="AS261" i="5"/>
  <c r="AT261" i="5"/>
  <c r="AU261" i="5"/>
  <c r="AV261" i="5"/>
  <c r="AW261" i="5"/>
  <c r="AP225" i="5"/>
  <c r="AR225" i="5"/>
  <c r="AT225" i="5"/>
  <c r="AU225" i="5"/>
  <c r="AV225" i="5"/>
  <c r="AW225" i="5"/>
  <c r="AP181" i="5"/>
  <c r="AQ181" i="5"/>
  <c r="AR181" i="5"/>
  <c r="AS181" i="5"/>
  <c r="AT181" i="5"/>
  <c r="AU181" i="5"/>
  <c r="AV181" i="5"/>
  <c r="AW181" i="5"/>
  <c r="AP206" i="5"/>
  <c r="AR206" i="5"/>
  <c r="AT206" i="5"/>
  <c r="AU206" i="5"/>
  <c r="AV206" i="5"/>
  <c r="AW206" i="5"/>
  <c r="AP223" i="5"/>
  <c r="AQ223" i="5"/>
  <c r="AR223" i="5"/>
  <c r="AT223" i="5"/>
  <c r="AU223" i="5"/>
  <c r="AV223" i="5"/>
  <c r="AW223" i="5"/>
  <c r="AP50" i="5"/>
  <c r="AR50" i="5"/>
  <c r="AT50" i="5"/>
  <c r="AU50" i="5"/>
  <c r="AV50" i="5"/>
  <c r="AW50" i="5"/>
  <c r="AP117" i="5"/>
  <c r="AQ117" i="5"/>
  <c r="AR117" i="5"/>
  <c r="AT117" i="5"/>
  <c r="AU117" i="5"/>
  <c r="AV117" i="5"/>
  <c r="AW117" i="5"/>
  <c r="AP172" i="5"/>
  <c r="AQ172" i="5"/>
  <c r="AR172" i="5"/>
  <c r="AS172" i="5"/>
  <c r="AT172" i="5"/>
  <c r="AU172" i="5"/>
  <c r="AV172" i="5"/>
  <c r="AW172" i="5"/>
  <c r="AP179" i="5"/>
  <c r="AQ179" i="5"/>
  <c r="AR179" i="5"/>
  <c r="AS179" i="5"/>
  <c r="AT179" i="5"/>
  <c r="AU179" i="5"/>
  <c r="AV179" i="5"/>
  <c r="AW179" i="5"/>
  <c r="AP183" i="5"/>
  <c r="AQ183" i="5"/>
  <c r="AR183" i="5"/>
  <c r="AS183" i="5"/>
  <c r="AT183" i="5"/>
  <c r="AU183" i="5"/>
  <c r="AV183" i="5"/>
  <c r="AW183" i="5"/>
  <c r="AP217" i="5"/>
  <c r="AQ217" i="5"/>
  <c r="AR217" i="5"/>
  <c r="AT217" i="5"/>
  <c r="AU217" i="5"/>
  <c r="AV217" i="5"/>
  <c r="AW217" i="5"/>
  <c r="AP218" i="5"/>
  <c r="AQ218" i="5"/>
  <c r="AR218" i="5"/>
  <c r="AT218" i="5"/>
  <c r="AU218" i="5"/>
  <c r="AV218" i="5"/>
  <c r="AW218" i="5"/>
  <c r="AP51" i="5"/>
  <c r="AR51" i="5"/>
  <c r="AT51" i="5"/>
  <c r="AU51" i="5"/>
  <c r="AV51" i="5"/>
  <c r="AW51" i="5"/>
  <c r="AP262" i="5"/>
  <c r="AR262" i="5"/>
  <c r="AS262" i="5"/>
  <c r="AT262" i="5"/>
  <c r="AU262" i="5"/>
  <c r="AV262" i="5"/>
  <c r="AW262" i="5"/>
  <c r="AP76" i="5"/>
  <c r="AQ76" i="5"/>
  <c r="AR76" i="5"/>
  <c r="AT76" i="5"/>
  <c r="AU76" i="5"/>
  <c r="AV76" i="5"/>
  <c r="AW76" i="5"/>
  <c r="AP87" i="5"/>
  <c r="AQ87" i="5"/>
  <c r="AR87" i="5"/>
  <c r="AT87" i="5"/>
  <c r="AU87" i="5"/>
  <c r="AV87" i="5"/>
  <c r="AW87" i="5"/>
  <c r="AP12" i="5"/>
  <c r="AQ12" i="5"/>
  <c r="AR12" i="5"/>
  <c r="AS12" i="5"/>
  <c r="AT12" i="5"/>
  <c r="AU12" i="5"/>
  <c r="AV12" i="5"/>
  <c r="AW12" i="5"/>
  <c r="AP270" i="5"/>
  <c r="AQ270" i="5"/>
  <c r="AR270" i="5"/>
  <c r="AS270" i="5"/>
  <c r="AT270" i="5"/>
  <c r="AU270" i="5"/>
  <c r="AV270" i="5"/>
  <c r="AW270" i="5"/>
  <c r="AP123" i="5"/>
  <c r="AR123" i="5"/>
  <c r="AT123" i="5"/>
  <c r="AU123" i="5"/>
  <c r="AV123" i="5"/>
  <c r="AW123" i="5"/>
  <c r="AP126" i="5"/>
  <c r="AQ126" i="5"/>
  <c r="AR126" i="5"/>
  <c r="AT126" i="5"/>
  <c r="AU126" i="5"/>
  <c r="AV126" i="5"/>
  <c r="AW126" i="5"/>
  <c r="AP138" i="5"/>
  <c r="AQ138" i="5"/>
  <c r="AR138" i="5"/>
  <c r="AT138" i="5"/>
  <c r="AU138" i="5"/>
  <c r="AV138" i="5"/>
  <c r="AW138" i="5"/>
  <c r="AP175" i="5"/>
  <c r="AR175" i="5"/>
  <c r="AS175" i="5"/>
  <c r="AT175" i="5"/>
  <c r="AU175" i="5"/>
  <c r="AV175" i="5"/>
  <c r="AW175" i="5"/>
  <c r="AP180" i="5"/>
  <c r="AQ180" i="5"/>
  <c r="AR180" i="5"/>
  <c r="AS180" i="5"/>
  <c r="AT180" i="5"/>
  <c r="AU180" i="5"/>
  <c r="AV180" i="5"/>
  <c r="AW180" i="5"/>
  <c r="AP27" i="5"/>
  <c r="AR27" i="5"/>
  <c r="AS27" i="5"/>
  <c r="AT27" i="5"/>
  <c r="AU27" i="5"/>
  <c r="AV27" i="5"/>
  <c r="AW27" i="5"/>
  <c r="AZ27" i="5"/>
  <c r="AP28" i="5"/>
  <c r="AR28" i="5"/>
  <c r="AT28" i="5"/>
  <c r="AU28" i="5"/>
  <c r="AV28" i="5"/>
  <c r="AW28" i="5"/>
  <c r="AP30" i="5"/>
  <c r="AR30" i="5"/>
  <c r="AU30" i="5"/>
  <c r="AP48" i="5"/>
  <c r="AR48" i="5"/>
  <c r="AT48" i="5"/>
  <c r="AU48" i="5"/>
  <c r="AV48" i="5"/>
  <c r="AW48" i="5"/>
  <c r="AP250" i="5"/>
  <c r="AR250" i="5"/>
  <c r="AS250" i="5"/>
  <c r="AT250" i="5"/>
  <c r="AU250" i="5"/>
  <c r="AV250" i="5"/>
  <c r="AW250" i="5"/>
  <c r="AP102" i="5"/>
  <c r="AQ102" i="5"/>
  <c r="AR102" i="5"/>
  <c r="AT102" i="5"/>
  <c r="AU102" i="5"/>
  <c r="AV102" i="5"/>
  <c r="AW102" i="5"/>
  <c r="AP267" i="5"/>
  <c r="AQ267" i="5"/>
  <c r="AR267" i="5"/>
  <c r="AT267" i="5"/>
  <c r="AU267" i="5"/>
  <c r="AV267" i="5"/>
  <c r="AW267" i="5"/>
  <c r="AP121" i="5"/>
  <c r="AQ121" i="5"/>
  <c r="AR121" i="5"/>
  <c r="AS121" i="5"/>
  <c r="AT121" i="5"/>
  <c r="AU121" i="5"/>
  <c r="AV121" i="5"/>
  <c r="AW121" i="5"/>
  <c r="AP144" i="5"/>
  <c r="AQ144" i="5"/>
  <c r="AR144" i="5"/>
  <c r="AT144" i="5"/>
  <c r="AU144" i="5"/>
  <c r="AV144" i="5"/>
  <c r="AW144" i="5"/>
  <c r="AP178" i="5"/>
  <c r="AQ178" i="5"/>
  <c r="AR178" i="5"/>
  <c r="AS178" i="5"/>
  <c r="AT178" i="5"/>
  <c r="AU178" i="5"/>
  <c r="AV178" i="5"/>
  <c r="AW178" i="5"/>
  <c r="AP20" i="5"/>
  <c r="AR20" i="5"/>
  <c r="AT20" i="5"/>
  <c r="AU20" i="5"/>
  <c r="AV20" i="5"/>
  <c r="AW20" i="5"/>
  <c r="AP21" i="5"/>
  <c r="AR21" i="5"/>
  <c r="AS21" i="5"/>
  <c r="AT21" i="5"/>
  <c r="AU21" i="5"/>
  <c r="AV21" i="5"/>
  <c r="AW21" i="5"/>
  <c r="AP22" i="5"/>
  <c r="AR22" i="5"/>
  <c r="AT22" i="5"/>
  <c r="AU22" i="5"/>
  <c r="AV22" i="5"/>
  <c r="AW22" i="5"/>
  <c r="AP23" i="5"/>
  <c r="AR23" i="5"/>
  <c r="AT23" i="5"/>
  <c r="AU23" i="5"/>
  <c r="AV23" i="5"/>
  <c r="AW23" i="5"/>
  <c r="AP24" i="5"/>
  <c r="AR24" i="5"/>
  <c r="AT24" i="5"/>
  <c r="AU24" i="5"/>
  <c r="AV24" i="5"/>
  <c r="AW24" i="5"/>
  <c r="AP295" i="5"/>
  <c r="AR295" i="5"/>
  <c r="AS295" i="5"/>
  <c r="AT295" i="5"/>
  <c r="AU295" i="5"/>
  <c r="AV295" i="5"/>
  <c r="AW295" i="5"/>
  <c r="AP59" i="5"/>
  <c r="AR59" i="5"/>
  <c r="AS59" i="5"/>
  <c r="AU59" i="5"/>
  <c r="AP108" i="5"/>
  <c r="AQ108" i="5"/>
  <c r="AR108" i="5"/>
  <c r="AT108" i="5"/>
  <c r="AU108" i="5"/>
  <c r="AV108" i="5"/>
  <c r="AW108" i="5"/>
  <c r="AP14" i="5"/>
  <c r="AQ14" i="5"/>
  <c r="AR14" i="5"/>
  <c r="AT14" i="5"/>
  <c r="AU14" i="5"/>
  <c r="AV14" i="5"/>
  <c r="AW14" i="5"/>
  <c r="AP133" i="5"/>
  <c r="AR133" i="5"/>
  <c r="AT133" i="5"/>
  <c r="AU133" i="5"/>
  <c r="AV133" i="5"/>
  <c r="AW133" i="5"/>
  <c r="AP162" i="5"/>
  <c r="AQ162" i="5"/>
  <c r="AR162" i="5"/>
  <c r="AS162" i="5"/>
  <c r="AT162" i="5"/>
  <c r="AU162" i="5"/>
  <c r="AV162" i="5"/>
  <c r="AW162" i="5"/>
  <c r="AP230" i="5"/>
  <c r="AR230" i="5"/>
  <c r="AT230" i="5"/>
  <c r="AU230" i="5"/>
  <c r="AV230" i="5"/>
  <c r="AW230" i="5"/>
  <c r="AP236" i="5"/>
  <c r="AR236" i="5"/>
  <c r="AT236" i="5"/>
  <c r="AU236" i="5"/>
  <c r="AV236" i="5"/>
  <c r="AW236" i="5"/>
  <c r="AP33" i="5"/>
  <c r="AR33" i="5"/>
  <c r="AT33" i="5"/>
  <c r="AU33" i="5"/>
  <c r="AV33" i="5"/>
  <c r="AW33" i="5"/>
  <c r="AP49" i="5"/>
  <c r="AR49" i="5"/>
  <c r="AT49" i="5"/>
  <c r="AU49" i="5"/>
  <c r="AV49" i="5"/>
  <c r="AW49" i="5"/>
  <c r="AP52" i="5"/>
  <c r="AR52" i="5"/>
  <c r="AS52" i="5"/>
  <c r="AT52" i="5"/>
  <c r="AU52" i="5"/>
  <c r="AV52" i="5"/>
  <c r="AW52" i="5"/>
  <c r="AP263" i="5"/>
  <c r="AR263" i="5"/>
  <c r="AS263" i="5"/>
  <c r="AT263" i="5"/>
  <c r="AU263" i="5"/>
  <c r="AV263" i="5"/>
  <c r="AW263" i="5"/>
  <c r="AP79" i="5"/>
  <c r="AR79" i="5"/>
  <c r="AT79" i="5"/>
  <c r="AU79" i="5"/>
  <c r="AV79" i="5"/>
  <c r="AW79" i="5"/>
  <c r="AP264" i="5"/>
  <c r="AR264" i="5"/>
  <c r="AT264" i="5"/>
  <c r="AU264" i="5"/>
  <c r="AV264" i="5"/>
  <c r="AW264" i="5"/>
  <c r="AP81" i="5"/>
  <c r="AR81" i="5"/>
  <c r="AT81" i="5"/>
  <c r="AU81" i="5"/>
  <c r="AV81" i="5"/>
  <c r="AW81" i="5"/>
  <c r="AP82" i="5"/>
  <c r="AR82" i="5"/>
  <c r="AT82" i="5"/>
  <c r="AU82" i="5"/>
  <c r="AV82" i="5"/>
  <c r="AW82" i="5"/>
  <c r="AP256" i="5"/>
  <c r="AR256" i="5"/>
  <c r="AT256" i="5"/>
  <c r="AU256" i="5"/>
  <c r="AV256" i="5"/>
  <c r="AW256" i="5"/>
  <c r="AP257" i="5"/>
  <c r="AR257" i="5"/>
  <c r="AT257" i="5"/>
  <c r="AU257" i="5"/>
  <c r="AV257" i="5"/>
  <c r="AW257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90" i="5"/>
  <c r="AR90" i="5"/>
  <c r="AS90" i="5"/>
  <c r="AT90" i="5"/>
  <c r="AU90" i="5"/>
  <c r="AV90" i="5"/>
  <c r="AW90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1" i="5"/>
  <c r="AR91" i="5"/>
  <c r="AT91" i="5"/>
  <c r="AU91" i="5"/>
  <c r="AV91" i="5"/>
  <c r="AW91" i="5"/>
  <c r="AP92" i="5"/>
  <c r="AR92" i="5"/>
  <c r="AT92" i="5"/>
  <c r="AU92" i="5"/>
  <c r="AV92" i="5"/>
  <c r="AW92" i="5"/>
  <c r="AP259" i="5"/>
  <c r="AR259" i="5"/>
  <c r="AT259" i="5"/>
  <c r="AU259" i="5"/>
  <c r="AV259" i="5"/>
  <c r="AW259" i="5"/>
  <c r="AP100" i="5"/>
  <c r="AQ100" i="5"/>
  <c r="AR100" i="5"/>
  <c r="AT100" i="5"/>
  <c r="AU100" i="5"/>
  <c r="AV100" i="5"/>
  <c r="AW100" i="5"/>
  <c r="AP101" i="5"/>
  <c r="AQ101" i="5"/>
  <c r="AR101" i="5"/>
  <c r="AT101" i="5"/>
  <c r="AU101" i="5"/>
  <c r="AV101" i="5"/>
  <c r="AW101" i="5"/>
  <c r="AP104" i="5"/>
  <c r="AQ104" i="5"/>
  <c r="AR104" i="5"/>
  <c r="AT104" i="5"/>
  <c r="AU104" i="5"/>
  <c r="AV104" i="5"/>
  <c r="AW104" i="5"/>
  <c r="AP105" i="5"/>
  <c r="AQ105" i="5"/>
  <c r="AR105" i="5"/>
  <c r="AT105" i="5"/>
  <c r="AU105" i="5"/>
  <c r="AV105" i="5"/>
  <c r="AW105" i="5"/>
  <c r="AP106" i="5"/>
  <c r="AQ106" i="5"/>
  <c r="AR106" i="5"/>
  <c r="AT106" i="5"/>
  <c r="AU106" i="5"/>
  <c r="AV106" i="5"/>
  <c r="AW106" i="5"/>
  <c r="AP265" i="5"/>
  <c r="AQ265" i="5"/>
  <c r="AR265" i="5"/>
  <c r="AT265" i="5"/>
  <c r="AU265" i="5"/>
  <c r="AV265" i="5"/>
  <c r="AW265" i="5"/>
  <c r="AP129" i="5"/>
  <c r="AQ129" i="5"/>
  <c r="AR129" i="5"/>
  <c r="AT129" i="5"/>
  <c r="AU129" i="5"/>
  <c r="AV129" i="5"/>
  <c r="AW129" i="5"/>
  <c r="AP143" i="5"/>
  <c r="AQ143" i="5"/>
  <c r="AR143" i="5"/>
  <c r="AT143" i="5"/>
  <c r="AU143" i="5"/>
  <c r="AV143" i="5"/>
  <c r="AW143" i="5"/>
  <c r="AP153" i="5"/>
  <c r="AQ153" i="5"/>
  <c r="AR153" i="5"/>
  <c r="AT153" i="5"/>
  <c r="AU153" i="5"/>
  <c r="AV153" i="5"/>
  <c r="AW153" i="5"/>
  <c r="AP157" i="5"/>
  <c r="AQ157" i="5"/>
  <c r="AR157" i="5"/>
  <c r="AT157" i="5"/>
  <c r="AU157" i="5"/>
  <c r="AV157" i="5"/>
  <c r="AW157" i="5"/>
  <c r="AP158" i="5"/>
  <c r="AQ158" i="5"/>
  <c r="AR158" i="5"/>
  <c r="AT158" i="5"/>
  <c r="AU158" i="5"/>
  <c r="AV158" i="5"/>
  <c r="AW158" i="5"/>
  <c r="AP160" i="5"/>
  <c r="AR160" i="5"/>
  <c r="AT160" i="5"/>
  <c r="AU160" i="5"/>
  <c r="AV160" i="5"/>
  <c r="AW160" i="5"/>
  <c r="AP166" i="5"/>
  <c r="AR166" i="5"/>
  <c r="AT166" i="5"/>
  <c r="AU166" i="5"/>
  <c r="AV166" i="5"/>
  <c r="AW166" i="5"/>
  <c r="AP176" i="5"/>
  <c r="AR176" i="5"/>
  <c r="AT176" i="5"/>
  <c r="AU176" i="5"/>
  <c r="AV176" i="5"/>
  <c r="AW176" i="5"/>
  <c r="AP190" i="5"/>
  <c r="AR190" i="5"/>
  <c r="AT190" i="5"/>
  <c r="AU190" i="5"/>
  <c r="AV190" i="5"/>
  <c r="AW190" i="5"/>
  <c r="AP281" i="5"/>
  <c r="AR281" i="5"/>
  <c r="AT281" i="5"/>
  <c r="AU281" i="5"/>
  <c r="AV281" i="5"/>
  <c r="AW281" i="5"/>
  <c r="AP282" i="5"/>
  <c r="AR282" i="5"/>
  <c r="AT282" i="5"/>
  <c r="AU282" i="5"/>
  <c r="AV282" i="5"/>
  <c r="AW282" i="5"/>
  <c r="AP286" i="5"/>
  <c r="AR286" i="5"/>
  <c r="AT286" i="5"/>
  <c r="AU286" i="5"/>
  <c r="AV286" i="5"/>
  <c r="AW286" i="5"/>
  <c r="AP197" i="5"/>
  <c r="AQ197" i="5"/>
  <c r="AR197" i="5"/>
  <c r="AT197" i="5"/>
  <c r="AU197" i="5"/>
  <c r="AV197" i="5"/>
  <c r="AW197" i="5"/>
  <c r="AP199" i="5"/>
  <c r="AR199" i="5"/>
  <c r="AT199" i="5"/>
  <c r="AU199" i="5"/>
  <c r="AV199" i="5"/>
  <c r="AW199" i="5"/>
  <c r="AP200" i="5"/>
  <c r="AR200" i="5"/>
  <c r="AS200" i="5"/>
  <c r="AT200" i="5"/>
  <c r="AU200" i="5"/>
  <c r="AV200" i="5"/>
  <c r="AW200" i="5"/>
  <c r="AP201" i="5"/>
  <c r="AR201" i="5"/>
  <c r="AT201" i="5"/>
  <c r="AU201" i="5"/>
  <c r="AV201" i="5"/>
  <c r="AW201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7" i="5"/>
  <c r="AQ207" i="5"/>
  <c r="AR207" i="5"/>
  <c r="AT207" i="5"/>
  <c r="AU207" i="5"/>
  <c r="AV207" i="5"/>
  <c r="AW207" i="5"/>
  <c r="AP208" i="5"/>
  <c r="AQ208" i="5"/>
  <c r="AR208" i="5"/>
  <c r="AT208" i="5"/>
  <c r="AU208" i="5"/>
  <c r="AV208" i="5"/>
  <c r="AW208" i="5"/>
  <c r="AP212" i="5"/>
  <c r="AQ212" i="5"/>
  <c r="AR212" i="5"/>
  <c r="AT212" i="5"/>
  <c r="AU212" i="5"/>
  <c r="AV212" i="5"/>
  <c r="AW212" i="5"/>
  <c r="AP216" i="5"/>
  <c r="AR216" i="5"/>
  <c r="AT216" i="5"/>
  <c r="AU216" i="5"/>
  <c r="AV216" i="5"/>
  <c r="AW216" i="5"/>
  <c r="AP227" i="5"/>
  <c r="AQ227" i="5"/>
  <c r="AR227" i="5"/>
  <c r="AT227" i="5"/>
  <c r="AU227" i="5"/>
  <c r="AV227" i="5"/>
  <c r="AW227" i="5"/>
  <c r="AP228" i="5"/>
  <c r="AQ228" i="5"/>
  <c r="AR228" i="5"/>
  <c r="AT228" i="5"/>
  <c r="AU228" i="5"/>
  <c r="AV228" i="5"/>
  <c r="AW228" i="5"/>
  <c r="AP232" i="5"/>
  <c r="AR232" i="5"/>
  <c r="AT232" i="5"/>
  <c r="AU232" i="5"/>
  <c r="AV232" i="5"/>
  <c r="AW232" i="5"/>
  <c r="AP233" i="5"/>
  <c r="AR233" i="5"/>
  <c r="AT233" i="5"/>
  <c r="AU233" i="5"/>
  <c r="AV233" i="5"/>
  <c r="AW233" i="5"/>
  <c r="AP235" i="5"/>
  <c r="AR235" i="5"/>
  <c r="AT235" i="5"/>
  <c r="AU235" i="5"/>
  <c r="AV235" i="5"/>
  <c r="AW235" i="5"/>
  <c r="AP240" i="5"/>
  <c r="AR240" i="5"/>
  <c r="AT240" i="5"/>
  <c r="AU240" i="5"/>
  <c r="AV240" i="5"/>
  <c r="AW240" i="5"/>
  <c r="AP242" i="5"/>
  <c r="AR242" i="5"/>
  <c r="AT242" i="5"/>
  <c r="AU242" i="5"/>
  <c r="AV242" i="5"/>
  <c r="AW242" i="5"/>
  <c r="AP249" i="5"/>
  <c r="AR249" i="5"/>
  <c r="AT249" i="5"/>
  <c r="AU249" i="5"/>
  <c r="AV249" i="5"/>
  <c r="AW249" i="5"/>
  <c r="AP80" i="5"/>
  <c r="AR80" i="5"/>
  <c r="AT80" i="5"/>
  <c r="AU80" i="5"/>
  <c r="AV80" i="5"/>
  <c r="AW80" i="5"/>
  <c r="AP83" i="5"/>
  <c r="AR83" i="5"/>
  <c r="AT83" i="5"/>
  <c r="AU83" i="5"/>
  <c r="AV83" i="5"/>
  <c r="AW83" i="5"/>
  <c r="AP85" i="5"/>
  <c r="AQ85" i="5"/>
  <c r="AR85" i="5"/>
  <c r="AT85" i="5"/>
  <c r="AU85" i="5"/>
  <c r="AV85" i="5"/>
  <c r="AW85" i="5"/>
  <c r="AP93" i="5"/>
  <c r="AR93" i="5"/>
  <c r="AT93" i="5"/>
  <c r="AU93" i="5"/>
  <c r="AV93" i="5"/>
  <c r="AW93" i="5"/>
  <c r="AP99" i="5"/>
  <c r="AR99" i="5"/>
  <c r="AS99" i="5"/>
  <c r="AT99" i="5"/>
  <c r="AU99" i="5"/>
  <c r="AV99" i="5"/>
  <c r="AW99" i="5"/>
  <c r="AP109" i="5"/>
  <c r="AR109" i="5"/>
  <c r="AT109" i="5"/>
  <c r="AU109" i="5"/>
  <c r="AV109" i="5"/>
  <c r="AW109" i="5"/>
  <c r="AP141" i="5"/>
  <c r="AR141" i="5"/>
  <c r="AT141" i="5"/>
  <c r="AU141" i="5"/>
  <c r="AV141" i="5"/>
  <c r="AW141" i="5"/>
  <c r="AP156" i="5"/>
  <c r="AQ156" i="5"/>
  <c r="AR156" i="5"/>
  <c r="AT156" i="5"/>
  <c r="AU156" i="5"/>
  <c r="AV156" i="5"/>
  <c r="AW156" i="5"/>
  <c r="AP211" i="5"/>
  <c r="AQ211" i="5"/>
  <c r="AR211" i="5"/>
  <c r="AT211" i="5"/>
  <c r="AU211" i="5"/>
  <c r="AV211" i="5"/>
  <c r="AW211" i="5"/>
  <c r="AP213" i="5"/>
  <c r="AQ213" i="5"/>
  <c r="AR213" i="5"/>
  <c r="AS213" i="5"/>
  <c r="AT213" i="5"/>
  <c r="AU213" i="5"/>
  <c r="AV213" i="5"/>
  <c r="AW213" i="5"/>
  <c r="AP214" i="5"/>
  <c r="AQ214" i="5"/>
  <c r="AR214" i="5"/>
  <c r="AS214" i="5"/>
  <c r="AT214" i="5"/>
  <c r="AU214" i="5"/>
  <c r="AV214" i="5"/>
  <c r="AW214" i="5"/>
  <c r="AP215" i="5"/>
  <c r="AQ215" i="5"/>
  <c r="AR215" i="5"/>
  <c r="AS215" i="5"/>
  <c r="AT215" i="5"/>
  <c r="AU215" i="5"/>
  <c r="AV215" i="5"/>
  <c r="AW215" i="5"/>
  <c r="AP31" i="5"/>
  <c r="AR31" i="5"/>
  <c r="AU31" i="5"/>
  <c r="AP231" i="5"/>
  <c r="AR231" i="5"/>
  <c r="AU231" i="5"/>
  <c r="AP70" i="5"/>
  <c r="AR70" i="5"/>
  <c r="AT70" i="5"/>
  <c r="AU70" i="5"/>
  <c r="AV70" i="5"/>
  <c r="AW70" i="5"/>
  <c r="AP9" i="5"/>
  <c r="AQ9" i="5"/>
  <c r="AR9" i="5"/>
  <c r="AT9" i="5"/>
  <c r="AU9" i="5"/>
  <c r="AV9" i="5"/>
  <c r="AW9" i="5"/>
  <c r="AP98" i="5"/>
  <c r="AR98" i="5"/>
  <c r="AT98" i="5"/>
  <c r="AU98" i="5"/>
  <c r="AV98" i="5"/>
  <c r="AW98" i="5"/>
  <c r="AP112" i="5"/>
  <c r="AR112" i="5"/>
  <c r="AT112" i="5"/>
  <c r="AU112" i="5"/>
  <c r="AV112" i="5"/>
  <c r="AW112" i="5"/>
  <c r="AP15" i="5"/>
  <c r="AQ15" i="5"/>
  <c r="AR15" i="5"/>
  <c r="AT15" i="5"/>
  <c r="AU15" i="5"/>
  <c r="AV15" i="5"/>
  <c r="AW15" i="5"/>
  <c r="AP130" i="5"/>
  <c r="AQ130" i="5"/>
  <c r="AR130" i="5"/>
  <c r="AT130" i="5"/>
  <c r="AU130" i="5"/>
  <c r="AV130" i="5"/>
  <c r="AW130" i="5"/>
  <c r="AP131" i="5"/>
  <c r="AR131" i="5"/>
  <c r="AS131" i="5"/>
  <c r="AT131" i="5"/>
  <c r="AU131" i="5"/>
  <c r="AV131" i="5"/>
  <c r="AW131" i="5"/>
  <c r="AP136" i="5"/>
  <c r="AR136" i="5"/>
  <c r="AT136" i="5"/>
  <c r="AU136" i="5"/>
  <c r="AV136" i="5"/>
  <c r="AW136" i="5"/>
  <c r="AP139" i="5"/>
  <c r="AQ139" i="5"/>
  <c r="AR139" i="5"/>
  <c r="AT139" i="5"/>
  <c r="AU139" i="5"/>
  <c r="AV139" i="5"/>
  <c r="AW139" i="5"/>
  <c r="AP146" i="5"/>
  <c r="AQ146" i="5"/>
  <c r="AR146" i="5"/>
  <c r="AS146" i="5"/>
  <c r="AT146" i="5"/>
  <c r="AU146" i="5"/>
  <c r="AV146" i="5"/>
  <c r="AW146" i="5"/>
  <c r="AP150" i="5"/>
  <c r="AQ150" i="5"/>
  <c r="AR150" i="5"/>
  <c r="AT150" i="5"/>
  <c r="AU150" i="5"/>
  <c r="AV150" i="5"/>
  <c r="AW150" i="5"/>
  <c r="AP165" i="5"/>
  <c r="AR165" i="5"/>
  <c r="AT165" i="5"/>
  <c r="AU165" i="5"/>
  <c r="AV165" i="5"/>
  <c r="AW165" i="5"/>
  <c r="AP167" i="5"/>
  <c r="AR167" i="5"/>
  <c r="AT167" i="5"/>
  <c r="AU167" i="5"/>
  <c r="AV167" i="5"/>
  <c r="AW167" i="5"/>
  <c r="AP187" i="5"/>
  <c r="AR187" i="5"/>
  <c r="AT187" i="5"/>
  <c r="AU187" i="5"/>
  <c r="AV187" i="5"/>
  <c r="AW187" i="5"/>
  <c r="AP189" i="5"/>
  <c r="AR189" i="5"/>
  <c r="AT189" i="5"/>
  <c r="AU189" i="5"/>
  <c r="AV189" i="5"/>
  <c r="AW189" i="5"/>
  <c r="AP287" i="5"/>
  <c r="AR287" i="5"/>
  <c r="AT287" i="5"/>
  <c r="AU287" i="5"/>
  <c r="AV287" i="5"/>
  <c r="AW287" i="5"/>
  <c r="AP290" i="5"/>
  <c r="AR290" i="5"/>
  <c r="AT290" i="5"/>
  <c r="AU290" i="5"/>
  <c r="AV290" i="5"/>
  <c r="AW290" i="5"/>
  <c r="AP19" i="5"/>
  <c r="AR19" i="5"/>
  <c r="AT19" i="5"/>
  <c r="AU19" i="5"/>
  <c r="AV19" i="5"/>
  <c r="AW19" i="5"/>
  <c r="AP210" i="5"/>
  <c r="AQ210" i="5"/>
  <c r="AR210" i="5"/>
  <c r="AT210" i="5"/>
  <c r="AU210" i="5"/>
  <c r="AV210" i="5"/>
  <c r="AW210" i="5"/>
  <c r="AP25" i="5"/>
  <c r="AQ25" i="5"/>
  <c r="AR25" i="5"/>
  <c r="AT25" i="5"/>
  <c r="AU25" i="5"/>
  <c r="AV25" i="5"/>
  <c r="AW25" i="5"/>
  <c r="AP26" i="5"/>
  <c r="AR26" i="5"/>
  <c r="AT26" i="5"/>
  <c r="AU26" i="5"/>
  <c r="AV26" i="5"/>
  <c r="AW26" i="5"/>
  <c r="AP237" i="5"/>
  <c r="AQ237" i="5"/>
  <c r="AR237" i="5"/>
  <c r="AT237" i="5"/>
  <c r="AU237" i="5"/>
  <c r="AV237" i="5"/>
  <c r="AW237" i="5"/>
  <c r="AP73" i="5"/>
  <c r="AR73" i="5"/>
  <c r="AT73" i="5"/>
  <c r="AU73" i="5"/>
  <c r="AV73" i="5"/>
  <c r="AW73" i="5"/>
  <c r="AP86" i="5"/>
  <c r="AQ86" i="5"/>
  <c r="AR86" i="5"/>
  <c r="AT86" i="5"/>
  <c r="AU86" i="5"/>
  <c r="AV86" i="5"/>
  <c r="AW86" i="5"/>
  <c r="AP97" i="5"/>
  <c r="AR97" i="5"/>
  <c r="AT97" i="5"/>
  <c r="AU97" i="5"/>
  <c r="AV97" i="5"/>
  <c r="AW97" i="5"/>
  <c r="AP110" i="5"/>
  <c r="AR110" i="5"/>
  <c r="AT110" i="5"/>
  <c r="AU110" i="5"/>
  <c r="AV110" i="5"/>
  <c r="AW110" i="5"/>
  <c r="AP128" i="5"/>
  <c r="AQ128" i="5"/>
  <c r="AR128" i="5"/>
  <c r="AT128" i="5"/>
  <c r="AU128" i="5"/>
  <c r="AV128" i="5"/>
  <c r="AW128" i="5"/>
  <c r="AP140" i="5"/>
  <c r="AR140" i="5"/>
  <c r="AS140" i="5"/>
  <c r="AT140" i="5"/>
  <c r="AU140" i="5"/>
  <c r="AV140" i="5"/>
  <c r="AW140" i="5"/>
  <c r="AP154" i="5"/>
  <c r="AR154" i="5"/>
  <c r="AS154" i="5"/>
  <c r="AT154" i="5"/>
  <c r="AU154" i="5"/>
  <c r="AV154" i="5"/>
  <c r="AW154" i="5"/>
  <c r="AP170" i="5"/>
  <c r="AR170" i="5"/>
  <c r="AT170" i="5"/>
  <c r="AU170" i="5"/>
  <c r="AV170" i="5"/>
  <c r="AW170" i="5"/>
  <c r="AP188" i="5"/>
  <c r="AR188" i="5"/>
  <c r="AT188" i="5"/>
  <c r="AU188" i="5"/>
  <c r="AV188" i="5"/>
  <c r="AW188" i="5"/>
  <c r="AP278" i="5"/>
  <c r="AR278" i="5"/>
  <c r="AT278" i="5"/>
  <c r="AU278" i="5"/>
  <c r="AV278" i="5"/>
  <c r="AW278" i="5"/>
  <c r="AP280" i="5"/>
  <c r="AR280" i="5"/>
  <c r="AT280" i="5"/>
  <c r="AU280" i="5"/>
  <c r="AV280" i="5"/>
  <c r="AW280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93" i="5"/>
  <c r="AR293" i="5"/>
  <c r="AT293" i="5"/>
  <c r="AU293" i="5"/>
  <c r="AV293" i="5"/>
  <c r="AW293" i="5"/>
  <c r="AP234" i="5"/>
  <c r="AR234" i="5"/>
  <c r="AT234" i="5"/>
  <c r="AU234" i="5"/>
  <c r="AV234" i="5"/>
  <c r="AW234" i="5"/>
  <c r="AP71" i="5"/>
  <c r="AQ71" i="5"/>
  <c r="AR71" i="5"/>
  <c r="AT71" i="5"/>
  <c r="AU71" i="5"/>
  <c r="AV71" i="5"/>
  <c r="AW71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7" i="5"/>
  <c r="AR277" i="5"/>
  <c r="AT277" i="5"/>
  <c r="AU277" i="5"/>
  <c r="AV277" i="5"/>
  <c r="AW277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79" i="5"/>
  <c r="AR279" i="5"/>
  <c r="AT279" i="5"/>
  <c r="AU279" i="5"/>
  <c r="AV279" i="5"/>
  <c r="AW279" i="5"/>
  <c r="AP209" i="5"/>
  <c r="AQ209" i="5"/>
  <c r="AR209" i="5"/>
  <c r="AT209" i="5"/>
  <c r="AU209" i="5"/>
  <c r="AV209" i="5"/>
  <c r="AW209" i="5"/>
  <c r="AP255" i="5"/>
  <c r="AR255" i="5"/>
  <c r="AT255" i="5"/>
  <c r="AU255" i="5"/>
  <c r="AV255" i="5"/>
  <c r="AW255" i="5"/>
  <c r="AP8" i="5"/>
  <c r="AR8" i="5"/>
  <c r="AT8" i="5"/>
  <c r="AU8" i="5"/>
  <c r="AV8" i="5"/>
  <c r="AW8" i="5"/>
  <c r="AP72" i="5"/>
  <c r="AR72" i="5"/>
  <c r="AT72" i="5"/>
  <c r="AU72" i="5"/>
  <c r="AV72" i="5"/>
  <c r="AW72" i="5"/>
  <c r="AP74" i="5"/>
  <c r="AR74" i="5"/>
  <c r="AT74" i="5"/>
  <c r="AU74" i="5"/>
  <c r="AV74" i="5"/>
  <c r="AW74" i="5"/>
  <c r="AP266" i="5"/>
  <c r="AR266" i="5"/>
  <c r="AS266" i="5"/>
  <c r="AT266" i="5"/>
  <c r="AU266" i="5"/>
  <c r="AV266" i="5"/>
  <c r="AW266" i="5"/>
  <c r="AP124" i="5"/>
  <c r="AR124" i="5"/>
  <c r="AT124" i="5"/>
  <c r="AU124" i="5"/>
  <c r="AV124" i="5"/>
  <c r="AW124" i="5"/>
  <c r="AP125" i="5"/>
  <c r="AR125" i="5"/>
  <c r="AT125" i="5"/>
  <c r="AU125" i="5"/>
  <c r="AV125" i="5"/>
  <c r="AW125" i="5"/>
  <c r="AP135" i="5"/>
  <c r="AR135" i="5"/>
  <c r="AT135" i="5"/>
  <c r="AU135" i="5"/>
  <c r="AV135" i="5"/>
  <c r="AW135" i="5"/>
  <c r="AP155" i="5"/>
  <c r="AR155" i="5"/>
  <c r="AT155" i="5"/>
  <c r="AU155" i="5"/>
  <c r="AV155" i="5"/>
  <c r="AW155" i="5"/>
  <c r="AP191" i="5"/>
  <c r="AR191" i="5"/>
  <c r="AT191" i="5"/>
  <c r="AU191" i="5"/>
  <c r="AV191" i="5"/>
  <c r="AW191" i="5"/>
  <c r="AP283" i="5"/>
  <c r="AR283" i="5"/>
  <c r="AT283" i="5"/>
  <c r="AU283" i="5"/>
  <c r="AV283" i="5"/>
  <c r="AW283" i="5"/>
  <c r="AP174" i="5"/>
  <c r="AR174" i="5"/>
  <c r="AS174" i="5"/>
  <c r="AU174" i="5"/>
  <c r="AP177" i="5"/>
  <c r="AQ177" i="5"/>
  <c r="AR177" i="5"/>
  <c r="AT177" i="5"/>
  <c r="AU177" i="5"/>
  <c r="AV177" i="5"/>
  <c r="AW177" i="5"/>
  <c r="AP284" i="5"/>
  <c r="AR284" i="5"/>
  <c r="AT284" i="5"/>
  <c r="AU284" i="5"/>
  <c r="AV284" i="5"/>
  <c r="AW284" i="5"/>
  <c r="AP241" i="5"/>
  <c r="AR241" i="5"/>
  <c r="AT241" i="5"/>
  <c r="AU241" i="5"/>
  <c r="AV241" i="5"/>
  <c r="AW241" i="5"/>
  <c r="AP89" i="5"/>
  <c r="AR89" i="5"/>
  <c r="AS89" i="5"/>
  <c r="AT89" i="5"/>
  <c r="AU89" i="5"/>
  <c r="AV89" i="5"/>
  <c r="AW89" i="5"/>
  <c r="AP127" i="5"/>
  <c r="AQ127" i="5"/>
  <c r="AR127" i="5"/>
  <c r="AU127" i="5"/>
  <c r="AP147" i="5"/>
  <c r="AR147" i="5"/>
  <c r="AU147" i="5"/>
  <c r="AP186" i="5"/>
  <c r="AR186" i="5"/>
  <c r="AS186" i="5"/>
  <c r="AU186" i="5"/>
  <c r="AP2" i="5"/>
  <c r="AR2" i="5"/>
  <c r="AT2" i="5"/>
  <c r="AU2" i="5"/>
  <c r="AV2" i="5"/>
  <c r="AW2" i="5"/>
  <c r="AP122" i="5"/>
  <c r="AR122" i="5"/>
  <c r="AT122" i="5"/>
  <c r="AU122" i="5"/>
  <c r="AV122" i="5"/>
  <c r="AW122" i="5"/>
  <c r="AP173" i="5"/>
  <c r="AR173" i="5"/>
  <c r="AS173" i="5"/>
  <c r="AU173" i="5"/>
  <c r="AP29" i="5"/>
  <c r="AR29" i="5"/>
  <c r="AU29" i="5"/>
  <c r="AP243" i="5"/>
  <c r="AR243" i="5"/>
  <c r="AT243" i="5"/>
  <c r="AU243" i="5"/>
  <c r="AV243" i="5"/>
  <c r="AW243" i="5"/>
  <c r="AP244" i="5"/>
  <c r="AR244" i="5"/>
  <c r="AT244" i="5"/>
  <c r="AU244" i="5"/>
  <c r="AV244" i="5"/>
  <c r="AW244" i="5"/>
  <c r="AP245" i="5"/>
  <c r="AR245" i="5"/>
  <c r="AT245" i="5"/>
  <c r="AU245" i="5"/>
  <c r="AV245" i="5"/>
  <c r="AW245" i="5"/>
  <c r="AP114" i="5"/>
  <c r="AQ114" i="5"/>
  <c r="AR114" i="5"/>
  <c r="AS114" i="5"/>
  <c r="AT114" i="5"/>
  <c r="AU114" i="5"/>
  <c r="AV114" i="5"/>
  <c r="AW114" i="5"/>
  <c r="AP152" i="5"/>
  <c r="AR152" i="5"/>
  <c r="AT152" i="5"/>
  <c r="AU152" i="5"/>
  <c r="AV152" i="5"/>
  <c r="AW152" i="5"/>
  <c r="AP239" i="5"/>
  <c r="AR239" i="5"/>
  <c r="AT239" i="5"/>
  <c r="AU239" i="5"/>
  <c r="AV239" i="5"/>
  <c r="AW239" i="5"/>
  <c r="AP198" i="5"/>
  <c r="AR198" i="5"/>
  <c r="AT198" i="5"/>
  <c r="AU198" i="5"/>
  <c r="AV198" i="5"/>
  <c r="AW198" i="5"/>
  <c r="AP205" i="5"/>
  <c r="AR205" i="5"/>
  <c r="AS205" i="5"/>
  <c r="AT205" i="5"/>
  <c r="AU205" i="5"/>
  <c r="AV205" i="5"/>
  <c r="AW205" i="5"/>
  <c r="AP229" i="5"/>
  <c r="AR229" i="5"/>
  <c r="AT229" i="5"/>
  <c r="AU229" i="5"/>
  <c r="AV229" i="5"/>
  <c r="AW229" i="5"/>
  <c r="AP272" i="5"/>
  <c r="AR272" i="5"/>
  <c r="AS272" i="5"/>
  <c r="AT272" i="5"/>
  <c r="AU272" i="5"/>
  <c r="AV272" i="5"/>
  <c r="AW272" i="5"/>
  <c r="AP161" i="5"/>
  <c r="AR161" i="5"/>
  <c r="AT161" i="5"/>
  <c r="AU161" i="5"/>
  <c r="AV161" i="5"/>
  <c r="AW161" i="5"/>
  <c r="AP226" i="5"/>
  <c r="AQ226" i="5"/>
  <c r="AR226" i="5"/>
  <c r="AS226" i="5"/>
  <c r="AT226" i="5"/>
  <c r="AU226" i="5"/>
  <c r="AV226" i="5"/>
  <c r="AW226" i="5"/>
  <c r="AP116" i="5"/>
  <c r="AR116" i="5"/>
  <c r="AT116" i="5"/>
  <c r="AU116" i="5"/>
  <c r="AV116" i="5"/>
  <c r="AW116" i="5"/>
  <c r="AP271" i="5"/>
  <c r="AR271" i="5"/>
  <c r="AT271" i="5"/>
  <c r="AU271" i="5"/>
  <c r="AV271" i="5"/>
  <c r="AW271" i="5"/>
  <c r="AP32" i="5"/>
  <c r="AR32" i="5"/>
  <c r="AU32" i="5"/>
  <c r="AP132" i="5"/>
  <c r="AR132" i="5"/>
  <c r="AS132" i="5"/>
  <c r="AT132" i="5"/>
  <c r="AU132" i="5"/>
  <c r="AV132" i="5"/>
  <c r="AW132" i="5"/>
  <c r="AP269" i="5"/>
  <c r="AQ269" i="5"/>
  <c r="AR269" i="5"/>
  <c r="AS269" i="5"/>
  <c r="AT269" i="5"/>
  <c r="AU269" i="5"/>
  <c r="AV269" i="5"/>
  <c r="AW269" i="5"/>
  <c r="AP134" i="5"/>
  <c r="AR134" i="5"/>
  <c r="AS134" i="5"/>
  <c r="AT134" i="5"/>
  <c r="AU134" i="5"/>
  <c r="AV134" i="5"/>
  <c r="AW134" i="5"/>
  <c r="AP145" i="5"/>
  <c r="AR145" i="5"/>
  <c r="AS145" i="5"/>
  <c r="AT145" i="5"/>
  <c r="AU145" i="5"/>
  <c r="AV145" i="5"/>
  <c r="AW145" i="5"/>
  <c r="AP274" i="5"/>
  <c r="AQ274" i="5"/>
  <c r="AR274" i="5"/>
  <c r="AS274" i="5"/>
  <c r="AT274" i="5"/>
  <c r="AU274" i="5"/>
  <c r="AV274" i="5"/>
  <c r="AW274" i="5"/>
  <c r="AP44" i="5"/>
  <c r="AR44" i="5"/>
  <c r="AT44" i="5"/>
  <c r="AU44" i="5"/>
  <c r="AV44" i="5"/>
  <c r="AW44" i="5"/>
  <c r="AP142" i="5"/>
  <c r="AQ142" i="5"/>
  <c r="AR142" i="5"/>
  <c r="AS142" i="5"/>
  <c r="AT142" i="5"/>
  <c r="AU142" i="5"/>
  <c r="AV142" i="5"/>
  <c r="AW142" i="5"/>
  <c r="AP5" i="5"/>
  <c r="AQ5" i="5"/>
  <c r="AR5" i="5"/>
  <c r="AT5" i="5"/>
  <c r="AU5" i="5"/>
  <c r="AV5" i="5"/>
  <c r="AW5" i="5"/>
  <c r="AP219" i="5"/>
  <c r="AQ219" i="5"/>
  <c r="AR219" i="5"/>
  <c r="AS219" i="5"/>
  <c r="AT219" i="5"/>
  <c r="AU219" i="5"/>
  <c r="AV219" i="5"/>
  <c r="AW219" i="5"/>
  <c r="AP294" i="5"/>
  <c r="AR294" i="5"/>
  <c r="AT294" i="5"/>
  <c r="AU294" i="5"/>
  <c r="AV294" i="5"/>
  <c r="AW294" i="5"/>
  <c r="AP275" i="5"/>
  <c r="AR275" i="5"/>
  <c r="AT275" i="5"/>
  <c r="AU275" i="5"/>
  <c r="AV275" i="5"/>
  <c r="AW275" i="5"/>
  <c r="AP192" i="5"/>
  <c r="AR192" i="5"/>
  <c r="AT192" i="5"/>
  <c r="AU192" i="5"/>
  <c r="AV192" i="5"/>
  <c r="AW192" i="5"/>
  <c r="AP194" i="5"/>
  <c r="AR194" i="5"/>
  <c r="AT194" i="5"/>
  <c r="AU194" i="5"/>
  <c r="AV194" i="5"/>
  <c r="AW194" i="5"/>
  <c r="AP222" i="5"/>
  <c r="AR222" i="5"/>
  <c r="AS222" i="5"/>
  <c r="AT222" i="5"/>
  <c r="AU222" i="5"/>
  <c r="AV222" i="5"/>
  <c r="AW222" i="5"/>
  <c r="AP248" i="5"/>
  <c r="AR248" i="5"/>
  <c r="AT248" i="5"/>
  <c r="AU248" i="5"/>
  <c r="AV248" i="5"/>
  <c r="AW248" i="5"/>
  <c r="AP96" i="5"/>
  <c r="AR96" i="5"/>
  <c r="AT96" i="5"/>
  <c r="AU96" i="5"/>
  <c r="AV96" i="5"/>
  <c r="AW96" i="5"/>
  <c r="AP118" i="5"/>
  <c r="AR118" i="5"/>
  <c r="AT118" i="5"/>
  <c r="AU118" i="5"/>
  <c r="AV118" i="5"/>
  <c r="AW118" i="5"/>
  <c r="AP88" i="5"/>
  <c r="AR88" i="5"/>
  <c r="AS88" i="5"/>
  <c r="AT88" i="5"/>
  <c r="AU88" i="5"/>
  <c r="AV88" i="5"/>
  <c r="AW88" i="5"/>
  <c r="AP273" i="5"/>
  <c r="AR273" i="5"/>
  <c r="AT273" i="5"/>
  <c r="AU273" i="5"/>
  <c r="AV273" i="5"/>
  <c r="AW273" i="5"/>
  <c r="AP149" i="5"/>
  <c r="AR149" i="5"/>
  <c r="AS149" i="5"/>
  <c r="AT149" i="5"/>
  <c r="AU149" i="5"/>
  <c r="AV149" i="5"/>
  <c r="AW149" i="5"/>
  <c r="AP68" i="5"/>
  <c r="AR68" i="5"/>
  <c r="AT68" i="5"/>
  <c r="AU68" i="5"/>
  <c r="AV68" i="5"/>
  <c r="AW68" i="5"/>
  <c r="AZ68" i="5"/>
  <c r="AP195" i="5"/>
  <c r="AR195" i="5"/>
  <c r="AS195" i="5"/>
  <c r="AT195" i="5"/>
  <c r="AU195" i="5"/>
  <c r="AV195" i="5"/>
  <c r="AW195" i="5"/>
  <c r="AP148" i="5"/>
  <c r="AQ148" i="5"/>
  <c r="AR148" i="5"/>
  <c r="AT148" i="5"/>
  <c r="AU148" i="5"/>
  <c r="AV148" i="5"/>
  <c r="AW148" i="5"/>
  <c r="AP103" i="5"/>
  <c r="AQ103" i="5"/>
  <c r="AR103" i="5"/>
  <c r="AT103" i="5"/>
  <c r="AU103" i="5"/>
  <c r="AV103" i="5"/>
  <c r="AW103" i="5"/>
  <c r="AP94" i="5"/>
  <c r="AR94" i="5"/>
  <c r="AT94" i="5"/>
  <c r="AU94" i="5"/>
  <c r="AV94" i="5"/>
  <c r="AW94" i="5"/>
  <c r="AP291" i="5"/>
  <c r="AR291" i="5"/>
  <c r="AT291" i="5"/>
  <c r="AU291" i="5"/>
  <c r="AV291" i="5"/>
  <c r="AW291" i="5"/>
  <c r="AP46" i="5"/>
  <c r="AR46" i="5"/>
  <c r="AT46" i="5"/>
  <c r="AU46" i="5"/>
  <c r="AV46" i="5"/>
  <c r="AW46" i="5"/>
  <c r="AP246" i="5"/>
  <c r="AR246" i="5"/>
  <c r="AT246" i="5"/>
  <c r="AU246" i="5"/>
  <c r="AV246" i="5"/>
  <c r="AW246" i="5"/>
  <c r="AP34" i="5"/>
  <c r="AR34" i="5"/>
  <c r="AT34" i="5"/>
  <c r="AU34" i="5"/>
  <c r="AV34" i="5"/>
  <c r="AW34" i="5"/>
  <c r="AP119" i="5"/>
  <c r="AR119" i="5"/>
  <c r="AT119" i="5"/>
  <c r="AU119" i="5"/>
  <c r="AV119" i="5"/>
  <c r="AW119" i="5"/>
  <c r="AP67" i="5"/>
  <c r="AR67" i="5"/>
  <c r="AS67" i="5"/>
  <c r="AT67" i="5"/>
  <c r="AU67" i="5"/>
  <c r="AV67" i="5"/>
  <c r="AW67" i="5"/>
  <c r="AP45" i="5"/>
  <c r="AR45" i="5"/>
  <c r="AT45" i="5"/>
  <c r="AU45" i="5"/>
  <c r="AV45" i="5"/>
  <c r="AW45" i="5"/>
  <c r="AP7" i="5"/>
  <c r="AR7" i="5"/>
  <c r="AT7" i="5"/>
  <c r="AU7" i="5"/>
  <c r="AV7" i="5"/>
  <c r="AW7" i="5"/>
  <c r="AP41" i="5"/>
  <c r="AR41" i="5"/>
  <c r="AT41" i="5"/>
  <c r="AU41" i="5"/>
  <c r="AV41" i="5"/>
  <c r="AW41" i="5"/>
  <c r="AP6" i="5"/>
  <c r="AR6" i="5"/>
  <c r="AT6" i="5"/>
  <c r="AU6" i="5"/>
  <c r="AV6" i="5"/>
  <c r="AW6" i="5"/>
  <c r="AP35" i="5"/>
  <c r="AR35" i="5"/>
  <c r="AT35" i="5"/>
  <c r="AU35" i="5"/>
  <c r="AV35" i="5"/>
  <c r="AW35" i="5"/>
  <c r="AP47" i="5"/>
  <c r="AR47" i="5"/>
  <c r="AT47" i="5"/>
  <c r="AU47" i="5"/>
  <c r="AV47" i="5"/>
  <c r="AW47" i="5"/>
  <c r="AP60" i="5"/>
  <c r="AR60" i="5"/>
  <c r="AT60" i="5"/>
  <c r="AU60" i="5"/>
  <c r="AV60" i="5"/>
  <c r="AW60" i="5"/>
  <c r="AP69" i="5"/>
  <c r="AR69" i="5"/>
  <c r="AT69" i="5"/>
  <c r="AU69" i="5"/>
  <c r="AV69" i="5"/>
  <c r="AW69" i="5"/>
  <c r="AP61" i="5"/>
  <c r="AR61" i="5"/>
  <c r="AT61" i="5"/>
  <c r="AU61" i="5"/>
  <c r="AV61" i="5"/>
  <c r="AW61" i="5"/>
  <c r="AP120" i="5"/>
  <c r="AR120" i="5"/>
  <c r="AT120" i="5"/>
  <c r="AU120" i="5"/>
  <c r="AV120" i="5"/>
  <c r="AW120" i="5"/>
  <c r="AP224" i="5"/>
  <c r="AQ224" i="5"/>
  <c r="AR224" i="5"/>
  <c r="AS224" i="5"/>
  <c r="AT224" i="5"/>
  <c r="AU224" i="5"/>
  <c r="AV224" i="5"/>
  <c r="AW224" i="5"/>
  <c r="AP43" i="5"/>
  <c r="AR43" i="5"/>
  <c r="AT43" i="5"/>
  <c r="AU43" i="5"/>
  <c r="AV43" i="5"/>
  <c r="AW43" i="5"/>
  <c r="AP62" i="5"/>
  <c r="AR62" i="5"/>
  <c r="AT62" i="5"/>
  <c r="AU62" i="5"/>
  <c r="AV62" i="5"/>
  <c r="AW62" i="5"/>
  <c r="AP196" i="5"/>
  <c r="AQ196" i="5"/>
  <c r="AR196" i="5"/>
  <c r="AT196" i="5"/>
  <c r="AU196" i="5"/>
  <c r="AV196" i="5"/>
  <c r="AW196" i="5"/>
  <c r="AP4" i="5"/>
  <c r="AR4" i="5"/>
  <c r="AS4" i="5"/>
  <c r="AT4" i="5"/>
  <c r="AU4" i="5"/>
  <c r="AV4" i="5"/>
  <c r="AW4" i="5"/>
  <c r="AP221" i="5"/>
  <c r="AR221" i="5"/>
  <c r="AT221" i="5"/>
  <c r="AU221" i="5"/>
  <c r="AV221" i="5"/>
  <c r="AW221" i="5"/>
  <c r="AP151" i="5"/>
  <c r="AR151" i="5"/>
  <c r="AS151" i="5"/>
  <c r="AT151" i="5"/>
  <c r="AU151" i="5"/>
  <c r="AV151" i="5"/>
  <c r="AW151" i="5"/>
  <c r="AP66" i="5"/>
  <c r="AR66" i="5"/>
  <c r="AT66" i="5"/>
  <c r="AU66" i="5"/>
  <c r="AV66" i="5"/>
  <c r="AW66" i="5"/>
  <c r="AP38" i="5"/>
  <c r="AR38" i="5"/>
  <c r="AT38" i="5"/>
  <c r="AU38" i="5"/>
  <c r="AV38" i="5"/>
  <c r="AW38" i="5"/>
  <c r="AP42" i="5"/>
  <c r="AR42" i="5"/>
  <c r="AT42" i="5"/>
  <c r="AU42" i="5"/>
  <c r="AV42" i="5"/>
  <c r="AW42" i="5"/>
  <c r="AP252" i="5"/>
  <c r="AR252" i="5"/>
  <c r="AS252" i="5"/>
  <c r="AT252" i="5"/>
  <c r="AU252" i="5"/>
  <c r="AV252" i="5"/>
  <c r="AW252" i="5"/>
  <c r="AP37" i="5"/>
  <c r="AR37" i="5"/>
  <c r="AT37" i="5"/>
  <c r="AU37" i="5"/>
  <c r="AV37" i="5"/>
  <c r="AW37" i="5"/>
  <c r="AP78" i="5"/>
  <c r="AR78" i="5"/>
  <c r="AT78" i="5"/>
  <c r="AU78" i="5"/>
  <c r="AV78" i="5"/>
  <c r="AW78" i="5"/>
  <c r="AP39" i="5"/>
  <c r="AR39" i="5"/>
  <c r="AT39" i="5"/>
  <c r="AU39" i="5"/>
  <c r="AV39" i="5"/>
  <c r="AW39" i="5"/>
  <c r="AP40" i="5"/>
  <c r="AR40" i="5"/>
  <c r="AT40" i="5"/>
  <c r="AU40" i="5"/>
  <c r="AV40" i="5"/>
  <c r="AW40" i="5"/>
  <c r="AP111" i="5"/>
  <c r="AR111" i="5"/>
  <c r="AT111" i="5"/>
  <c r="AU111" i="5"/>
  <c r="AV111" i="5"/>
  <c r="AW111" i="5"/>
  <c r="AP268" i="5"/>
  <c r="AQ268" i="5"/>
  <c r="AR268" i="5"/>
  <c r="AT268" i="5"/>
  <c r="AU268" i="5"/>
  <c r="AV268" i="5"/>
  <c r="AW268" i="5"/>
  <c r="AP254" i="5"/>
  <c r="AR254" i="5"/>
  <c r="AT254" i="5"/>
  <c r="AU254" i="5"/>
  <c r="AV254" i="5"/>
  <c r="AW254" i="5"/>
  <c r="AP276" i="5"/>
  <c r="AR276" i="5"/>
  <c r="AS276" i="5"/>
  <c r="AT276" i="5"/>
  <c r="AU276" i="5"/>
  <c r="AV276" i="5"/>
  <c r="AW276" i="5"/>
  <c r="AP260" i="5"/>
  <c r="AR260" i="5"/>
  <c r="AT260" i="5"/>
  <c r="AU260" i="5"/>
  <c r="AV260" i="5"/>
  <c r="AW260" i="5"/>
  <c r="AP36" i="5"/>
  <c r="AR36" i="5"/>
  <c r="AT36" i="5"/>
  <c r="AU36" i="5"/>
  <c r="AV36" i="5"/>
  <c r="AW36" i="5"/>
  <c r="AP253" i="5"/>
  <c r="AR253" i="5"/>
  <c r="AT253" i="5"/>
  <c r="AU253" i="5"/>
  <c r="AV253" i="5"/>
  <c r="AW253" i="5"/>
  <c r="AP288" i="5"/>
  <c r="AR288" i="5"/>
  <c r="AT288" i="5"/>
  <c r="AU288" i="5"/>
  <c r="AV288" i="5"/>
  <c r="AW288" i="5"/>
  <c r="AP65" i="5"/>
  <c r="AR65" i="5"/>
  <c r="AT65" i="5"/>
  <c r="AU65" i="5"/>
  <c r="AV65" i="5"/>
  <c r="AW65" i="5"/>
  <c r="AP53" i="5"/>
  <c r="AR53" i="5"/>
  <c r="AT53" i="5"/>
  <c r="AU53" i="5"/>
  <c r="AV53" i="5"/>
  <c r="AW53" i="5"/>
  <c r="AP63" i="5"/>
  <c r="AR63" i="5"/>
  <c r="AT63" i="5"/>
  <c r="AU63" i="5"/>
  <c r="AV63" i="5"/>
  <c r="AW63" i="5"/>
  <c r="AP251" i="5"/>
  <c r="AR251" i="5"/>
  <c r="AT251" i="5"/>
  <c r="AU251" i="5"/>
  <c r="AV251" i="5"/>
  <c r="AW251" i="5"/>
  <c r="AP64" i="5"/>
  <c r="AR64" i="5"/>
  <c r="AT64" i="5"/>
  <c r="AU64" i="5"/>
  <c r="AV64" i="5"/>
  <c r="AW64" i="5"/>
  <c r="AP54" i="5"/>
  <c r="AR54" i="5"/>
  <c r="AT54" i="5"/>
  <c r="AU54" i="5"/>
  <c r="AV54" i="5"/>
  <c r="AW54" i="5"/>
  <c r="AP95" i="5"/>
  <c r="AR95" i="5"/>
  <c r="AT95" i="5"/>
  <c r="AU95" i="5"/>
  <c r="AV95" i="5"/>
  <c r="AW95" i="5"/>
  <c r="AP57" i="5"/>
  <c r="AR57" i="5"/>
  <c r="AT57" i="5"/>
  <c r="AU57" i="5"/>
  <c r="AV57" i="5"/>
  <c r="AW57" i="5"/>
  <c r="AP113" i="5"/>
  <c r="AR113" i="5"/>
  <c r="AT113" i="5"/>
  <c r="AU113" i="5"/>
  <c r="AV113" i="5"/>
  <c r="AW113" i="5"/>
  <c r="AP159" i="5"/>
  <c r="AR159" i="5"/>
  <c r="AT159" i="5"/>
  <c r="AU159" i="5"/>
  <c r="AV159" i="5"/>
  <c r="AW159" i="5"/>
  <c r="AP58" i="5"/>
  <c r="AR58" i="5"/>
  <c r="AT58" i="5"/>
  <c r="AU58" i="5"/>
  <c r="AV58" i="5"/>
  <c r="AW58" i="5"/>
  <c r="AP55" i="5"/>
  <c r="AR55" i="5"/>
  <c r="AT55" i="5"/>
  <c r="AU55" i="5"/>
  <c r="AV55" i="5"/>
  <c r="AW55" i="5"/>
  <c r="AP56" i="5"/>
  <c r="AR56" i="5"/>
  <c r="AS56" i="5"/>
  <c r="AT56" i="5"/>
  <c r="AU56" i="5"/>
  <c r="AV56" i="5"/>
  <c r="AW56" i="5"/>
  <c r="AP296" i="5"/>
  <c r="AR296" i="5"/>
  <c r="AS296" i="5"/>
  <c r="AT296" i="5"/>
  <c r="AU296" i="5"/>
  <c r="AV296" i="5"/>
  <c r="AW296" i="5"/>
  <c r="AX296" i="5"/>
  <c r="AY296" i="5"/>
  <c r="AZ296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2" i="5"/>
  <c r="AR302" i="5"/>
  <c r="AS302" i="5"/>
  <c r="AT302" i="5"/>
  <c r="AU302" i="5"/>
  <c r="AV302" i="5"/>
  <c r="AW302" i="5"/>
  <c r="AX302" i="5"/>
  <c r="AY302" i="5"/>
  <c r="AZ302" i="5"/>
  <c r="AP303" i="5"/>
  <c r="AR303" i="5"/>
  <c r="AS303" i="5"/>
  <c r="AT303" i="5"/>
  <c r="AU303" i="5"/>
  <c r="AV303" i="5"/>
  <c r="AW303" i="5"/>
  <c r="AX303" i="5"/>
  <c r="AY303" i="5"/>
  <c r="AZ303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1" i="5"/>
  <c r="AR301" i="5"/>
  <c r="AS301" i="5"/>
  <c r="AT301" i="5"/>
  <c r="AU301" i="5"/>
  <c r="AV301" i="5"/>
  <c r="AW301" i="5"/>
  <c r="AX301" i="5"/>
  <c r="AY301" i="5"/>
  <c r="AZ301" i="5"/>
  <c r="AP306" i="5"/>
  <c r="AR306" i="5"/>
  <c r="AS306" i="5"/>
  <c r="AT306" i="5"/>
  <c r="AU306" i="5"/>
  <c r="AV306" i="5"/>
  <c r="AW306" i="5"/>
  <c r="AX306" i="5"/>
  <c r="AY306" i="5"/>
  <c r="AZ306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43" i="5"/>
  <c r="AR343" i="5"/>
  <c r="AS343" i="5"/>
  <c r="AT343" i="5"/>
  <c r="AU343" i="5"/>
  <c r="AV343" i="5"/>
  <c r="AW343" i="5"/>
  <c r="AX343" i="5"/>
  <c r="AY343" i="5"/>
  <c r="AZ343" i="5"/>
  <c r="AP328" i="5"/>
  <c r="AR328" i="5"/>
  <c r="AS328" i="5"/>
  <c r="AT328" i="5"/>
  <c r="AU328" i="5"/>
  <c r="AV328" i="5"/>
  <c r="AW328" i="5"/>
  <c r="AX328" i="5"/>
  <c r="AY328" i="5"/>
  <c r="AZ328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4" i="5"/>
  <c r="AR344" i="5"/>
  <c r="AS344" i="5"/>
  <c r="AT344" i="5"/>
  <c r="AU344" i="5"/>
  <c r="AV344" i="5"/>
  <c r="AW344" i="5"/>
  <c r="AX344" i="5"/>
  <c r="AY344" i="5"/>
  <c r="AZ344" i="5"/>
  <c r="AP331" i="5"/>
  <c r="AR331" i="5"/>
  <c r="AS331" i="5"/>
  <c r="AT331" i="5"/>
  <c r="AU331" i="5"/>
  <c r="AV331" i="5"/>
  <c r="AW331" i="5"/>
  <c r="AX331" i="5"/>
  <c r="AY331" i="5"/>
  <c r="AZ331" i="5"/>
  <c r="AP339" i="5"/>
  <c r="AR339" i="5"/>
  <c r="AS339" i="5"/>
  <c r="AT339" i="5"/>
  <c r="AU339" i="5"/>
  <c r="AV339" i="5"/>
  <c r="AW339" i="5"/>
  <c r="AX339" i="5"/>
  <c r="AY339" i="5"/>
  <c r="AZ339" i="5"/>
  <c r="AP324" i="5"/>
  <c r="AR324" i="5"/>
  <c r="AS324" i="5"/>
  <c r="AT324" i="5"/>
  <c r="AU324" i="5"/>
  <c r="AV324" i="5"/>
  <c r="AW324" i="5"/>
  <c r="AX324" i="5"/>
  <c r="AY324" i="5"/>
  <c r="AZ324" i="5"/>
  <c r="AP326" i="5"/>
  <c r="AR326" i="5"/>
  <c r="AS326" i="5"/>
  <c r="AT326" i="5"/>
  <c r="AU326" i="5"/>
  <c r="AV326" i="5"/>
  <c r="AW326" i="5"/>
  <c r="AX326" i="5"/>
  <c r="AY326" i="5"/>
  <c r="AZ326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3" i="5"/>
  <c r="AR333" i="5"/>
  <c r="AS333" i="5"/>
  <c r="AT333" i="5"/>
  <c r="AU333" i="5"/>
  <c r="AV333" i="5"/>
  <c r="AW333" i="5"/>
  <c r="AX333" i="5"/>
  <c r="AY333" i="5"/>
  <c r="AZ333" i="5"/>
  <c r="AP317" i="5"/>
  <c r="AR317" i="5"/>
  <c r="AS317" i="5"/>
  <c r="AT317" i="5"/>
  <c r="AU317" i="5"/>
  <c r="AV317" i="5"/>
  <c r="AW317" i="5"/>
  <c r="AX317" i="5"/>
  <c r="AY317" i="5"/>
  <c r="AZ317" i="5"/>
  <c r="AP319" i="5"/>
  <c r="AR319" i="5"/>
  <c r="AS319" i="5"/>
  <c r="AT319" i="5"/>
  <c r="AU319" i="5"/>
  <c r="AV319" i="5"/>
  <c r="AW319" i="5"/>
  <c r="AX319" i="5"/>
  <c r="AY319" i="5"/>
  <c r="AZ319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35" i="5"/>
  <c r="AR335" i="5"/>
  <c r="AS335" i="5"/>
  <c r="AT335" i="5"/>
  <c r="AU335" i="5"/>
  <c r="AV335" i="5"/>
  <c r="AW335" i="5"/>
  <c r="AX335" i="5"/>
  <c r="AY335" i="5"/>
  <c r="AZ335" i="5"/>
  <c r="AP336" i="5"/>
  <c r="AR336" i="5"/>
  <c r="AS336" i="5"/>
  <c r="AT336" i="5"/>
  <c r="AU336" i="5"/>
  <c r="AV336" i="5"/>
  <c r="AW336" i="5"/>
  <c r="AX336" i="5"/>
  <c r="AY336" i="5"/>
  <c r="AZ336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0" i="5"/>
  <c r="AR330" i="5"/>
  <c r="AS330" i="5"/>
  <c r="AT330" i="5"/>
  <c r="AU330" i="5"/>
  <c r="AV330" i="5"/>
  <c r="AW330" i="5"/>
  <c r="AX330" i="5"/>
  <c r="AY330" i="5"/>
  <c r="AZ330" i="5"/>
  <c r="AP340" i="5"/>
  <c r="AR340" i="5"/>
  <c r="AS340" i="5"/>
  <c r="AT340" i="5"/>
  <c r="AU340" i="5"/>
  <c r="AV340" i="5"/>
  <c r="AW340" i="5"/>
  <c r="AX340" i="5"/>
  <c r="AY340" i="5"/>
  <c r="AZ340" i="5"/>
  <c r="AP318" i="5"/>
  <c r="AR318" i="5"/>
  <c r="AS318" i="5"/>
  <c r="AT318" i="5"/>
  <c r="AU318" i="5"/>
  <c r="AV318" i="5"/>
  <c r="AW318" i="5"/>
  <c r="AX318" i="5"/>
  <c r="AY318" i="5"/>
  <c r="AZ318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54" i="5"/>
  <c r="AR354" i="5"/>
  <c r="AS354" i="5"/>
  <c r="AT354" i="5"/>
  <c r="AU354" i="5"/>
  <c r="AV354" i="5"/>
  <c r="AW354" i="5"/>
  <c r="AX354" i="5"/>
  <c r="AY354" i="5"/>
  <c r="AZ354" i="5"/>
  <c r="AP345" i="5"/>
  <c r="AR345" i="5"/>
  <c r="AS345" i="5"/>
  <c r="AT345" i="5"/>
  <c r="AU345" i="5"/>
  <c r="AV345" i="5"/>
  <c r="AW345" i="5"/>
  <c r="AX345" i="5"/>
  <c r="AY345" i="5"/>
  <c r="AZ345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46" i="5"/>
  <c r="AR346" i="5"/>
  <c r="AS346" i="5"/>
  <c r="AT346" i="5"/>
  <c r="AU346" i="5"/>
  <c r="AV346" i="5"/>
  <c r="AW346" i="5"/>
  <c r="AX346" i="5"/>
  <c r="AY346" i="5"/>
  <c r="AZ346" i="5"/>
  <c r="AP347" i="5"/>
  <c r="AR347" i="5"/>
  <c r="AS347" i="5"/>
  <c r="AT347" i="5"/>
  <c r="AU347" i="5"/>
  <c r="AV347" i="5"/>
  <c r="AW347" i="5"/>
  <c r="AX347" i="5"/>
  <c r="AY347" i="5"/>
  <c r="AZ347" i="5"/>
  <c r="AP348" i="5"/>
  <c r="AR348" i="5"/>
  <c r="AS348" i="5"/>
  <c r="AT348" i="5"/>
  <c r="AU348" i="5"/>
  <c r="AV348" i="5"/>
  <c r="AW348" i="5"/>
  <c r="AX348" i="5"/>
  <c r="AY348" i="5"/>
  <c r="AZ348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63" i="5"/>
  <c r="AR363" i="5"/>
  <c r="AS363" i="5"/>
  <c r="AT363" i="5"/>
  <c r="AU363" i="5"/>
  <c r="AV363" i="5"/>
  <c r="AW363" i="5"/>
  <c r="AX363" i="5"/>
  <c r="AY363" i="5"/>
  <c r="AZ363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6" i="5"/>
  <c r="AR376" i="5"/>
  <c r="AS376" i="5"/>
  <c r="AT376" i="5"/>
  <c r="AU376" i="5"/>
  <c r="AV376" i="5"/>
  <c r="AW376" i="5"/>
  <c r="AX376" i="5"/>
  <c r="AY376" i="5"/>
  <c r="AZ376" i="5"/>
  <c r="AP375" i="5"/>
  <c r="AR375" i="5"/>
  <c r="AS375" i="5"/>
  <c r="AT375" i="5"/>
  <c r="AU375" i="5"/>
  <c r="AV375" i="5"/>
  <c r="AW375" i="5"/>
  <c r="AX375" i="5"/>
  <c r="AY375" i="5"/>
  <c r="AZ375" i="5"/>
  <c r="AP377" i="5"/>
  <c r="AR377" i="5"/>
  <c r="AS377" i="5"/>
  <c r="AT377" i="5"/>
  <c r="AU377" i="5"/>
  <c r="AV377" i="5"/>
  <c r="AW377" i="5"/>
  <c r="AX377" i="5"/>
  <c r="AY377" i="5"/>
  <c r="AZ377" i="5"/>
  <c r="AP379" i="5"/>
  <c r="AQ379" i="5"/>
  <c r="AR379" i="5"/>
  <c r="AS379" i="5"/>
  <c r="AT379" i="5"/>
  <c r="AU379" i="5"/>
  <c r="AV379" i="5"/>
  <c r="AW379" i="5"/>
  <c r="AX379" i="5"/>
  <c r="AY379" i="5"/>
  <c r="AZ379" i="5"/>
  <c r="AP380" i="5"/>
  <c r="AQ380" i="5"/>
  <c r="AR380" i="5"/>
  <c r="AS380" i="5"/>
  <c r="AT380" i="5"/>
  <c r="AU380" i="5"/>
  <c r="AV380" i="5"/>
  <c r="AW380" i="5"/>
  <c r="AX380" i="5"/>
  <c r="AY380" i="5"/>
  <c r="AZ380" i="5"/>
  <c r="AP381" i="5"/>
  <c r="AQ381" i="5"/>
  <c r="AR381" i="5"/>
  <c r="AS381" i="5"/>
  <c r="AT381" i="5"/>
  <c r="AU381" i="5"/>
  <c r="AV381" i="5"/>
  <c r="AW381" i="5"/>
  <c r="AX381" i="5"/>
  <c r="AY381" i="5"/>
  <c r="AZ381" i="5"/>
  <c r="AP378" i="5"/>
  <c r="AQ378" i="5"/>
  <c r="AR378" i="5"/>
  <c r="AS378" i="5"/>
  <c r="AT378" i="5"/>
  <c r="AU378" i="5"/>
  <c r="AV378" i="5"/>
  <c r="AW378" i="5"/>
  <c r="AX378" i="5"/>
  <c r="AY378" i="5"/>
  <c r="AZ378" i="5"/>
  <c r="AP382" i="5"/>
  <c r="AQ382" i="5"/>
  <c r="AR382" i="5"/>
  <c r="AS382" i="5"/>
  <c r="AT382" i="5"/>
  <c r="AU382" i="5"/>
  <c r="AV382" i="5"/>
  <c r="AW382" i="5"/>
  <c r="AX382" i="5"/>
  <c r="AY382" i="5"/>
  <c r="AZ382" i="5"/>
  <c r="AR386" i="5"/>
  <c r="AS386" i="5"/>
  <c r="AT386" i="5"/>
  <c r="AU386" i="5"/>
  <c r="AV386" i="5"/>
  <c r="AW386" i="5"/>
  <c r="AX386" i="5"/>
  <c r="AY386" i="5"/>
  <c r="AR385" i="5"/>
  <c r="AS385" i="5"/>
  <c r="AT385" i="5"/>
  <c r="AU385" i="5"/>
  <c r="AV385" i="5"/>
  <c r="AW385" i="5"/>
  <c r="AX385" i="5"/>
  <c r="AY385" i="5"/>
  <c r="AR383" i="5"/>
  <c r="AS383" i="5"/>
  <c r="AT383" i="5"/>
  <c r="AU383" i="5"/>
  <c r="AV383" i="5"/>
  <c r="AW383" i="5"/>
  <c r="AX383" i="5"/>
  <c r="AY383" i="5"/>
  <c r="AR384" i="5"/>
  <c r="AS384" i="5"/>
  <c r="AT384" i="5"/>
  <c r="AU384" i="5"/>
  <c r="AV384" i="5"/>
  <c r="AW384" i="5"/>
  <c r="AX384" i="5"/>
  <c r="AY384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397" i="5"/>
  <c r="AS397" i="5"/>
  <c r="AT397" i="5"/>
  <c r="AU397" i="5"/>
  <c r="AV397" i="5"/>
  <c r="AW397" i="5"/>
  <c r="AX397" i="5"/>
  <c r="AY397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26" i="4"/>
  <c r="AB285" i="4"/>
  <c r="AB4" i="4"/>
  <c r="AB5" i="4"/>
  <c r="AB204" i="4"/>
  <c r="AB6" i="4"/>
  <c r="AB130" i="4"/>
  <c r="AB132" i="4"/>
  <c r="AB133" i="4"/>
  <c r="AB275" i="4"/>
  <c r="AB128" i="4"/>
  <c r="AB129" i="4"/>
  <c r="AB252" i="4"/>
  <c r="AB59" i="4"/>
  <c r="AB105" i="4"/>
  <c r="AB120" i="4"/>
  <c r="AB14" i="4"/>
  <c r="AB232" i="4"/>
  <c r="AB263" i="4"/>
  <c r="AB264" i="4"/>
  <c r="AB238" i="4"/>
  <c r="AB240" i="4"/>
  <c r="AB241" i="4"/>
  <c r="AB265" i="4"/>
  <c r="AB243" i="4"/>
  <c r="AB266" i="4"/>
  <c r="AB246" i="4"/>
  <c r="AB267" i="4"/>
  <c r="AB268" i="4"/>
  <c r="AB269" i="4"/>
  <c r="AB270" i="4"/>
  <c r="AB271" i="4"/>
  <c r="AB151" i="4"/>
  <c r="AB2" i="4"/>
  <c r="AB292" i="4"/>
  <c r="AB284" i="4"/>
  <c r="AB261" i="4"/>
  <c r="AB237" i="4"/>
  <c r="AB239" i="4"/>
  <c r="AB242" i="4"/>
  <c r="AB64" i="4"/>
  <c r="AB65" i="4"/>
  <c r="AB203" i="4"/>
  <c r="AB272" i="4"/>
  <c r="AB153" i="4"/>
  <c r="AB125" i="4"/>
  <c r="AB190" i="4"/>
  <c r="AB248" i="4"/>
  <c r="AB73" i="4"/>
  <c r="AB213" i="4"/>
  <c r="AB110" i="4"/>
  <c r="AB47" i="4"/>
  <c r="AB85" i="4"/>
  <c r="AB86" i="4"/>
  <c r="AB254" i="4"/>
  <c r="AB279" i="4"/>
  <c r="AB255" i="4"/>
  <c r="AB287" i="4"/>
  <c r="AB288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2" i="4"/>
  <c r="AB183" i="4"/>
  <c r="AB102" i="4"/>
  <c r="AB103" i="4"/>
  <c r="AB104" i="4"/>
  <c r="AB29" i="4"/>
  <c r="AB58" i="4"/>
  <c r="AB30" i="4"/>
  <c r="AB13" i="4"/>
  <c r="AB262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4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3" i="4"/>
  <c r="AB127" i="4"/>
  <c r="AB191" i="4"/>
  <c r="AB70" i="4"/>
  <c r="AB247" i="4"/>
  <c r="AB249" i="4"/>
  <c r="AB286" i="4"/>
  <c r="AB192" i="4"/>
  <c r="AB222" i="4"/>
  <c r="AB250" i="4"/>
  <c r="AB74" i="4"/>
  <c r="AB20" i="4"/>
  <c r="AB75" i="4"/>
  <c r="AB276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7" i="4"/>
  <c r="AB278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5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89" i="4"/>
  <c r="AB229" i="4"/>
  <c r="AB230" i="4"/>
  <c r="AB256" i="4"/>
  <c r="AB141" i="4"/>
  <c r="AB294" i="4"/>
  <c r="AB258" i="4"/>
  <c r="AB259" i="4"/>
  <c r="AB260" i="4"/>
  <c r="AB197" i="4"/>
  <c r="AB178" i="4"/>
  <c r="AB179" i="4"/>
  <c r="AB180" i="4"/>
  <c r="AB199" i="4"/>
  <c r="AB181" i="4"/>
  <c r="AB291" i="4"/>
  <c r="AB231" i="4"/>
  <c r="AB209" i="4"/>
  <c r="AB280" i="4"/>
  <c r="AB281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0" i="4"/>
  <c r="AB114" i="4"/>
  <c r="AB283" i="4"/>
  <c r="AB273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4" i="4"/>
  <c r="AB303" i="4"/>
  <c r="AB301" i="4"/>
  <c r="AB302" i="4"/>
  <c r="AB297" i="4"/>
  <c r="AB298" i="4"/>
  <c r="AB296" i="4"/>
  <c r="AB299" i="4"/>
  <c r="AB300" i="4"/>
  <c r="AB307" i="4"/>
  <c r="AB308" i="4"/>
  <c r="AB309" i="4"/>
  <c r="AB310" i="4"/>
  <c r="AB305" i="4"/>
  <c r="AB311" i="4"/>
  <c r="AB332" i="4"/>
  <c r="AB333" i="4"/>
  <c r="AB315" i="4"/>
  <c r="AB312" i="4"/>
  <c r="AB316" i="4"/>
  <c r="AB317" i="4"/>
  <c r="AB318" i="4"/>
  <c r="AB344" i="4"/>
  <c r="AB323" i="4"/>
  <c r="AB324" i="4"/>
  <c r="AB325" i="4"/>
  <c r="AB326" i="4"/>
  <c r="AB338" i="4"/>
  <c r="AB328" i="4"/>
  <c r="AB329" i="4"/>
  <c r="AB330" i="4"/>
  <c r="AB340" i="4"/>
  <c r="AB341" i="4"/>
  <c r="AB342" i="4"/>
  <c r="AB339" i="4"/>
  <c r="AB319" i="4"/>
  <c r="AB314" i="4"/>
  <c r="AB320" i="4"/>
  <c r="AB327" i="4"/>
  <c r="AB322" i="4"/>
  <c r="AB331" i="4"/>
  <c r="AB321" i="4"/>
  <c r="AB335" i="4"/>
  <c r="AB334" i="4"/>
  <c r="AB313" i="4"/>
  <c r="AB336" i="4"/>
  <c r="AB337" i="4"/>
  <c r="AB343" i="4"/>
  <c r="AB347" i="4"/>
  <c r="AB358" i="4"/>
  <c r="AB359" i="4"/>
  <c r="AB365" i="4"/>
  <c r="AB360" i="4"/>
  <c r="AB366" i="4"/>
  <c r="AB348" i="4"/>
  <c r="AB345" i="4"/>
  <c r="AB355" i="4"/>
  <c r="AB356" i="4"/>
  <c r="AB361" i="4"/>
  <c r="AB346" i="4"/>
  <c r="AB362" i="4"/>
  <c r="AB363" i="4"/>
  <c r="AB364" i="4"/>
  <c r="AB357" i="4"/>
  <c r="AB349" i="4"/>
  <c r="AB350" i="4"/>
  <c r="AB351" i="4"/>
  <c r="AB352" i="4"/>
  <c r="AB353" i="4"/>
  <c r="AB354" i="4"/>
  <c r="AB368" i="4"/>
  <c r="AB374" i="4"/>
  <c r="AB375" i="4"/>
  <c r="AB376" i="4"/>
  <c r="AB370" i="4"/>
  <c r="AB367" i="4"/>
  <c r="AB373" i="4"/>
  <c r="AB377" i="4"/>
  <c r="AB371" i="4"/>
  <c r="AB372" i="4"/>
  <c r="AB369" i="4"/>
  <c r="AB379" i="4"/>
  <c r="AB381" i="4"/>
  <c r="AB382" i="4"/>
  <c r="AB380" i="4"/>
  <c r="AB378" i="4"/>
  <c r="AB386" i="4"/>
  <c r="AB391" i="4"/>
  <c r="AB404" i="4"/>
  <c r="AB393" i="4"/>
  <c r="AB394" i="4"/>
  <c r="AB395" i="4"/>
  <c r="AB396" i="4"/>
  <c r="AB399" i="4"/>
  <c r="AB383" i="4"/>
  <c r="AB400" i="4"/>
  <c r="AB401" i="4"/>
  <c r="AB403" i="4"/>
  <c r="AB392" i="4"/>
  <c r="AB384" i="4"/>
  <c r="AB385" i="4"/>
  <c r="AB387" i="4"/>
  <c r="AB388" i="4"/>
  <c r="AB389" i="4"/>
  <c r="AB398" i="4"/>
  <c r="AB390" i="4"/>
  <c r="AB402" i="4"/>
  <c r="AB405" i="4"/>
  <c r="AB406" i="4"/>
  <c r="AB407" i="4"/>
  <c r="AB397" i="4"/>
  <c r="AB244" i="4"/>
  <c r="AC244" i="4"/>
  <c r="BD112" i="5"/>
  <c r="BD193" i="5"/>
  <c r="BD192" i="5"/>
  <c r="BD19" i="5"/>
  <c r="BD168" i="5"/>
  <c r="BD107" i="5"/>
  <c r="BD247" i="5"/>
  <c r="BD115" i="5"/>
  <c r="BD169" i="5"/>
  <c r="BD289" i="5"/>
  <c r="BD225" i="5"/>
  <c r="BD137" i="5"/>
  <c r="BD75" i="5"/>
  <c r="BD238" i="5"/>
  <c r="BD220" i="5"/>
  <c r="BD77" i="5"/>
  <c r="BD171" i="5"/>
  <c r="BD261" i="5"/>
  <c r="BD163" i="5"/>
  <c r="BD164" i="5"/>
  <c r="BD182" i="5"/>
  <c r="BD184" i="5"/>
  <c r="BD185" i="5"/>
  <c r="BD328" i="5"/>
  <c r="BD382" i="5"/>
  <c r="BD378" i="5"/>
  <c r="BD379" i="5"/>
  <c r="BD387" i="5"/>
  <c r="BD403" i="5"/>
  <c r="BD404" i="5"/>
  <c r="BD384" i="5"/>
  <c r="BD49" i="5"/>
  <c r="BD50" i="5"/>
  <c r="BD118" i="5"/>
  <c r="BD48" i="5"/>
  <c r="BD51" i="5"/>
  <c r="BD64" i="5"/>
  <c r="BD120" i="5"/>
  <c r="BD136" i="5"/>
  <c r="BD254" i="5"/>
  <c r="BD167" i="5"/>
  <c r="BD160" i="5"/>
  <c r="BD152" i="5"/>
  <c r="BD166" i="5"/>
  <c r="BD39" i="5"/>
  <c r="BD122" i="5"/>
  <c r="BD40" i="5"/>
  <c r="BD54" i="5"/>
  <c r="BD239" i="5"/>
  <c r="BD53" i="5"/>
  <c r="BD109" i="5"/>
  <c r="BD246" i="5"/>
  <c r="BD46" i="5"/>
  <c r="BD60" i="5"/>
  <c r="BD255" i="5"/>
  <c r="BD119" i="5"/>
  <c r="BD159" i="5"/>
  <c r="BD188" i="5"/>
  <c r="BD190" i="5"/>
  <c r="BD70" i="5"/>
  <c r="BD260" i="5"/>
  <c r="BD83" i="5"/>
  <c r="BD18" i="5"/>
  <c r="BD58" i="5"/>
  <c r="BD259" i="5"/>
  <c r="BD249" i="5"/>
  <c r="BD241" i="5"/>
  <c r="BD244" i="5"/>
  <c r="BD113" i="5"/>
  <c r="BD124" i="5"/>
  <c r="BD17" i="5"/>
  <c r="BD57" i="5"/>
  <c r="BD278" i="5"/>
  <c r="BD243" i="5"/>
  <c r="BD245" i="5"/>
  <c r="BD30" i="5"/>
  <c r="BD63" i="5"/>
  <c r="BD68" i="5"/>
  <c r="BD279" i="5"/>
  <c r="BD35" i="5"/>
  <c r="BD79" i="5"/>
  <c r="BD81" i="5"/>
  <c r="BD251" i="5"/>
  <c r="BD273" i="5"/>
  <c r="BD253" i="5"/>
  <c r="BD20" i="5"/>
  <c r="BD242" i="5"/>
  <c r="BD95" i="5"/>
  <c r="BD205" i="5"/>
  <c r="BD84" i="5"/>
  <c r="BD32" i="5"/>
  <c r="BD36" i="5"/>
  <c r="BD281" i="5"/>
  <c r="BD69" i="5"/>
  <c r="BD21" i="5"/>
  <c r="BD22" i="5"/>
  <c r="BD72" i="5"/>
  <c r="BD92" i="5"/>
  <c r="BD38" i="5"/>
  <c r="BD82" i="5"/>
  <c r="BD10" i="5"/>
  <c r="BD291" i="5"/>
  <c r="BD31" i="5"/>
  <c r="BD165" i="5"/>
  <c r="BD133" i="5"/>
  <c r="BD135" i="5"/>
  <c r="BD236" i="5"/>
  <c r="BD155" i="5"/>
  <c r="BD189" i="5"/>
  <c r="BD285" i="5"/>
  <c r="BD45" i="5"/>
  <c r="BD67" i="5"/>
  <c r="BD78" i="5"/>
  <c r="BD287" i="5"/>
  <c r="BD288" i="5"/>
  <c r="BD290" i="5"/>
  <c r="BD271" i="5"/>
  <c r="BD80" i="5"/>
  <c r="BD2" i="5"/>
  <c r="BD161" i="5"/>
  <c r="BD233" i="5"/>
  <c r="BD191" i="5"/>
  <c r="BD283" i="5"/>
  <c r="BD240" i="5"/>
  <c r="BD234" i="5"/>
  <c r="BD29" i="5"/>
  <c r="BD282" i="5"/>
  <c r="BD61" i="5"/>
  <c r="BD229" i="5"/>
  <c r="BD231" i="5"/>
  <c r="BD256" i="5"/>
  <c r="BD6" i="5"/>
  <c r="BD235" i="5"/>
  <c r="BD74" i="5"/>
  <c r="BD258" i="5"/>
  <c r="BD11" i="5"/>
  <c r="BD16" i="5"/>
  <c r="BD199" i="5"/>
  <c r="BD200" i="5"/>
  <c r="BD37" i="5"/>
  <c r="BD286" i="5"/>
  <c r="BD93" i="5"/>
  <c r="BD34" i="5"/>
  <c r="BD204" i="5"/>
  <c r="BD33" i="5"/>
  <c r="BD65" i="5"/>
  <c r="BD91" i="5"/>
  <c r="BD24" i="5"/>
  <c r="BD23" i="5"/>
  <c r="BD123" i="5"/>
  <c r="BD43" i="5"/>
  <c r="BD293" i="5"/>
  <c r="BD111" i="5"/>
  <c r="BD7" i="5"/>
  <c r="BD42" i="5"/>
  <c r="BD73" i="5"/>
  <c r="BD257" i="5"/>
  <c r="BD232" i="5"/>
  <c r="BD66" i="5"/>
  <c r="BD125" i="5"/>
  <c r="BD201" i="5"/>
  <c r="BD8" i="5"/>
  <c r="BD292" i="5"/>
  <c r="BD194" i="5"/>
  <c r="BD195" i="5"/>
  <c r="BD3" i="5"/>
  <c r="BD56" i="5"/>
  <c r="BD203" i="5"/>
  <c r="BD55" i="5"/>
  <c r="BD202" i="5"/>
  <c r="BD198" i="5"/>
  <c r="BD277" i="5"/>
  <c r="BD147" i="5"/>
  <c r="BD41" i="5"/>
  <c r="BD26" i="5"/>
  <c r="BD97" i="5"/>
  <c r="BD275" i="5"/>
  <c r="BD47" i="5"/>
  <c r="BD280" i="5"/>
  <c r="BD206" i="5"/>
  <c r="BD62" i="5"/>
  <c r="BD98" i="5"/>
  <c r="BD216" i="5"/>
  <c r="BD284" i="5"/>
  <c r="BD141" i="5"/>
  <c r="BD28" i="5"/>
  <c r="BD252" i="5"/>
  <c r="BD140" i="5"/>
  <c r="BD151" i="5"/>
  <c r="BD59" i="5"/>
  <c r="BD90" i="5"/>
  <c r="BD154" i="5"/>
  <c r="BD295" i="5"/>
  <c r="BD175" i="5"/>
  <c r="BD250" i="5"/>
  <c r="BD173" i="5"/>
  <c r="BD186" i="5"/>
  <c r="BD263" i="5"/>
  <c r="BD262" i="5"/>
  <c r="BD276" i="5"/>
  <c r="BD174" i="5"/>
  <c r="BD52" i="5"/>
  <c r="BD131" i="5"/>
  <c r="BD266" i="5"/>
  <c r="BD99" i="5"/>
  <c r="BD27" i="5"/>
  <c r="BD44" i="5"/>
  <c r="BD94" i="5"/>
  <c r="BD248" i="5"/>
  <c r="BD96" i="5"/>
  <c r="BD230" i="5"/>
  <c r="BD264" i="5"/>
  <c r="BD116" i="5"/>
  <c r="BD170" i="5"/>
  <c r="BD294" i="5"/>
  <c r="BD149" i="5"/>
  <c r="BD272" i="5"/>
  <c r="BD132" i="5"/>
  <c r="BD89" i="5"/>
  <c r="BD145" i="5"/>
  <c r="BD4" i="5"/>
  <c r="BD88" i="5"/>
  <c r="BD134" i="5"/>
  <c r="BD221" i="5"/>
  <c r="BD176" i="5"/>
  <c r="BD222" i="5"/>
  <c r="BD110" i="5"/>
  <c r="BD157" i="5"/>
  <c r="BD150" i="5"/>
  <c r="BD15" i="5"/>
  <c r="BD130" i="5"/>
  <c r="BD237" i="5"/>
  <c r="BD117" i="5"/>
  <c r="BD25" i="5"/>
  <c r="BD103" i="5"/>
  <c r="BD14" i="5"/>
  <c r="BD127" i="5"/>
  <c r="BD5" i="5"/>
  <c r="BD100" i="5"/>
  <c r="BD101" i="5"/>
  <c r="BD227" i="5"/>
  <c r="BD102" i="5"/>
  <c r="BD144" i="5"/>
  <c r="BD156" i="5"/>
  <c r="BD228" i="5"/>
  <c r="BD143" i="5"/>
  <c r="BD197" i="5"/>
  <c r="BD85" i="5"/>
  <c r="BD211" i="5"/>
  <c r="BD104" i="5"/>
  <c r="BD105" i="5"/>
  <c r="BD106" i="5"/>
  <c r="BD158" i="5"/>
  <c r="BD138" i="5"/>
  <c r="BD267" i="5"/>
  <c r="BD71" i="5"/>
  <c r="BD212" i="5"/>
  <c r="BD128" i="5"/>
  <c r="BD177" i="5"/>
  <c r="BD207" i="5"/>
  <c r="BD209" i="5"/>
  <c r="BD108" i="5"/>
  <c r="BD196" i="5"/>
  <c r="BD210" i="5"/>
  <c r="BD76" i="5"/>
  <c r="BD126" i="5"/>
  <c r="BD86" i="5"/>
  <c r="BD87" i="5"/>
  <c r="BD153" i="5"/>
  <c r="BD148" i="5"/>
  <c r="BD265" i="5"/>
  <c r="BD9" i="5"/>
  <c r="BD208" i="5"/>
  <c r="BD139" i="5"/>
  <c r="BD223" i="5"/>
  <c r="BD129" i="5"/>
  <c r="BD218" i="5"/>
  <c r="BD217" i="5"/>
  <c r="BD268" i="5"/>
  <c r="BD12" i="5"/>
  <c r="BD214" i="5"/>
  <c r="BD114" i="5"/>
  <c r="BD13" i="5"/>
  <c r="BD269" i="5"/>
  <c r="BD270" i="5"/>
  <c r="BD121" i="5"/>
  <c r="BD142" i="5"/>
  <c r="BD146" i="5"/>
  <c r="BD274" i="5"/>
  <c r="BD162" i="5"/>
  <c r="BD172" i="5"/>
  <c r="BD178" i="5"/>
  <c r="BD179" i="5"/>
  <c r="BD180" i="5"/>
  <c r="BD181" i="5"/>
  <c r="BD183" i="5"/>
  <c r="BD213" i="5"/>
  <c r="BD215" i="5"/>
  <c r="BD219" i="5"/>
  <c r="BD224" i="5"/>
  <c r="BD226" i="5"/>
  <c r="BD299" i="5"/>
  <c r="BD311" i="5"/>
  <c r="BD301" i="5"/>
  <c r="BD302" i="5"/>
  <c r="BD297" i="5"/>
  <c r="BD305" i="5"/>
  <c r="BD309" i="5"/>
  <c r="BD310" i="5"/>
  <c r="BD303" i="5"/>
  <c r="BD308" i="5"/>
  <c r="BD298" i="5"/>
  <c r="BD306" i="5"/>
  <c r="BD304" i="5"/>
  <c r="BD296" i="5"/>
  <c r="BD307" i="5"/>
  <c r="BD322" i="5"/>
  <c r="BD321" i="5"/>
  <c r="BD320" i="5"/>
  <c r="BD335" i="5"/>
  <c r="BD337" i="5"/>
  <c r="BD342" i="5"/>
  <c r="BD341" i="5"/>
  <c r="BD343" i="5"/>
  <c r="BD333" i="5"/>
  <c r="BD327" i="5"/>
  <c r="BD317" i="5"/>
  <c r="BD312" i="5"/>
  <c r="BD313" i="5"/>
  <c r="BD314" i="5"/>
  <c r="BD315" i="5"/>
  <c r="BD316" i="5"/>
  <c r="BD318" i="5"/>
  <c r="BD319" i="5"/>
  <c r="BD323" i="5"/>
  <c r="BD324" i="5"/>
  <c r="BD325" i="5"/>
  <c r="BD326" i="5"/>
  <c r="BD329" i="5"/>
  <c r="BD330" i="5"/>
  <c r="BD331" i="5"/>
  <c r="BD332" i="5"/>
  <c r="BD334" i="5"/>
  <c r="BD336" i="5"/>
  <c r="BD338" i="5"/>
  <c r="BD339" i="5"/>
  <c r="BD340" i="5"/>
  <c r="BD344" i="5"/>
  <c r="BD348" i="5"/>
  <c r="BD350" i="5"/>
  <c r="BD349" i="5"/>
  <c r="BD347" i="5"/>
  <c r="BD365" i="5"/>
  <c r="BD364" i="5"/>
  <c r="BD356" i="5"/>
  <c r="BD366" i="5"/>
  <c r="BD357" i="5"/>
  <c r="BD359" i="5"/>
  <c r="BD362" i="5"/>
  <c r="BD360" i="5"/>
  <c r="BD358" i="5"/>
  <c r="BD361" i="5"/>
  <c r="BD346" i="5"/>
  <c r="BD355" i="5"/>
  <c r="BD345" i="5"/>
  <c r="BD354" i="5"/>
  <c r="BD353" i="5"/>
  <c r="BD363" i="5"/>
  <c r="BD352" i="5"/>
  <c r="BD351" i="5"/>
  <c r="BD373" i="5"/>
  <c r="BD370" i="5"/>
  <c r="BD371" i="5"/>
  <c r="BD368" i="5"/>
  <c r="BD377" i="5"/>
  <c r="BD376" i="5"/>
  <c r="BD372" i="5"/>
  <c r="BD369" i="5"/>
  <c r="BD374" i="5"/>
  <c r="BD375" i="5"/>
  <c r="BD367" i="5"/>
  <c r="BD380" i="5"/>
  <c r="BD381" i="5"/>
  <c r="BD383" i="5"/>
  <c r="BD385" i="5"/>
  <c r="BD388" i="5"/>
  <c r="BD389" i="5"/>
  <c r="BD390" i="5"/>
  <c r="BD394" i="5"/>
  <c r="BD395" i="5"/>
  <c r="BD396" i="5"/>
  <c r="BD397" i="5"/>
  <c r="BD398" i="5"/>
  <c r="BD399" i="5"/>
  <c r="BD401" i="5"/>
  <c r="BD402" i="5"/>
  <c r="BD405" i="5"/>
  <c r="BD406" i="5"/>
  <c r="BD407" i="5"/>
  <c r="BD386" i="5"/>
  <c r="BD391" i="5"/>
  <c r="BD400" i="5"/>
  <c r="BD393" i="5"/>
  <c r="BD392" i="5"/>
  <c r="BD187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26" i="4"/>
  <c r="AC285" i="4"/>
  <c r="AC4" i="4"/>
  <c r="AC5" i="4"/>
  <c r="AC204" i="4"/>
  <c r="AC6" i="4"/>
  <c r="AC130" i="4"/>
  <c r="AC132" i="4"/>
  <c r="AC133" i="4"/>
  <c r="AC275" i="4"/>
  <c r="AC128" i="4"/>
  <c r="AC129" i="4"/>
  <c r="AC252" i="4"/>
  <c r="AC59" i="4"/>
  <c r="AC105" i="4"/>
  <c r="AC120" i="4"/>
  <c r="AC14" i="4"/>
  <c r="AC232" i="4"/>
  <c r="AC263" i="4"/>
  <c r="AC264" i="4"/>
  <c r="AC238" i="4"/>
  <c r="AC240" i="4"/>
  <c r="AC241" i="4"/>
  <c r="AC265" i="4"/>
  <c r="AC243" i="4"/>
  <c r="AC266" i="4"/>
  <c r="AC246" i="4"/>
  <c r="AC267" i="4"/>
  <c r="AC268" i="4"/>
  <c r="AC269" i="4"/>
  <c r="AC270" i="4"/>
  <c r="AC271" i="4"/>
  <c r="AC151" i="4"/>
  <c r="AC2" i="4"/>
  <c r="AC292" i="4"/>
  <c r="AC284" i="4"/>
  <c r="AC261" i="4"/>
  <c r="AC237" i="4"/>
  <c r="AC239" i="4"/>
  <c r="AC242" i="4"/>
  <c r="AC64" i="4"/>
  <c r="AC65" i="4"/>
  <c r="AC203" i="4"/>
  <c r="AC272" i="4"/>
  <c r="AC153" i="4"/>
  <c r="AC125" i="4"/>
  <c r="AC190" i="4"/>
  <c r="AC248" i="4"/>
  <c r="AC73" i="4"/>
  <c r="AC213" i="4"/>
  <c r="AC110" i="4"/>
  <c r="AC47" i="4"/>
  <c r="AC85" i="4"/>
  <c r="AC86" i="4"/>
  <c r="AC254" i="4"/>
  <c r="AC279" i="4"/>
  <c r="AC255" i="4"/>
  <c r="AC287" i="4"/>
  <c r="AC288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2" i="4"/>
  <c r="AC183" i="4"/>
  <c r="AC102" i="4"/>
  <c r="AC103" i="4"/>
  <c r="AC104" i="4"/>
  <c r="AC29" i="4"/>
  <c r="AC58" i="4"/>
  <c r="AC30" i="4"/>
  <c r="AC13" i="4"/>
  <c r="AC262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4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3" i="4"/>
  <c r="AC127" i="4"/>
  <c r="AC191" i="4"/>
  <c r="AC70" i="4"/>
  <c r="AC247" i="4"/>
  <c r="AC249" i="4"/>
  <c r="AC286" i="4"/>
  <c r="AC192" i="4"/>
  <c r="AC222" i="4"/>
  <c r="AC250" i="4"/>
  <c r="AC74" i="4"/>
  <c r="AC20" i="4"/>
  <c r="AC75" i="4"/>
  <c r="AC276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7" i="4"/>
  <c r="AC278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5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89" i="4"/>
  <c r="AC229" i="4"/>
  <c r="AC230" i="4"/>
  <c r="AC256" i="4"/>
  <c r="AC141" i="4"/>
  <c r="AC294" i="4"/>
  <c r="AC258" i="4"/>
  <c r="AC259" i="4"/>
  <c r="AC260" i="4"/>
  <c r="AC197" i="4"/>
  <c r="AC178" i="4"/>
  <c r="AC179" i="4"/>
  <c r="AC180" i="4"/>
  <c r="AC199" i="4"/>
  <c r="AC181" i="4"/>
  <c r="AC291" i="4"/>
  <c r="AC231" i="4"/>
  <c r="AC209" i="4"/>
  <c r="AC280" i="4"/>
  <c r="AC281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67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0" i="4"/>
  <c r="AC114" i="4"/>
  <c r="AC283" i="4"/>
  <c r="AC273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4" i="4"/>
  <c r="AC303" i="4"/>
  <c r="AC301" i="4"/>
  <c r="AC302" i="4"/>
  <c r="AC297" i="4"/>
  <c r="AC298" i="4"/>
  <c r="AC296" i="4"/>
  <c r="AC299" i="4"/>
  <c r="AC300" i="4"/>
  <c r="AC307" i="4"/>
  <c r="AC308" i="4"/>
  <c r="AC309" i="4"/>
  <c r="AC310" i="4"/>
  <c r="AC305" i="4"/>
  <c r="AC311" i="4"/>
  <c r="AC332" i="4"/>
  <c r="AC333" i="4"/>
  <c r="AC315" i="4"/>
  <c r="AC312" i="4"/>
  <c r="AC316" i="4"/>
  <c r="AC317" i="4"/>
  <c r="AC318" i="4"/>
  <c r="AC344" i="4"/>
  <c r="AC323" i="4"/>
  <c r="AC324" i="4"/>
  <c r="AC325" i="4"/>
  <c r="AC326" i="4"/>
  <c r="AC338" i="4"/>
  <c r="AC328" i="4"/>
  <c r="AC329" i="4"/>
  <c r="AC330" i="4"/>
  <c r="AC340" i="4"/>
  <c r="AC341" i="4"/>
  <c r="AC342" i="4"/>
  <c r="AC339" i="4"/>
  <c r="AC319" i="4"/>
  <c r="AC314" i="4"/>
  <c r="AC320" i="4"/>
  <c r="AC327" i="4"/>
  <c r="AC322" i="4"/>
  <c r="AC331" i="4"/>
  <c r="AC321" i="4"/>
  <c r="AC335" i="4"/>
  <c r="AC334" i="4"/>
  <c r="AC313" i="4"/>
  <c r="AC336" i="4"/>
  <c r="AC337" i="4"/>
  <c r="AC343" i="4"/>
  <c r="AC347" i="4"/>
  <c r="AC358" i="4"/>
  <c r="AC359" i="4"/>
  <c r="AC365" i="4"/>
  <c r="AC360" i="4"/>
  <c r="AC366" i="4"/>
  <c r="AC348" i="4"/>
  <c r="AC345" i="4"/>
  <c r="AC355" i="4"/>
  <c r="AC356" i="4"/>
  <c r="AC361" i="4"/>
  <c r="AC346" i="4"/>
  <c r="AC362" i="4"/>
  <c r="AC363" i="4"/>
  <c r="AC364" i="4"/>
  <c r="AC357" i="4"/>
  <c r="AC349" i="4"/>
  <c r="AC350" i="4"/>
  <c r="AC351" i="4"/>
  <c r="AC352" i="4"/>
  <c r="AC353" i="4"/>
  <c r="AC354" i="4"/>
  <c r="AC368" i="4"/>
  <c r="AC374" i="4"/>
  <c r="AC375" i="4"/>
  <c r="AC376" i="4"/>
  <c r="AC370" i="4"/>
  <c r="AC367" i="4"/>
  <c r="AC373" i="4"/>
  <c r="AC377" i="4"/>
  <c r="AC371" i="4"/>
  <c r="AC372" i="4"/>
  <c r="AC369" i="4"/>
  <c r="AC379" i="4"/>
  <c r="AC381" i="4"/>
  <c r="AC382" i="4"/>
  <c r="AC380" i="4"/>
  <c r="AC378" i="4"/>
  <c r="AC386" i="4"/>
  <c r="AC391" i="4"/>
  <c r="AC404" i="4"/>
  <c r="AC393" i="4"/>
  <c r="AC394" i="4"/>
  <c r="AC395" i="4"/>
  <c r="AC396" i="4"/>
  <c r="AC399" i="4"/>
  <c r="AC383" i="4"/>
  <c r="AC400" i="4"/>
  <c r="AC401" i="4"/>
  <c r="AC403" i="4"/>
  <c r="AC392" i="4"/>
  <c r="AC384" i="4"/>
  <c r="AC385" i="4"/>
  <c r="AC387" i="4"/>
  <c r="AC388" i="4"/>
  <c r="AC389" i="4"/>
  <c r="AC398" i="4"/>
  <c r="AC390" i="4"/>
  <c r="AC402" i="4"/>
  <c r="AC405" i="4"/>
  <c r="AC406" i="4"/>
  <c r="AC407" i="4"/>
  <c r="AC397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67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37" i="4"/>
  <c r="AD238" i="4"/>
  <c r="AD239" i="4"/>
  <c r="AD240" i="4"/>
  <c r="AD241" i="4"/>
  <c r="AD242" i="4"/>
  <c r="AD243" i="4"/>
  <c r="AD262" i="4"/>
  <c r="AD263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64" i="4"/>
  <c r="AD265" i="4"/>
  <c r="AD266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7" i="4"/>
  <c r="AD308" i="4"/>
  <c r="AD309" i="4"/>
  <c r="AD310" i="4"/>
  <c r="AD311" i="4"/>
  <c r="AD312" i="4"/>
  <c r="AD314" i="4"/>
  <c r="AD315" i="4"/>
  <c r="AD316" i="4"/>
  <c r="AD317" i="4"/>
  <c r="AD318" i="4"/>
  <c r="AD319" i="4"/>
  <c r="AD320" i="4"/>
  <c r="AD321" i="4"/>
  <c r="AD323" i="4"/>
  <c r="AD324" i="4"/>
  <c r="AD325" i="4"/>
  <c r="AD326" i="4"/>
  <c r="AD327" i="4"/>
  <c r="AD328" i="4"/>
  <c r="AD329" i="4"/>
  <c r="AD330" i="4"/>
  <c r="AD322" i="4"/>
  <c r="AD331" i="4"/>
  <c r="AD332" i="4"/>
  <c r="AD333" i="4"/>
  <c r="AD334" i="4"/>
  <c r="AD313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7" i="4"/>
  <c r="AD353" i="4"/>
  <c r="AD354" i="4"/>
  <c r="AD355" i="4"/>
  <c r="AD356" i="4"/>
  <c r="AD358" i="4"/>
  <c r="AD359" i="4"/>
  <c r="AD360" i="4"/>
  <c r="AD365" i="4"/>
  <c r="AD366" i="4"/>
  <c r="AD361" i="4"/>
  <c r="AD362" i="4"/>
  <c r="AD363" i="4"/>
  <c r="AD364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2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2" i="4"/>
  <c r="AF378" i="4"/>
  <c r="AF380" i="4"/>
  <c r="AF379" i="4"/>
  <c r="AF392" i="4"/>
  <c r="AF384" i="4"/>
  <c r="AF385" i="4"/>
  <c r="AF386" i="4"/>
  <c r="AF393" i="4"/>
  <c r="AF394" i="4"/>
  <c r="AF395" i="4"/>
  <c r="AF396" i="4"/>
  <c r="AF397" i="4"/>
  <c r="AF387" i="4"/>
  <c r="AF388" i="4"/>
  <c r="AF389" i="4"/>
  <c r="AF398" i="4"/>
  <c r="AF399" i="4"/>
  <c r="AF383" i="4"/>
  <c r="AF400" i="4"/>
  <c r="AF401" i="4"/>
  <c r="AF390" i="4"/>
  <c r="AF391" i="4"/>
  <c r="AF402" i="4"/>
  <c r="AF403" i="4"/>
  <c r="AF404" i="4"/>
  <c r="AF405" i="4"/>
  <c r="AF406" i="4"/>
  <c r="AF407" i="4"/>
  <c r="AI301" i="4"/>
  <c r="AI302" i="4"/>
  <c r="AI303" i="4"/>
  <c r="AI304" i="4"/>
  <c r="AI297" i="4"/>
  <c r="AI307" i="4"/>
  <c r="AI308" i="4"/>
  <c r="AI309" i="4"/>
  <c r="AI310" i="4"/>
  <c r="AI298" i="4"/>
  <c r="AI311" i="4"/>
  <c r="AI305" i="4"/>
  <c r="AI296" i="4"/>
  <c r="AI299" i="4"/>
  <c r="AI300" i="4"/>
  <c r="AI340" i="4"/>
  <c r="AI341" i="4"/>
  <c r="AI342" i="4"/>
  <c r="AI332" i="4"/>
  <c r="AI333" i="4"/>
  <c r="AI315" i="4"/>
  <c r="AI312" i="4"/>
  <c r="AI316" i="4"/>
  <c r="AI317" i="4"/>
  <c r="AI318" i="4"/>
  <c r="AI344" i="4"/>
  <c r="AI334" i="4"/>
  <c r="AI313" i="4"/>
  <c r="AI335" i="4"/>
  <c r="AI336" i="4"/>
  <c r="AI337" i="4"/>
  <c r="AI339" i="4"/>
  <c r="AI319" i="4"/>
  <c r="AI314" i="4"/>
  <c r="AI320" i="4"/>
  <c r="AI343" i="4"/>
  <c r="AI323" i="4"/>
  <c r="AI324" i="4"/>
  <c r="AI325" i="4"/>
  <c r="AI326" i="4"/>
  <c r="AI338" i="4"/>
  <c r="AI328" i="4"/>
  <c r="AI329" i="4"/>
  <c r="AI330" i="4"/>
  <c r="AI322" i="4"/>
  <c r="AI331" i="4"/>
  <c r="AI321" i="4"/>
  <c r="AI327" i="4"/>
  <c r="AI347" i="4"/>
  <c r="AI353" i="4"/>
  <c r="AI354" i="4"/>
  <c r="AI352" i="4"/>
  <c r="AI358" i="4"/>
  <c r="AI359" i="4"/>
  <c r="AI365" i="4"/>
  <c r="AI360" i="4"/>
  <c r="AI366" i="4"/>
  <c r="AI348" i="4"/>
  <c r="AI345" i="4"/>
  <c r="AI355" i="4"/>
  <c r="AI356" i="4"/>
  <c r="AI361" i="4"/>
  <c r="AI346" i="4"/>
  <c r="AI362" i="4"/>
  <c r="AI363" i="4"/>
  <c r="AI364" i="4"/>
  <c r="AI357" i="4"/>
  <c r="AI349" i="4"/>
  <c r="AI350" i="4"/>
  <c r="AI351" i="4"/>
  <c r="AI376" i="4"/>
  <c r="AI374" i="4"/>
  <c r="AI370" i="4"/>
  <c r="AI371" i="4"/>
  <c r="AI367" i="4"/>
  <c r="AI368" i="4"/>
  <c r="AI372" i="4"/>
  <c r="AI373" i="4"/>
  <c r="AI369" i="4"/>
  <c r="AI375" i="4"/>
  <c r="AI377" i="4"/>
  <c r="AI381" i="4"/>
  <c r="AI382" i="4"/>
  <c r="AI378" i="4"/>
  <c r="AI380" i="4"/>
  <c r="AI379" i="4"/>
  <c r="AI392" i="4"/>
  <c r="AI384" i="4"/>
  <c r="AI385" i="4"/>
  <c r="AI386" i="4"/>
  <c r="AI393" i="4"/>
  <c r="AI394" i="4"/>
  <c r="AI395" i="4"/>
  <c r="AI396" i="4"/>
  <c r="AI397" i="4"/>
  <c r="AI387" i="4"/>
  <c r="AI388" i="4"/>
  <c r="AI389" i="4"/>
  <c r="AI398" i="4"/>
  <c r="AI399" i="4"/>
  <c r="AI383" i="4"/>
  <c r="AI400" i="4"/>
  <c r="AI401" i="4"/>
  <c r="AI390" i="4"/>
  <c r="AI391" i="4"/>
  <c r="AI402" i="4"/>
  <c r="AI403" i="4"/>
  <c r="AI404" i="4"/>
  <c r="AI405" i="4"/>
  <c r="AI406" i="4"/>
  <c r="AI407" i="4"/>
  <c r="AF30" i="4"/>
  <c r="AF61" i="4"/>
  <c r="AF62" i="4"/>
  <c r="AF38" i="4"/>
  <c r="AF39" i="4"/>
  <c r="AF40" i="4"/>
  <c r="AF63" i="4"/>
  <c r="AF203" i="4"/>
  <c r="AF272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67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0" i="4"/>
  <c r="AF100" i="4"/>
  <c r="AF146" i="4"/>
  <c r="AF119" i="4"/>
  <c r="AF147" i="4"/>
  <c r="AF71" i="4"/>
  <c r="AF76" i="4"/>
  <c r="AF79" i="4"/>
  <c r="AF84" i="4"/>
  <c r="AF123" i="4"/>
  <c r="AF124" i="4"/>
  <c r="AF190" i="4"/>
  <c r="AF275" i="4"/>
  <c r="AF215" i="4"/>
  <c r="AF111" i="4"/>
  <c r="AF134" i="4"/>
  <c r="AF140" i="4"/>
  <c r="AF144" i="4"/>
  <c r="AF145" i="4"/>
  <c r="AF99" i="4"/>
  <c r="AF183" i="4"/>
  <c r="AF101" i="4"/>
  <c r="AF273" i="4"/>
  <c r="AF274" i="4"/>
  <c r="AF153" i="4"/>
  <c r="AF122" i="4"/>
  <c r="AF155" i="4"/>
  <c r="AF213" i="4"/>
  <c r="AF287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6" i="4"/>
  <c r="AF129" i="4"/>
  <c r="AF204" i="4"/>
  <c r="AF10" i="4"/>
  <c r="AF252" i="4"/>
  <c r="AF254" i="4"/>
  <c r="AF279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5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2" i="4"/>
  <c r="AF247" i="4"/>
  <c r="AF223" i="4"/>
  <c r="AF214" i="4"/>
  <c r="AF253" i="4"/>
  <c r="AF258" i="4"/>
  <c r="AF259" i="4"/>
  <c r="AF260" i="4"/>
  <c r="AF181" i="4"/>
  <c r="AF231" i="4"/>
  <c r="AF283" i="4"/>
  <c r="AF285" i="4"/>
  <c r="AF232" i="4"/>
  <c r="AF263" i="4"/>
  <c r="AF237" i="4"/>
  <c r="AF264" i="4"/>
  <c r="AF238" i="4"/>
  <c r="AF239" i="4"/>
  <c r="AF240" i="4"/>
  <c r="AF241" i="4"/>
  <c r="AF242" i="4"/>
  <c r="AF265" i="4"/>
  <c r="AF243" i="4"/>
  <c r="AF266" i="4"/>
  <c r="AF244" i="4"/>
  <c r="AF246" i="4"/>
  <c r="AF267" i="4"/>
  <c r="AF268" i="4"/>
  <c r="AF151" i="4"/>
  <c r="AF108" i="4"/>
  <c r="AF156" i="4"/>
  <c r="AF261" i="4"/>
  <c r="AF262" i="4"/>
  <c r="AF233" i="4"/>
  <c r="AF234" i="4"/>
  <c r="AF219" i="4"/>
  <c r="AF235" i="4"/>
  <c r="AF236" i="4"/>
  <c r="AF187" i="4"/>
  <c r="AF121" i="4"/>
  <c r="AF249" i="4"/>
  <c r="AF192" i="4"/>
  <c r="AF222" i="4"/>
  <c r="AF276" i="4"/>
  <c r="AF77" i="4"/>
  <c r="AF82" i="4"/>
  <c r="AF113" i="4"/>
  <c r="AF26" i="4"/>
  <c r="AF131" i="4"/>
  <c r="AF196" i="4"/>
  <c r="AF280" i="4"/>
  <c r="AF281" i="4"/>
  <c r="AF188" i="4"/>
  <c r="AF269" i="4"/>
  <c r="AF270" i="4"/>
  <c r="AF271" i="4"/>
  <c r="AF210" i="4"/>
  <c r="AF220" i="4"/>
  <c r="AF221" i="4"/>
  <c r="AF288" i="4"/>
  <c r="AF17" i="4"/>
  <c r="AF109" i="4"/>
  <c r="AF284" i="4"/>
  <c r="AF245" i="4"/>
  <c r="AF189" i="4"/>
  <c r="AF293" i="4"/>
  <c r="AF248" i="4"/>
  <c r="AF250" i="4"/>
  <c r="AF73" i="4"/>
  <c r="AF212" i="4"/>
  <c r="AF251" i="4"/>
  <c r="AF194" i="4"/>
  <c r="AF277" i="4"/>
  <c r="AF278" i="4"/>
  <c r="AF7" i="4"/>
  <c r="AF25" i="4"/>
  <c r="AF228" i="4"/>
  <c r="AF289" i="4"/>
  <c r="AF229" i="4"/>
  <c r="AF230" i="4"/>
  <c r="AF256" i="4"/>
  <c r="AF257" i="4"/>
  <c r="AF294" i="4"/>
  <c r="AF48" i="4"/>
  <c r="AF291" i="4"/>
  <c r="AF282" i="4"/>
  <c r="AF301" i="4"/>
  <c r="AF302" i="4"/>
  <c r="AF303" i="4"/>
  <c r="AF304" i="4"/>
  <c r="AF297" i="4"/>
  <c r="AF307" i="4"/>
  <c r="AF308" i="4"/>
  <c r="AF309" i="4"/>
  <c r="AF310" i="4"/>
  <c r="AF298" i="4"/>
  <c r="AF311" i="4"/>
  <c r="AF305" i="4"/>
  <c r="AF296" i="4"/>
  <c r="AF299" i="4"/>
  <c r="AF300" i="4"/>
  <c r="AF340" i="4"/>
  <c r="AF341" i="4"/>
  <c r="AF342" i="4"/>
  <c r="AF332" i="4"/>
  <c r="AF333" i="4"/>
  <c r="AF315" i="4"/>
  <c r="AF312" i="4"/>
  <c r="AF316" i="4"/>
  <c r="AF317" i="4"/>
  <c r="AF318" i="4"/>
  <c r="AF344" i="4"/>
  <c r="AF334" i="4"/>
  <c r="AF313" i="4"/>
  <c r="AF335" i="4"/>
  <c r="AF336" i="4"/>
  <c r="AF337" i="4"/>
  <c r="AF339" i="4"/>
  <c r="AF319" i="4"/>
  <c r="AF314" i="4"/>
  <c r="AF320" i="4"/>
  <c r="AF343" i="4"/>
  <c r="AF323" i="4"/>
  <c r="AF324" i="4"/>
  <c r="AF325" i="4"/>
  <c r="AF326" i="4"/>
  <c r="AF338" i="4"/>
  <c r="AF328" i="4"/>
  <c r="AF329" i="4"/>
  <c r="AF330" i="4"/>
  <c r="AF322" i="4"/>
  <c r="AF331" i="4"/>
  <c r="AF321" i="4"/>
  <c r="AF327" i="4"/>
  <c r="AF347" i="4"/>
  <c r="AF353" i="4"/>
  <c r="AF354" i="4"/>
  <c r="AF352" i="4"/>
  <c r="AF358" i="4"/>
  <c r="AF359" i="4"/>
  <c r="AF365" i="4"/>
  <c r="AF360" i="4"/>
  <c r="AF366" i="4"/>
  <c r="AF348" i="4"/>
  <c r="AF345" i="4"/>
  <c r="AF355" i="4"/>
  <c r="AF356" i="4"/>
  <c r="AF361" i="4"/>
  <c r="AF346" i="4"/>
  <c r="AF362" i="4"/>
  <c r="AF363" i="4"/>
  <c r="AF364" i="4"/>
  <c r="AF357" i="4"/>
  <c r="AF349" i="4"/>
  <c r="AF350" i="4"/>
  <c r="AF351" i="4"/>
  <c r="AF376" i="4"/>
  <c r="AF374" i="4"/>
  <c r="AF370" i="4"/>
  <c r="AF371" i="4"/>
  <c r="AF367" i="4"/>
  <c r="AF368" i="4"/>
  <c r="AF372" i="4"/>
  <c r="AF373" i="4"/>
  <c r="AF369" i="4"/>
  <c r="AF375" i="4"/>
  <c r="AF377" i="4"/>
  <c r="AF16" i="4"/>
  <c r="B295" i="5"/>
  <c r="AM295" i="5"/>
  <c r="AQ295" i="5"/>
  <c r="B200" i="5"/>
  <c r="AM200" i="5"/>
  <c r="AQ200" i="5"/>
  <c r="B203" i="5"/>
  <c r="AM203" i="5"/>
  <c r="AQ203" i="5"/>
  <c r="B195" i="5"/>
  <c r="AM195" i="5"/>
  <c r="AQ195" i="5"/>
  <c r="B205" i="5"/>
  <c r="AM205" i="5"/>
  <c r="AQ205" i="5"/>
  <c r="B21" i="5"/>
  <c r="AM21" i="5"/>
  <c r="AQ21" i="5"/>
  <c r="B67" i="5"/>
  <c r="AM67" i="5"/>
  <c r="AQ67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6" i="5"/>
  <c r="AM56" i="5"/>
  <c r="AQ56" i="5"/>
  <c r="B267" i="5"/>
  <c r="B291" i="5"/>
  <c r="B278" i="5"/>
  <c r="B2" i="5"/>
  <c r="B4" i="5"/>
  <c r="B27" i="5"/>
  <c r="B28" i="5"/>
  <c r="B30" i="5"/>
  <c r="B31" i="5"/>
  <c r="B29" i="5"/>
  <c r="B228" i="5"/>
  <c r="B12" i="5"/>
  <c r="B134" i="5"/>
  <c r="B64" i="5"/>
  <c r="B15" i="5"/>
  <c r="B25" i="5"/>
  <c r="B95" i="5"/>
  <c r="B10" i="5"/>
  <c r="B154" i="5"/>
  <c r="B148" i="5"/>
  <c r="B11" i="5"/>
  <c r="B65" i="5"/>
  <c r="B13" i="5"/>
  <c r="B227" i="5"/>
  <c r="B279" i="5"/>
  <c r="B35" i="5"/>
  <c r="B20" i="5"/>
  <c r="B22" i="5"/>
  <c r="B14" i="5"/>
  <c r="B285" i="5"/>
  <c r="B230" i="5"/>
  <c r="B287" i="5"/>
  <c r="B288" i="5"/>
  <c r="B283" i="5"/>
  <c r="B9" i="5"/>
  <c r="B271" i="5"/>
  <c r="B229" i="5"/>
  <c r="B6" i="5"/>
  <c r="B5" i="5"/>
  <c r="B33" i="5"/>
  <c r="B286" i="5"/>
  <c r="B34" i="5"/>
  <c r="B24" i="5"/>
  <c r="B23" i="5"/>
  <c r="B7" i="5"/>
  <c r="B293" i="5"/>
  <c r="B8" i="5"/>
  <c r="B292" i="5"/>
  <c r="B3" i="5"/>
  <c r="B277" i="5"/>
  <c r="B26" i="5"/>
  <c r="B280" i="5"/>
  <c r="B266" i="5"/>
  <c r="B284" i="5"/>
  <c r="B18" i="5"/>
  <c r="B17" i="5"/>
  <c r="B16" i="5"/>
  <c r="B181" i="5"/>
  <c r="B115" i="5"/>
  <c r="B156" i="5"/>
  <c r="B169" i="5"/>
  <c r="B226" i="5"/>
  <c r="B224" i="5"/>
  <c r="B151" i="5"/>
  <c r="B130" i="5"/>
  <c r="B182" i="5"/>
  <c r="B184" i="5"/>
  <c r="B185" i="5"/>
  <c r="B75" i="5"/>
  <c r="B94" i="5"/>
  <c r="B178" i="5"/>
  <c r="B138" i="5"/>
  <c r="B183" i="5"/>
  <c r="B220" i="5"/>
  <c r="B171" i="5"/>
  <c r="B238" i="5"/>
  <c r="B77" i="5"/>
  <c r="B225" i="5"/>
  <c r="B222" i="5"/>
  <c r="B221" i="5"/>
  <c r="B187" i="5"/>
  <c r="B86" i="5"/>
  <c r="B87" i="5"/>
  <c r="B96" i="5"/>
  <c r="B137" i="5"/>
  <c r="B153" i="5"/>
  <c r="B112" i="5"/>
  <c r="B180" i="5"/>
  <c r="B214" i="5"/>
  <c r="B193" i="5"/>
  <c r="B116" i="5"/>
  <c r="B139" i="5"/>
  <c r="B125" i="5"/>
  <c r="B192" i="5"/>
  <c r="B172" i="5"/>
  <c r="B168" i="5"/>
  <c r="B107" i="5"/>
  <c r="B247" i="5"/>
  <c r="B162" i="5"/>
  <c r="B163" i="5"/>
  <c r="B164" i="5"/>
  <c r="B268" i="5"/>
  <c r="B231" i="5"/>
  <c r="B89" i="5"/>
  <c r="B135" i="5"/>
  <c r="B88" i="5"/>
  <c r="B49" i="5"/>
  <c r="B50" i="5"/>
  <c r="B114" i="5"/>
  <c r="B100" i="5"/>
  <c r="B48" i="5"/>
  <c r="B101" i="5"/>
  <c r="B51" i="5"/>
  <c r="B118" i="5"/>
  <c r="B136" i="5"/>
  <c r="B121" i="5"/>
  <c r="B102" i="5"/>
  <c r="B144" i="5"/>
  <c r="B167" i="5"/>
  <c r="B140" i="5"/>
  <c r="B120" i="5"/>
  <c r="B143" i="5"/>
  <c r="B160" i="5"/>
  <c r="B152" i="5"/>
  <c r="B44" i="5"/>
  <c r="B197" i="5"/>
  <c r="B215" i="5"/>
  <c r="B166" i="5"/>
  <c r="B146" i="5"/>
  <c r="B39" i="5"/>
  <c r="B110" i="5"/>
  <c r="B237" i="5"/>
  <c r="B122" i="5"/>
  <c r="B54" i="5"/>
  <c r="B239" i="5"/>
  <c r="B85" i="5"/>
  <c r="B211" i="5"/>
  <c r="B179" i="5"/>
  <c r="B213" i="5"/>
  <c r="B53" i="5"/>
  <c r="B104" i="5"/>
  <c r="B105" i="5"/>
  <c r="B106" i="5"/>
  <c r="B109" i="5"/>
  <c r="B246" i="5"/>
  <c r="B46" i="5"/>
  <c r="B60" i="5"/>
  <c r="B119" i="5"/>
  <c r="B159" i="5"/>
  <c r="B188" i="5"/>
  <c r="B157" i="5"/>
  <c r="B158" i="5"/>
  <c r="B70" i="5"/>
  <c r="B83" i="5"/>
  <c r="B190" i="5"/>
  <c r="B71" i="5"/>
  <c r="B249" i="5"/>
  <c r="B90" i="5"/>
  <c r="B212" i="5"/>
  <c r="B58" i="5"/>
  <c r="B241" i="5"/>
  <c r="B244" i="5"/>
  <c r="B113" i="5"/>
  <c r="B117" i="5"/>
  <c r="B124" i="5"/>
  <c r="B243" i="5"/>
  <c r="B245" i="5"/>
  <c r="B57" i="5"/>
  <c r="B219" i="5"/>
  <c r="B63" i="5"/>
  <c r="B68" i="5"/>
  <c r="B128" i="5"/>
  <c r="B79" i="5"/>
  <c r="B81" i="5"/>
  <c r="B84" i="5"/>
  <c r="B177" i="5"/>
  <c r="B207" i="5"/>
  <c r="B209" i="5"/>
  <c r="B242" i="5"/>
  <c r="B251" i="5"/>
  <c r="B196" i="5"/>
  <c r="B142" i="5"/>
  <c r="B108" i="5"/>
  <c r="B210" i="5"/>
  <c r="B150" i="5"/>
  <c r="B36" i="5"/>
  <c r="B76" i="5"/>
  <c r="B92" i="5"/>
  <c r="B69" i="5"/>
  <c r="B72" i="5"/>
  <c r="B126" i="5"/>
  <c r="B82" i="5"/>
  <c r="B103" i="5"/>
  <c r="B165" i="5"/>
  <c r="B133" i="5"/>
  <c r="B236" i="5"/>
  <c r="B248" i="5"/>
  <c r="B80" i="5"/>
  <c r="B155" i="5"/>
  <c r="B189" i="5"/>
  <c r="B45" i="5"/>
  <c r="B175" i="5"/>
  <c r="B233" i="5"/>
  <c r="B161" i="5"/>
  <c r="B240" i="5"/>
  <c r="B234" i="5"/>
  <c r="B52" i="5"/>
  <c r="B61" i="5"/>
  <c r="B235" i="5"/>
  <c r="B199" i="5"/>
  <c r="B37" i="5"/>
  <c r="B93" i="5"/>
  <c r="B204" i="5"/>
  <c r="B131" i="5"/>
  <c r="B91" i="5"/>
  <c r="B208" i="5"/>
  <c r="B170" i="5"/>
  <c r="B123" i="5"/>
  <c r="B42" i="5"/>
  <c r="B223" i="5"/>
  <c r="B73" i="5"/>
  <c r="B232" i="5"/>
  <c r="B66" i="5"/>
  <c r="B201" i="5"/>
  <c r="B129" i="5"/>
  <c r="B55" i="5"/>
  <c r="B194" i="5"/>
  <c r="B202" i="5"/>
  <c r="B41" i="5"/>
  <c r="B218" i="5"/>
  <c r="B47" i="5"/>
  <c r="B97" i="5"/>
  <c r="B206" i="5"/>
  <c r="B217" i="5"/>
  <c r="B62" i="5"/>
  <c r="B98" i="5"/>
  <c r="B216" i="5"/>
  <c r="B176" i="5"/>
  <c r="B59" i="5"/>
  <c r="B127" i="5"/>
  <c r="B173" i="5"/>
  <c r="B186" i="5"/>
  <c r="B174" i="5"/>
  <c r="B147" i="5"/>
  <c r="B149" i="5"/>
  <c r="B254" i="5"/>
  <c r="B252" i="5"/>
  <c r="B40" i="5"/>
  <c r="B255" i="5"/>
  <c r="B132" i="5"/>
  <c r="B250" i="5"/>
  <c r="B260" i="5"/>
  <c r="B253" i="5"/>
  <c r="B38" i="5"/>
  <c r="B78" i="5"/>
  <c r="B145" i="5"/>
  <c r="B191" i="5"/>
  <c r="B74" i="5"/>
  <c r="B43" i="5"/>
  <c r="B111" i="5"/>
  <c r="B99" i="5"/>
  <c r="B141" i="5"/>
  <c r="B259" i="5"/>
  <c r="B256" i="5"/>
  <c r="B258" i="5"/>
  <c r="B257" i="5"/>
  <c r="B261" i="5"/>
  <c r="B289" i="5"/>
  <c r="B273" i="5"/>
  <c r="B294" i="5"/>
  <c r="B262" i="5"/>
  <c r="B264" i="5"/>
  <c r="B263" i="5"/>
  <c r="B275" i="5"/>
  <c r="B274" i="5"/>
  <c r="B270" i="5"/>
  <c r="B272" i="5"/>
  <c r="B282" i="5"/>
  <c r="B281" i="5"/>
  <c r="B290" i="5"/>
  <c r="B269" i="5"/>
  <c r="B265" i="5"/>
  <c r="B276" i="5"/>
  <c r="B296" i="5"/>
  <c r="B297" i="5"/>
  <c r="B298" i="5"/>
  <c r="B299" i="5"/>
  <c r="B301" i="5"/>
  <c r="B302" i="5"/>
  <c r="B303" i="5"/>
  <c r="B304" i="5"/>
  <c r="B305" i="5"/>
  <c r="B306" i="5"/>
  <c r="B307" i="5"/>
  <c r="B308" i="5"/>
  <c r="B309" i="5"/>
  <c r="B310" i="5"/>
  <c r="B311" i="5"/>
  <c r="B328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9" i="5"/>
  <c r="B330" i="5"/>
  <c r="B331" i="5"/>
  <c r="B332" i="5"/>
  <c r="B334" i="5"/>
  <c r="B335" i="5"/>
  <c r="B336" i="5"/>
  <c r="B337" i="5"/>
  <c r="B338" i="5"/>
  <c r="B339" i="5"/>
  <c r="B340" i="5"/>
  <c r="B341" i="5"/>
  <c r="B342" i="5"/>
  <c r="B343" i="5"/>
  <c r="B33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71" i="5"/>
  <c r="B367" i="5"/>
  <c r="B368" i="5"/>
  <c r="B369" i="5"/>
  <c r="B370" i="5"/>
  <c r="B372" i="5"/>
  <c r="B373" i="5"/>
  <c r="B374" i="5"/>
  <c r="B375" i="5"/>
  <c r="B376" i="5"/>
  <c r="B377" i="5"/>
  <c r="B378" i="5"/>
  <c r="B379" i="5"/>
  <c r="B382" i="5"/>
  <c r="B380" i="5"/>
  <c r="B381" i="5"/>
  <c r="B386" i="5"/>
  <c r="B401" i="5"/>
  <c r="B404" i="5"/>
  <c r="B383" i="5"/>
  <c r="B387" i="5"/>
  <c r="B388" i="5"/>
  <c r="B389" i="5"/>
  <c r="B390" i="5"/>
  <c r="B396" i="5"/>
  <c r="B397" i="5"/>
  <c r="B398" i="5"/>
  <c r="B399" i="5"/>
  <c r="B403" i="5"/>
  <c r="B384" i="5"/>
  <c r="B385" i="5"/>
  <c r="B394" i="5"/>
  <c r="B395" i="5"/>
  <c r="B402" i="5"/>
  <c r="B405" i="5"/>
  <c r="B406" i="5"/>
  <c r="B407" i="5"/>
  <c r="B391" i="5"/>
  <c r="B400" i="5"/>
  <c r="B393" i="5"/>
  <c r="B392" i="5"/>
  <c r="B32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5" i="4"/>
  <c r="AA232" i="4"/>
  <c r="AA262" i="4"/>
  <c r="AA263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4" i="4"/>
  <c r="AA238" i="4"/>
  <c r="AA239" i="4"/>
  <c r="AA240" i="4"/>
  <c r="AA241" i="4"/>
  <c r="AA242" i="4"/>
  <c r="AA265" i="4"/>
  <c r="AA243" i="4"/>
  <c r="AA266" i="4"/>
  <c r="AA244" i="4"/>
  <c r="AA245" i="4"/>
  <c r="AA189" i="4"/>
  <c r="AA121" i="4"/>
  <c r="AA64" i="4"/>
  <c r="AA65" i="4"/>
  <c r="AA246" i="4"/>
  <c r="AA267" i="4"/>
  <c r="AA268" i="4"/>
  <c r="AA269" i="4"/>
  <c r="AA270" i="4"/>
  <c r="AA271" i="4"/>
  <c r="AA151" i="4"/>
  <c r="AA203" i="4"/>
  <c r="AA41" i="4"/>
  <c r="AA66" i="4"/>
  <c r="AA67" i="4"/>
  <c r="AA272" i="4"/>
  <c r="AA273" i="4"/>
  <c r="AA274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3" i="4"/>
  <c r="AA126" i="4"/>
  <c r="AA155" i="4"/>
  <c r="AA190" i="4"/>
  <c r="AA156" i="4"/>
  <c r="AA275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6" i="4"/>
  <c r="AA128" i="4"/>
  <c r="AA292" i="4"/>
  <c r="AA192" i="4"/>
  <c r="AA4" i="4"/>
  <c r="AA222" i="4"/>
  <c r="AA250" i="4"/>
  <c r="AA73" i="4"/>
  <c r="AA74" i="4"/>
  <c r="AA129" i="4"/>
  <c r="AA20" i="4"/>
  <c r="AA75" i="4"/>
  <c r="AA276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7" i="4"/>
  <c r="AA278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79" i="4"/>
  <c r="AA255" i="4"/>
  <c r="AA87" i="4"/>
  <c r="AA287" i="4"/>
  <c r="AA288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5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89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0" i="4"/>
  <c r="AA181" i="4"/>
  <c r="AA114" i="4"/>
  <c r="AA48" i="4"/>
  <c r="AA200" i="4"/>
  <c r="AA201" i="4"/>
  <c r="AA182" i="4"/>
  <c r="AA49" i="4"/>
  <c r="AA231" i="4"/>
  <c r="AA209" i="4"/>
  <c r="AA280" i="4"/>
  <c r="AA281" i="4"/>
  <c r="AA294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2" i="4"/>
  <c r="AA283" i="4"/>
  <c r="AA51" i="4"/>
  <c r="AA291" i="4"/>
  <c r="AA52" i="4"/>
  <c r="AA53" i="4"/>
  <c r="AA54" i="4"/>
  <c r="AA55" i="4"/>
  <c r="AA56" i="4"/>
  <c r="AA57" i="4"/>
  <c r="AA99" i="4"/>
  <c r="AA100" i="4"/>
  <c r="AA183" i="4"/>
  <c r="AA284" i="4"/>
  <c r="AA184" i="4"/>
  <c r="AA185" i="4"/>
  <c r="AA101" i="4"/>
  <c r="AA261" i="4"/>
  <c r="AA301" i="4"/>
  <c r="AA302" i="4"/>
  <c r="AA303" i="4"/>
  <c r="AA304" i="4"/>
  <c r="AA297" i="4"/>
  <c r="AA307" i="4"/>
  <c r="AA308" i="4"/>
  <c r="AA309" i="4"/>
  <c r="AA310" i="4"/>
  <c r="AA298" i="4"/>
  <c r="AA311" i="4"/>
  <c r="AA305" i="4"/>
  <c r="AA296" i="4"/>
  <c r="AA299" i="4"/>
  <c r="AA300" i="4"/>
  <c r="AA340" i="4"/>
  <c r="AA341" i="4"/>
  <c r="AA342" i="4"/>
  <c r="AA332" i="4"/>
  <c r="AA333" i="4"/>
  <c r="AA315" i="4"/>
  <c r="AA312" i="4"/>
  <c r="AA316" i="4"/>
  <c r="AA317" i="4"/>
  <c r="AA318" i="4"/>
  <c r="AA344" i="4"/>
  <c r="AA334" i="4"/>
  <c r="AA313" i="4"/>
  <c r="AA335" i="4"/>
  <c r="AA336" i="4"/>
  <c r="AA337" i="4"/>
  <c r="AA339" i="4"/>
  <c r="AA319" i="4"/>
  <c r="AA314" i="4"/>
  <c r="AA320" i="4"/>
  <c r="AA321" i="4"/>
  <c r="AA343" i="4"/>
  <c r="AA323" i="4"/>
  <c r="AA324" i="4"/>
  <c r="AA325" i="4"/>
  <c r="AA326" i="4"/>
  <c r="AA338" i="4"/>
  <c r="AA327" i="4"/>
  <c r="AA328" i="4"/>
  <c r="AA329" i="4"/>
  <c r="AA330" i="4"/>
  <c r="AA322" i="4"/>
  <c r="AA331" i="4"/>
  <c r="AA347" i="4"/>
  <c r="AA353" i="4"/>
  <c r="AA357" i="4"/>
  <c r="AA354" i="4"/>
  <c r="AA352" i="4"/>
  <c r="AA358" i="4"/>
  <c r="AA359" i="4"/>
  <c r="AA365" i="4"/>
  <c r="AA360" i="4"/>
  <c r="AA366" i="4"/>
  <c r="AA348" i="4"/>
  <c r="AA345" i="4"/>
  <c r="AA355" i="4"/>
  <c r="AA356" i="4"/>
  <c r="AA361" i="4"/>
  <c r="AA346" i="4"/>
  <c r="AA362" i="4"/>
  <c r="AA363" i="4"/>
  <c r="AA349" i="4"/>
  <c r="AA350" i="4"/>
  <c r="AA364" i="4"/>
  <c r="AA351" i="4"/>
  <c r="AA376" i="4"/>
  <c r="AA374" i="4"/>
  <c r="AA370" i="4"/>
  <c r="AA371" i="4"/>
  <c r="AA367" i="4"/>
  <c r="AA368" i="4"/>
  <c r="AA372" i="4"/>
  <c r="AA373" i="4"/>
  <c r="AA369" i="4"/>
  <c r="AA375" i="4"/>
  <c r="AA377" i="4"/>
  <c r="AA378" i="4"/>
  <c r="AA380" i="4"/>
  <c r="AA382" i="4"/>
  <c r="AA381" i="4"/>
  <c r="AA379" i="4"/>
  <c r="AA392" i="4"/>
  <c r="AA384" i="4"/>
  <c r="AA385" i="4"/>
  <c r="AA386" i="4"/>
  <c r="AA393" i="4"/>
  <c r="AA394" i="4"/>
  <c r="AA395" i="4"/>
  <c r="AA396" i="4"/>
  <c r="AA397" i="4"/>
  <c r="AA387" i="4"/>
  <c r="AA388" i="4"/>
  <c r="AA389" i="4"/>
  <c r="AA398" i="4"/>
  <c r="AA399" i="4"/>
  <c r="AA383" i="4"/>
  <c r="AA400" i="4"/>
  <c r="AA401" i="4"/>
  <c r="AA390" i="4"/>
  <c r="AA391" i="4"/>
  <c r="AA402" i="4"/>
  <c r="AA403" i="4"/>
  <c r="AA404" i="4"/>
  <c r="AA405" i="4"/>
  <c r="AA406" i="4"/>
  <c r="AA407" i="4"/>
  <c r="AA102" i="4"/>
  <c r="AM116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2" i="5"/>
  <c r="AM59" i="5"/>
  <c r="AM63" i="5"/>
  <c r="AM64" i="5"/>
  <c r="AM65" i="5"/>
  <c r="AM317" i="5"/>
  <c r="AM318" i="5"/>
  <c r="AM328" i="5"/>
  <c r="AM330" i="5"/>
  <c r="AM332" i="5"/>
  <c r="AM338" i="5"/>
  <c r="AM77" i="5"/>
  <c r="AM341" i="5"/>
  <c r="AM342" i="5"/>
  <c r="AM343" i="5"/>
  <c r="AM86" i="5"/>
  <c r="AM87" i="5"/>
  <c r="AM10" i="5"/>
  <c r="AM11" i="5"/>
  <c r="AM94" i="5"/>
  <c r="AM95" i="5"/>
  <c r="AM96" i="5"/>
  <c r="AM101" i="5"/>
  <c r="AM107" i="5"/>
  <c r="AM371" i="5"/>
  <c r="AM378" i="5"/>
  <c r="AM110" i="5"/>
  <c r="AM2" i="5"/>
  <c r="AM379" i="5"/>
  <c r="AM12" i="5"/>
  <c r="AM115" i="5"/>
  <c r="AM13" i="5"/>
  <c r="AM267" i="5"/>
  <c r="AM14" i="5"/>
  <c r="AM348" i="5"/>
  <c r="AM349" i="5"/>
  <c r="AM270" i="5"/>
  <c r="AM15" i="5"/>
  <c r="AM272" i="5"/>
  <c r="AM351" i="5"/>
  <c r="AM125" i="5"/>
  <c r="AM127" i="5"/>
  <c r="AM128" i="5"/>
  <c r="AM130" i="5"/>
  <c r="AM131" i="5"/>
  <c r="AM4" i="5"/>
  <c r="AM134" i="5"/>
  <c r="AM252" i="5"/>
  <c r="AM135" i="5"/>
  <c r="AM137" i="5"/>
  <c r="AM138" i="5"/>
  <c r="AM273" i="5"/>
  <c r="AM147" i="5"/>
  <c r="AM148" i="5"/>
  <c r="AM274" i="5"/>
  <c r="AM275" i="5"/>
  <c r="AM276" i="5"/>
  <c r="AM149" i="5"/>
  <c r="AM151" i="5"/>
  <c r="AM156" i="5"/>
  <c r="AM162" i="5"/>
  <c r="AM163" i="5"/>
  <c r="AM164" i="5"/>
  <c r="AM168" i="5"/>
  <c r="AM171" i="5"/>
  <c r="AM172" i="5"/>
  <c r="AM178" i="5"/>
  <c r="AM179" i="5"/>
  <c r="AM180" i="5"/>
  <c r="AM181" i="5"/>
  <c r="AM182" i="5"/>
  <c r="AM183" i="5"/>
  <c r="AM184" i="5"/>
  <c r="AM185" i="5"/>
  <c r="AM192" i="5"/>
  <c r="AM193" i="5"/>
  <c r="AM194" i="5"/>
  <c r="AM196" i="5"/>
  <c r="AM291" i="5"/>
  <c r="AM25" i="5"/>
  <c r="AM221" i="5"/>
  <c r="AM225" i="5"/>
  <c r="AM226" i="5"/>
  <c r="AM385" i="5"/>
  <c r="AM386" i="5"/>
  <c r="AM387" i="5"/>
  <c r="AM388" i="5"/>
  <c r="AM389" i="5"/>
  <c r="AM390" i="5"/>
  <c r="AM391" i="5"/>
  <c r="AM393" i="5"/>
  <c r="AM394" i="5"/>
  <c r="AM395" i="5"/>
  <c r="AM396" i="5"/>
  <c r="AM397" i="5"/>
  <c r="AM398" i="5"/>
  <c r="AM399" i="5"/>
  <c r="AM400" i="5"/>
  <c r="AM238" i="5"/>
  <c r="AM402" i="5"/>
  <c r="AM403" i="5"/>
  <c r="AM405" i="5"/>
  <c r="AM406" i="5"/>
  <c r="AM407" i="5"/>
  <c r="AM247" i="5"/>
  <c r="AM34" i="5"/>
  <c r="AM35" i="5"/>
  <c r="AM248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262" i="5"/>
  <c r="AM263" i="5"/>
  <c r="AM53" i="5"/>
  <c r="AM54" i="5"/>
  <c r="AM55" i="5"/>
  <c r="AM57" i="5"/>
  <c r="AM58" i="5"/>
  <c r="AM60" i="5"/>
  <c r="AM61" i="5"/>
  <c r="AM62" i="5"/>
  <c r="AM66" i="5"/>
  <c r="AM68" i="5"/>
  <c r="AM69" i="5"/>
  <c r="AM312" i="5"/>
  <c r="AM313" i="5"/>
  <c r="AM314" i="5"/>
  <c r="AM315" i="5"/>
  <c r="AM316" i="5"/>
  <c r="AM319" i="5"/>
  <c r="AM320" i="5"/>
  <c r="AM321" i="5"/>
  <c r="AM322" i="5"/>
  <c r="AM323" i="5"/>
  <c r="AM324" i="5"/>
  <c r="AM325" i="5"/>
  <c r="AM326" i="5"/>
  <c r="AM327" i="5"/>
  <c r="AM329" i="5"/>
  <c r="AM331" i="5"/>
  <c r="AM334" i="5"/>
  <c r="AM335" i="5"/>
  <c r="AM336" i="5"/>
  <c r="AM337" i="5"/>
  <c r="AM70" i="5"/>
  <c r="AM9" i="5"/>
  <c r="AM71" i="5"/>
  <c r="AM339" i="5"/>
  <c r="AM72" i="5"/>
  <c r="AM73" i="5"/>
  <c r="AM74" i="5"/>
  <c r="AM75" i="5"/>
  <c r="AM76" i="5"/>
  <c r="AM296" i="5"/>
  <c r="AM297" i="5"/>
  <c r="AM345" i="5"/>
  <c r="AM78" i="5"/>
  <c r="AM79" i="5"/>
  <c r="AM264" i="5"/>
  <c r="AM80" i="5"/>
  <c r="AM81" i="5"/>
  <c r="AM82" i="5"/>
  <c r="AM83" i="5"/>
  <c r="AM256" i="5"/>
  <c r="AM257" i="5"/>
  <c r="AM84" i="5"/>
  <c r="AM258" i="5"/>
  <c r="AM250" i="5"/>
  <c r="AM340" i="5"/>
  <c r="AM85" i="5"/>
  <c r="AM88" i="5"/>
  <c r="AM89" i="5"/>
  <c r="AM298" i="5"/>
  <c r="AM299" i="5"/>
  <c r="AM90" i="5"/>
  <c r="AM91" i="5"/>
  <c r="AM92" i="5"/>
  <c r="AM93" i="5"/>
  <c r="AM259" i="5"/>
  <c r="AM251" i="5"/>
  <c r="AM260" i="5"/>
  <c r="AM97" i="5"/>
  <c r="AM98" i="5"/>
  <c r="AM99" i="5"/>
  <c r="AM100" i="5"/>
  <c r="AM102" i="5"/>
  <c r="AM103" i="5"/>
  <c r="AM104" i="5"/>
  <c r="AM105" i="5"/>
  <c r="AM106" i="5"/>
  <c r="AM367" i="5"/>
  <c r="AM368" i="5"/>
  <c r="AM369" i="5"/>
  <c r="AM370" i="5"/>
  <c r="AM372" i="5"/>
  <c r="AM373" i="5"/>
  <c r="AM374" i="5"/>
  <c r="AM375" i="5"/>
  <c r="AM376" i="5"/>
  <c r="AM346" i="5"/>
  <c r="AM347" i="5"/>
  <c r="AM108" i="5"/>
  <c r="AM109" i="5"/>
  <c r="AM111" i="5"/>
  <c r="AM301" i="5"/>
  <c r="AM112" i="5"/>
  <c r="AM302" i="5"/>
  <c r="AM303" i="5"/>
  <c r="AM304" i="5"/>
  <c r="AM305" i="5"/>
  <c r="AM113" i="5"/>
  <c r="AM114" i="5"/>
  <c r="AM333" i="5"/>
  <c r="AM265" i="5"/>
  <c r="AM266" i="5"/>
  <c r="AM380" i="5"/>
  <c r="AM268" i="5"/>
  <c r="AM269" i="5"/>
  <c r="AM117" i="5"/>
  <c r="AM118" i="5"/>
  <c r="AM381" i="5"/>
  <c r="AM119" i="5"/>
  <c r="AM120" i="5"/>
  <c r="AM121" i="5"/>
  <c r="AM122" i="5"/>
  <c r="AM271" i="5"/>
  <c r="AM350" i="5"/>
  <c r="AM123" i="5"/>
  <c r="AM124" i="5"/>
  <c r="AM352" i="5"/>
  <c r="AM353" i="5"/>
  <c r="AM354" i="5"/>
  <c r="AM126" i="5"/>
  <c r="AM129" i="5"/>
  <c r="AM3" i="5"/>
  <c r="AM132" i="5"/>
  <c r="AM133" i="5"/>
  <c r="AM136" i="5"/>
  <c r="AM139" i="5"/>
  <c r="AM140" i="5"/>
  <c r="AM141" i="5"/>
  <c r="AM142" i="5"/>
  <c r="AM143" i="5"/>
  <c r="AM144" i="5"/>
  <c r="AM145" i="5"/>
  <c r="AM146" i="5"/>
  <c r="AM150" i="5"/>
  <c r="AM277" i="5"/>
  <c r="AM152" i="5"/>
  <c r="AM153" i="5"/>
  <c r="AM154" i="5"/>
  <c r="AM344" i="5"/>
  <c r="AM355" i="5"/>
  <c r="AM356" i="5"/>
  <c r="AM357" i="5"/>
  <c r="AM358" i="5"/>
  <c r="AM359" i="5"/>
  <c r="AM360" i="5"/>
  <c r="AM361" i="5"/>
  <c r="AM362" i="5"/>
  <c r="AM155" i="5"/>
  <c r="AM157" i="5"/>
  <c r="AM158" i="5"/>
  <c r="AM159" i="5"/>
  <c r="AM160" i="5"/>
  <c r="AM253" i="5"/>
  <c r="AM254" i="5"/>
  <c r="AM161" i="5"/>
  <c r="AM16" i="5"/>
  <c r="AM17" i="5"/>
  <c r="AM18" i="5"/>
  <c r="AM165" i="5"/>
  <c r="AM166" i="5"/>
  <c r="AM167" i="5"/>
  <c r="AM169" i="5"/>
  <c r="AM170" i="5"/>
  <c r="AM173" i="5"/>
  <c r="AM174" i="5"/>
  <c r="AM175" i="5"/>
  <c r="AM176" i="5"/>
  <c r="AM177" i="5"/>
  <c r="AM186" i="5"/>
  <c r="AM187" i="5"/>
  <c r="AM188" i="5"/>
  <c r="AM189" i="5"/>
  <c r="AM190" i="5"/>
  <c r="AM278" i="5"/>
  <c r="AM279" i="5"/>
  <c r="AM280" i="5"/>
  <c r="AM191" i="5"/>
  <c r="AM281" i="5"/>
  <c r="AM282" i="5"/>
  <c r="AM283" i="5"/>
  <c r="AM284" i="5"/>
  <c r="AM5" i="5"/>
  <c r="AM285" i="5"/>
  <c r="AM286" i="5"/>
  <c r="AM287" i="5"/>
  <c r="AM288" i="5"/>
  <c r="AM197" i="5"/>
  <c r="AM290" i="5"/>
  <c r="AM198" i="5"/>
  <c r="AM19" i="5"/>
  <c r="AM199" i="5"/>
  <c r="AM201" i="5"/>
  <c r="AM202" i="5"/>
  <c r="AM204" i="5"/>
  <c r="AM20" i="5"/>
  <c r="AM22" i="5"/>
  <c r="AM23" i="5"/>
  <c r="AM24" i="5"/>
  <c r="AM6" i="5"/>
  <c r="AM7" i="5"/>
  <c r="AM206" i="5"/>
  <c r="AM207" i="5"/>
  <c r="AM208" i="5"/>
  <c r="AM209" i="5"/>
  <c r="AM210" i="5"/>
  <c r="AM255" i="5"/>
  <c r="AM211" i="5"/>
  <c r="AM212" i="5"/>
  <c r="AM213" i="5"/>
  <c r="AM214" i="5"/>
  <c r="AM215" i="5"/>
  <c r="AM306" i="5"/>
  <c r="AM216" i="5"/>
  <c r="AM26" i="5"/>
  <c r="AM217" i="5"/>
  <c r="AM218" i="5"/>
  <c r="AM219" i="5"/>
  <c r="AM220" i="5"/>
  <c r="AM222" i="5"/>
  <c r="AM223" i="5"/>
  <c r="AM224" i="5"/>
  <c r="AM292" i="5"/>
  <c r="AM293" i="5"/>
  <c r="AM8" i="5"/>
  <c r="AM227" i="5"/>
  <c r="AM228" i="5"/>
  <c r="AM307" i="5"/>
  <c r="AM308" i="5"/>
  <c r="AM229" i="5"/>
  <c r="AM363" i="5"/>
  <c r="AM294" i="5"/>
  <c r="AM230" i="5"/>
  <c r="AM27" i="5"/>
  <c r="AM28" i="5"/>
  <c r="AM29" i="5"/>
  <c r="AM30" i="5"/>
  <c r="AM31" i="5"/>
  <c r="AM231" i="5"/>
  <c r="AM32" i="5"/>
  <c r="AM309" i="5"/>
  <c r="AM377" i="5"/>
  <c r="AM232" i="5"/>
  <c r="AM233" i="5"/>
  <c r="AM234" i="5"/>
  <c r="AM235" i="5"/>
  <c r="AM236" i="5"/>
  <c r="AM237" i="5"/>
  <c r="AM383" i="5"/>
  <c r="AM384" i="5"/>
  <c r="AM392" i="5"/>
  <c r="AM401" i="5"/>
  <c r="AM404" i="5"/>
  <c r="AM239" i="5"/>
  <c r="AM240" i="5"/>
  <c r="AM241" i="5"/>
  <c r="AM242" i="5"/>
  <c r="AM243" i="5"/>
  <c r="AM244" i="5"/>
  <c r="AM245" i="5"/>
  <c r="AM382" i="5"/>
  <c r="AM246" i="5"/>
  <c r="AM364" i="5"/>
  <c r="AM365" i="5"/>
  <c r="AM366" i="5"/>
  <c r="AM33" i="5"/>
  <c r="AM310" i="5"/>
  <c r="AM311" i="5"/>
  <c r="AM249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7" i="5"/>
  <c r="AQ399" i="5"/>
  <c r="AP399" i="5"/>
  <c r="AQ398" i="5"/>
  <c r="AP398" i="5"/>
  <c r="AQ383" i="5"/>
  <c r="AP383" i="5"/>
  <c r="AQ384" i="5"/>
  <c r="AP384" i="5"/>
  <c r="AQ377" i="5"/>
  <c r="AQ376" i="5"/>
  <c r="AQ375" i="5"/>
  <c r="AQ374" i="5"/>
  <c r="AQ373" i="5"/>
  <c r="AQ372" i="5"/>
  <c r="AQ370" i="5"/>
  <c r="AQ369" i="5"/>
  <c r="AQ368" i="5"/>
  <c r="AQ367" i="5"/>
  <c r="AQ362" i="5"/>
  <c r="AQ361" i="5"/>
  <c r="AQ360" i="5"/>
  <c r="AQ359" i="5"/>
  <c r="AQ358" i="5"/>
  <c r="AQ357" i="5"/>
  <c r="AQ356" i="5"/>
  <c r="AQ347" i="5"/>
  <c r="AQ345" i="5"/>
  <c r="AQ366" i="5"/>
  <c r="AQ365" i="5"/>
  <c r="AQ364" i="5"/>
  <c r="AQ363" i="5"/>
  <c r="AQ355" i="5"/>
  <c r="AQ354" i="5"/>
  <c r="AQ353" i="5"/>
  <c r="AQ352" i="5"/>
  <c r="AQ351" i="5"/>
  <c r="AQ350" i="5"/>
  <c r="AQ349" i="5"/>
  <c r="AQ348" i="5"/>
  <c r="AQ346" i="5"/>
  <c r="AQ344" i="5"/>
  <c r="AQ333" i="5"/>
  <c r="AQ343" i="5"/>
  <c r="AQ342" i="5"/>
  <c r="AQ341" i="5"/>
  <c r="AQ340" i="5"/>
  <c r="AQ339" i="5"/>
  <c r="AQ338" i="5"/>
  <c r="AQ337" i="5"/>
  <c r="AQ336" i="5"/>
  <c r="AQ335" i="5"/>
  <c r="AQ334" i="5"/>
  <c r="AQ332" i="5"/>
  <c r="AQ331" i="5"/>
  <c r="AQ330" i="5"/>
  <c r="AQ329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1" i="5"/>
  <c r="AQ299" i="5"/>
  <c r="AQ298" i="5"/>
  <c r="AQ297" i="5"/>
  <c r="AQ296" i="5"/>
  <c r="AS32" i="5"/>
  <c r="AQ32" i="5"/>
  <c r="AS231" i="5"/>
  <c r="AQ231" i="5"/>
  <c r="AS31" i="5"/>
  <c r="AQ31" i="5"/>
  <c r="AS30" i="5"/>
  <c r="AQ30" i="5"/>
  <c r="AS29" i="5"/>
  <c r="AQ29" i="5"/>
  <c r="AQ173" i="5"/>
  <c r="AQ88" i="5"/>
  <c r="AS218" i="5"/>
  <c r="AS217" i="5"/>
  <c r="AS26" i="5"/>
  <c r="AQ26" i="5"/>
  <c r="AS216" i="5"/>
  <c r="AQ216" i="5"/>
  <c r="AS211" i="5"/>
  <c r="AS167" i="5"/>
  <c r="AQ167" i="5"/>
  <c r="AS166" i="5"/>
  <c r="AQ166" i="5"/>
  <c r="AQ131" i="5"/>
  <c r="AS124" i="5"/>
  <c r="AQ124" i="5"/>
  <c r="AS102" i="5"/>
  <c r="AS101" i="5"/>
  <c r="AS153" i="5"/>
  <c r="AS139" i="5"/>
  <c r="AS237" i="5"/>
  <c r="AS228" i="5"/>
  <c r="AS227" i="5"/>
  <c r="AS212" i="5"/>
  <c r="AS255" i="5"/>
  <c r="AQ255" i="5"/>
  <c r="AS210" i="5"/>
  <c r="AS209" i="5"/>
  <c r="AS208" i="5"/>
  <c r="AS207" i="5"/>
  <c r="AS206" i="5"/>
  <c r="AQ206" i="5"/>
  <c r="AS158" i="5"/>
  <c r="AS157" i="5"/>
  <c r="AS143" i="5"/>
  <c r="AQ140" i="5"/>
  <c r="AS136" i="5"/>
  <c r="AQ136" i="5"/>
  <c r="AS129" i="5"/>
  <c r="AS265" i="5"/>
  <c r="AS85" i="5"/>
  <c r="AS246" i="5"/>
  <c r="AQ246" i="5"/>
  <c r="AS229" i="5"/>
  <c r="AQ229" i="5"/>
  <c r="AS8" i="5"/>
  <c r="AQ8" i="5"/>
  <c r="AS293" i="5"/>
  <c r="AQ293" i="5"/>
  <c r="AS292" i="5"/>
  <c r="AQ292" i="5"/>
  <c r="AS7" i="5"/>
  <c r="AQ7" i="5"/>
  <c r="AS288" i="5"/>
  <c r="AQ288" i="5"/>
  <c r="AS287" i="5"/>
  <c r="AQ287" i="5"/>
  <c r="AS286" i="5"/>
  <c r="AQ286" i="5"/>
  <c r="AS285" i="5"/>
  <c r="AQ285" i="5"/>
  <c r="AS5" i="5"/>
  <c r="AS284" i="5"/>
  <c r="AQ284" i="5"/>
  <c r="AS283" i="5"/>
  <c r="AQ283" i="5"/>
  <c r="AS191" i="5"/>
  <c r="AQ191" i="5"/>
  <c r="AS280" i="5"/>
  <c r="AQ280" i="5"/>
  <c r="AS279" i="5"/>
  <c r="AQ279" i="5"/>
  <c r="AS278" i="5"/>
  <c r="AQ278" i="5"/>
  <c r="AS190" i="5"/>
  <c r="AQ190" i="5"/>
  <c r="AS155" i="5"/>
  <c r="AQ155" i="5"/>
  <c r="AS277" i="5"/>
  <c r="AQ277" i="5"/>
  <c r="AQ145" i="5"/>
  <c r="AS141" i="5"/>
  <c r="AQ141" i="5"/>
  <c r="AQ132" i="5"/>
  <c r="AS3" i="5"/>
  <c r="AQ3" i="5"/>
  <c r="AS271" i="5"/>
  <c r="AQ271" i="5"/>
  <c r="AQ266" i="5"/>
  <c r="AS2" i="5"/>
  <c r="AQ2" i="5"/>
  <c r="AS111" i="5"/>
  <c r="AQ111" i="5"/>
  <c r="AS109" i="5"/>
  <c r="AQ109" i="5"/>
  <c r="AS108" i="5"/>
  <c r="AS103" i="5"/>
  <c r="AQ99" i="5"/>
  <c r="AS98" i="5"/>
  <c r="AQ98" i="5"/>
  <c r="AS97" i="5"/>
  <c r="AQ97" i="5"/>
  <c r="AS78" i="5"/>
  <c r="AQ78" i="5"/>
  <c r="AS74" i="5"/>
  <c r="AQ74" i="5"/>
  <c r="AS6" i="5"/>
  <c r="AQ6" i="5"/>
  <c r="AS198" i="5"/>
  <c r="AQ198" i="5"/>
  <c r="AS22" i="5"/>
  <c r="AQ22" i="5"/>
  <c r="AS24" i="5"/>
  <c r="AQ24" i="5"/>
  <c r="AS23" i="5"/>
  <c r="AQ23" i="5"/>
  <c r="AS20" i="5"/>
  <c r="AQ20" i="5"/>
  <c r="AS290" i="5"/>
  <c r="AQ290" i="5"/>
  <c r="AS35" i="5"/>
  <c r="AQ35" i="5"/>
  <c r="AS33" i="5"/>
  <c r="AQ33" i="5"/>
  <c r="AS235" i="5"/>
  <c r="AQ235" i="5"/>
  <c r="AS204" i="5"/>
  <c r="AQ204" i="5"/>
  <c r="AS176" i="5"/>
  <c r="AQ176" i="5"/>
  <c r="AS161" i="5"/>
  <c r="AQ161" i="5"/>
  <c r="AS34" i="5"/>
  <c r="AQ34" i="5"/>
  <c r="AS236" i="5"/>
  <c r="AQ236" i="5"/>
  <c r="AS234" i="5"/>
  <c r="AQ234" i="5"/>
  <c r="AS233" i="5"/>
  <c r="AQ233" i="5"/>
  <c r="AS232" i="5"/>
  <c r="AQ232" i="5"/>
  <c r="AS202" i="5"/>
  <c r="AQ202" i="5"/>
  <c r="AS282" i="5"/>
  <c r="AQ282" i="5"/>
  <c r="AS281" i="5"/>
  <c r="AQ281" i="5"/>
  <c r="AS201" i="5"/>
  <c r="AQ201" i="5"/>
  <c r="AS177" i="5"/>
  <c r="AS199" i="5"/>
  <c r="AQ199" i="5"/>
  <c r="AS196" i="5"/>
  <c r="AS194" i="5"/>
  <c r="AQ194" i="5"/>
  <c r="AS18" i="5"/>
  <c r="AQ18" i="5"/>
  <c r="AS17" i="5"/>
  <c r="AQ17" i="5"/>
  <c r="AS16" i="5"/>
  <c r="AQ16" i="5"/>
  <c r="AS254" i="5"/>
  <c r="AQ254" i="5"/>
  <c r="AS159" i="5"/>
  <c r="AQ159" i="5"/>
  <c r="AS144" i="5"/>
  <c r="AS100" i="5"/>
  <c r="AS260" i="5"/>
  <c r="AQ260" i="5"/>
  <c r="AS251" i="5"/>
  <c r="AQ251" i="5"/>
  <c r="AS170" i="5"/>
  <c r="AQ170" i="5"/>
  <c r="AS117" i="5"/>
  <c r="AS106" i="5"/>
  <c r="AS105" i="5"/>
  <c r="AS104" i="5"/>
  <c r="AS93" i="5"/>
  <c r="AQ93" i="5"/>
  <c r="AS92" i="5"/>
  <c r="AQ92" i="5"/>
  <c r="AS91" i="5"/>
  <c r="AQ91" i="5"/>
  <c r="AS258" i="5"/>
  <c r="AQ258" i="5"/>
  <c r="AS257" i="5"/>
  <c r="AQ257" i="5"/>
  <c r="AS264" i="5"/>
  <c r="AQ264" i="5"/>
  <c r="AQ263" i="5"/>
  <c r="AS249" i="5"/>
  <c r="AQ249" i="5"/>
  <c r="AS259" i="5"/>
  <c r="AQ259" i="5"/>
  <c r="AQ90" i="5"/>
  <c r="AQ250" i="5"/>
  <c r="AS84" i="5"/>
  <c r="AQ84" i="5"/>
  <c r="AS256" i="5"/>
  <c r="AQ256" i="5"/>
  <c r="AS83" i="5"/>
  <c r="AQ83" i="5"/>
  <c r="AS82" i="5"/>
  <c r="AQ82" i="5"/>
  <c r="AS81" i="5"/>
  <c r="AQ81" i="5"/>
  <c r="AS80" i="5"/>
  <c r="AQ80" i="5"/>
  <c r="AS79" i="5"/>
  <c r="AQ79" i="5"/>
  <c r="AS230" i="5"/>
  <c r="AQ230" i="5"/>
  <c r="AS294" i="5"/>
  <c r="AQ294" i="5"/>
  <c r="AS220" i="5"/>
  <c r="AS197" i="5"/>
  <c r="AS169" i="5"/>
  <c r="AQ169" i="5"/>
  <c r="AS165" i="5"/>
  <c r="AQ165" i="5"/>
  <c r="AS150" i="5"/>
  <c r="AS133" i="5"/>
  <c r="AQ133" i="5"/>
  <c r="AS126" i="5"/>
  <c r="AS123" i="5"/>
  <c r="AQ123" i="5"/>
  <c r="AS76" i="5"/>
  <c r="AS73" i="5"/>
  <c r="AQ73" i="5"/>
  <c r="AS72" i="5"/>
  <c r="AQ72" i="5"/>
  <c r="AS71" i="5"/>
  <c r="AS9" i="5"/>
  <c r="AS70" i="5"/>
  <c r="AQ70" i="5"/>
  <c r="AQ262" i="5"/>
  <c r="AS241" i="5"/>
  <c r="AQ241" i="5"/>
  <c r="AQ27" i="5"/>
  <c r="AS113" i="5"/>
  <c r="AQ113" i="5"/>
  <c r="AS68" i="5"/>
  <c r="AQ68" i="5"/>
  <c r="AS239" i="5"/>
  <c r="AQ239" i="5"/>
  <c r="AQ222" i="5"/>
  <c r="AS268" i="5"/>
  <c r="AQ89" i="5"/>
  <c r="AS69" i="5"/>
  <c r="AQ69" i="5"/>
  <c r="AS66" i="5"/>
  <c r="AQ66" i="5"/>
  <c r="AS62" i="5"/>
  <c r="AQ62" i="5"/>
  <c r="AS46" i="5"/>
  <c r="AQ46" i="5"/>
  <c r="AS44" i="5"/>
  <c r="AQ44" i="5"/>
  <c r="AS120" i="5"/>
  <c r="AQ120" i="5"/>
  <c r="AS57" i="5"/>
  <c r="AQ57" i="5"/>
  <c r="AS55" i="5"/>
  <c r="AQ55" i="5"/>
  <c r="AS54" i="5"/>
  <c r="AQ54" i="5"/>
  <c r="AS253" i="5"/>
  <c r="AQ253" i="5"/>
  <c r="AS58" i="5"/>
  <c r="AQ58" i="5"/>
  <c r="AS53" i="5"/>
  <c r="AQ53" i="5"/>
  <c r="AS223" i="5"/>
  <c r="AQ175" i="5"/>
  <c r="AQ174" i="5"/>
  <c r="AS51" i="5"/>
  <c r="AQ51" i="5"/>
  <c r="AS50" i="5"/>
  <c r="AQ50" i="5"/>
  <c r="AS49" i="5"/>
  <c r="AQ49" i="5"/>
  <c r="AS48" i="5"/>
  <c r="AQ48" i="5"/>
  <c r="AS152" i="5"/>
  <c r="AQ152" i="5"/>
  <c r="AS43" i="5"/>
  <c r="AQ43" i="5"/>
  <c r="AS42" i="5"/>
  <c r="AQ42" i="5"/>
  <c r="AS41" i="5"/>
  <c r="AQ41" i="5"/>
  <c r="AS245" i="5"/>
  <c r="AQ245" i="5"/>
  <c r="AS244" i="5"/>
  <c r="AQ244" i="5"/>
  <c r="AS243" i="5"/>
  <c r="AQ243" i="5"/>
  <c r="AS240" i="5"/>
  <c r="AQ240" i="5"/>
  <c r="AS225" i="5"/>
  <c r="AQ225" i="5"/>
  <c r="AQ186" i="5"/>
  <c r="AQ154" i="5"/>
  <c r="AS119" i="5"/>
  <c r="AQ119" i="5"/>
  <c r="AS118" i="5"/>
  <c r="AQ118" i="5"/>
  <c r="AS61" i="5"/>
  <c r="AQ61" i="5"/>
  <c r="AS60" i="5"/>
  <c r="AQ60" i="5"/>
  <c r="AS47" i="5"/>
  <c r="AQ47" i="5"/>
  <c r="AS45" i="5"/>
  <c r="AQ45" i="5"/>
  <c r="AS40" i="5"/>
  <c r="AQ40" i="5"/>
  <c r="AS39" i="5"/>
  <c r="AQ39" i="5"/>
  <c r="AS38" i="5"/>
  <c r="AQ38" i="5"/>
  <c r="AS37" i="5"/>
  <c r="AQ37" i="5"/>
  <c r="AS36" i="5"/>
  <c r="AQ36" i="5"/>
  <c r="AQ387" i="5"/>
  <c r="AP387" i="5"/>
  <c r="AQ407" i="5"/>
  <c r="AP407" i="5"/>
  <c r="AQ402" i="5"/>
  <c r="AP402" i="5"/>
  <c r="AQ401" i="5"/>
  <c r="AP401" i="5"/>
  <c r="AQ400" i="5"/>
  <c r="AP400" i="5"/>
  <c r="AQ397" i="5"/>
  <c r="AP397" i="5"/>
  <c r="AQ396" i="5"/>
  <c r="AP396" i="5"/>
  <c r="AQ394" i="5"/>
  <c r="AP394" i="5"/>
  <c r="AQ393" i="5"/>
  <c r="AP393" i="5"/>
  <c r="AQ392" i="5"/>
  <c r="AP392" i="5"/>
  <c r="AQ390" i="5"/>
  <c r="AP390" i="5"/>
  <c r="AQ389" i="5"/>
  <c r="AP389" i="5"/>
  <c r="AQ386" i="5"/>
  <c r="AP386" i="5"/>
  <c r="AQ391" i="5"/>
  <c r="AP391" i="5"/>
  <c r="AQ385" i="5"/>
  <c r="AP385" i="5"/>
  <c r="AQ406" i="5"/>
  <c r="AP406" i="5"/>
  <c r="AQ405" i="5"/>
  <c r="AP405" i="5"/>
  <c r="AQ404" i="5"/>
  <c r="AP404" i="5"/>
  <c r="AQ403" i="5"/>
  <c r="AP403" i="5"/>
  <c r="AQ395" i="5"/>
  <c r="AP395" i="5"/>
  <c r="AQ388" i="5"/>
  <c r="AP388" i="5"/>
  <c r="AQ371" i="5"/>
  <c r="AQ328" i="5"/>
  <c r="AS147" i="5"/>
  <c r="AQ147" i="5"/>
  <c r="AS127" i="5"/>
  <c r="AS25" i="5"/>
  <c r="AS15" i="5"/>
  <c r="AS248" i="5"/>
  <c r="AQ248" i="5"/>
  <c r="AS289" i="5"/>
  <c r="AQ289" i="5"/>
  <c r="AS291" i="5"/>
  <c r="AQ291" i="5"/>
  <c r="AS19" i="5"/>
  <c r="AQ19" i="5"/>
  <c r="AS14" i="5"/>
  <c r="AS115" i="5"/>
  <c r="AQ115" i="5"/>
  <c r="AS137" i="5"/>
  <c r="AS75" i="5"/>
  <c r="AS193" i="5"/>
  <c r="AQ193" i="5"/>
  <c r="AS192" i="5"/>
  <c r="AQ192" i="5"/>
  <c r="AS187" i="5"/>
  <c r="AQ187" i="5"/>
  <c r="AS112" i="5"/>
  <c r="AQ112" i="5"/>
  <c r="AS135" i="5"/>
  <c r="AQ135" i="5"/>
  <c r="AQ4" i="5"/>
  <c r="AQ151" i="5"/>
  <c r="AQ149" i="5"/>
  <c r="AQ276" i="5"/>
  <c r="AS148" i="5"/>
  <c r="AQ134" i="5"/>
  <c r="AS122" i="5"/>
  <c r="AQ122" i="5"/>
  <c r="AS95" i="5"/>
  <c r="AQ95" i="5"/>
  <c r="AS65" i="5"/>
  <c r="AQ65" i="5"/>
  <c r="AS64" i="5"/>
  <c r="AQ64" i="5"/>
  <c r="AS63" i="5"/>
  <c r="AQ63" i="5"/>
  <c r="AS11" i="5"/>
  <c r="AQ11" i="5"/>
  <c r="AS10" i="5"/>
  <c r="AQ10" i="5"/>
  <c r="AS77" i="5"/>
  <c r="AQ52" i="5"/>
  <c r="AS128" i="5"/>
  <c r="AS125" i="5"/>
  <c r="AQ125" i="5"/>
  <c r="AS267" i="5"/>
  <c r="AS273" i="5"/>
  <c r="AQ273" i="5"/>
  <c r="AQ272" i="5"/>
  <c r="AS242" i="5"/>
  <c r="AQ242" i="5"/>
  <c r="AS28" i="5"/>
  <c r="AQ28" i="5"/>
  <c r="AS189" i="5"/>
  <c r="AQ189" i="5"/>
  <c r="AS188" i="5"/>
  <c r="AQ188" i="5"/>
  <c r="AS160" i="5"/>
  <c r="AQ160" i="5"/>
  <c r="AS275" i="5"/>
  <c r="AQ275" i="5"/>
  <c r="AS96" i="5"/>
  <c r="AQ96" i="5"/>
  <c r="AS94" i="5"/>
  <c r="AQ94" i="5"/>
  <c r="AS247" i="5"/>
  <c r="AQ247" i="5"/>
  <c r="AS238" i="5"/>
  <c r="AS221" i="5"/>
  <c r="AQ221" i="5"/>
  <c r="AS168" i="5"/>
  <c r="AQ168" i="5"/>
  <c r="AS107" i="5"/>
  <c r="AQ107" i="5"/>
  <c r="AQ59" i="5"/>
  <c r="AQ252" i="5"/>
  <c r="AS116" i="5"/>
  <c r="AQ116" i="5"/>
  <c r="AS156" i="5"/>
  <c r="AS130" i="5"/>
  <c r="AS86" i="5"/>
  <c r="AS138" i="5"/>
  <c r="AS110" i="5"/>
  <c r="AQ110" i="5"/>
  <c r="AT30" i="5"/>
  <c r="AV30" i="5"/>
  <c r="AT59" i="5"/>
  <c r="AV59" i="5"/>
  <c r="AT31" i="5"/>
  <c r="AV31" i="5"/>
  <c r="AT231" i="5"/>
  <c r="AV231" i="5"/>
  <c r="AT174" i="5"/>
  <c r="AV174" i="5"/>
  <c r="AT127" i="5"/>
  <c r="AV127" i="5"/>
  <c r="AT147" i="5"/>
  <c r="AV147" i="5"/>
  <c r="AT186" i="5"/>
  <c r="AV186" i="5"/>
  <c r="AT173" i="5"/>
  <c r="AV173" i="5"/>
  <c r="AT29" i="5"/>
  <c r="AV29" i="5"/>
  <c r="AT32" i="5"/>
  <c r="AV32" i="5"/>
  <c r="AL26" i="2"/>
  <c r="BE54" i="2"/>
  <c r="BE55" i="2"/>
  <c r="BE56" i="2"/>
  <c r="BE66" i="2"/>
  <c r="BF54" i="2"/>
  <c r="BF55" i="2"/>
  <c r="BF56" i="2"/>
  <c r="BF66" i="2"/>
  <c r="AW32" i="5"/>
  <c r="AW29" i="5"/>
  <c r="AW173" i="5"/>
  <c r="AW186" i="5"/>
  <c r="AW147" i="5"/>
  <c r="AW127" i="5"/>
  <c r="AW174" i="5"/>
  <c r="AW231" i="5"/>
  <c r="AW31" i="5"/>
  <c r="AW59" i="5"/>
  <c r="AW30" i="5"/>
  <c r="AX30" i="5"/>
  <c r="AX59" i="5"/>
  <c r="AX31" i="5"/>
  <c r="AX231" i="5"/>
  <c r="AX174" i="5"/>
  <c r="AX127" i="5"/>
  <c r="AX147" i="5"/>
  <c r="AX186" i="5"/>
  <c r="AX173" i="5"/>
  <c r="AX29" i="5"/>
  <c r="AX32" i="5"/>
  <c r="AZ32" i="5"/>
  <c r="AZ29" i="5"/>
  <c r="AZ173" i="5"/>
  <c r="AZ186" i="5"/>
  <c r="AZ147" i="5"/>
  <c r="AZ127" i="5"/>
  <c r="AZ174" i="5"/>
  <c r="AZ231" i="5"/>
  <c r="AZ31" i="5"/>
  <c r="AZ59" i="5"/>
  <c r="AZ30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6" i="4"/>
  <c r="AI282" i="4"/>
  <c r="AI291" i="4"/>
  <c r="AI48" i="4"/>
  <c r="AI294" i="4"/>
  <c r="AI257" i="4"/>
  <c r="AI256" i="4"/>
  <c r="AI230" i="4"/>
  <c r="AI229" i="4"/>
  <c r="AI289" i="4"/>
  <c r="AI228" i="4"/>
  <c r="AI25" i="4"/>
  <c r="AI7" i="4"/>
  <c r="AI278" i="4"/>
  <c r="AI277" i="4"/>
  <c r="AI194" i="4"/>
  <c r="AI251" i="4"/>
  <c r="AI212" i="4"/>
  <c r="AI73" i="4"/>
  <c r="AI250" i="4"/>
  <c r="AI248" i="4"/>
  <c r="AI293" i="4"/>
  <c r="AI189" i="4"/>
  <c r="AI245" i="4"/>
  <c r="AI284" i="4"/>
  <c r="AI109" i="4"/>
  <c r="AI17" i="4"/>
  <c r="AI288" i="4"/>
  <c r="AI221" i="4"/>
  <c r="AI220" i="4"/>
  <c r="AI210" i="4"/>
  <c r="AI271" i="4"/>
  <c r="AI270" i="4"/>
  <c r="AI269" i="4"/>
  <c r="AI188" i="4"/>
  <c r="AI281" i="4"/>
  <c r="AI280" i="4"/>
  <c r="AI196" i="4"/>
  <c r="AI131" i="4"/>
  <c r="AI26" i="4"/>
  <c r="AI113" i="4"/>
  <c r="AI82" i="4"/>
  <c r="AI77" i="4"/>
  <c r="AI276" i="4"/>
  <c r="AI222" i="4"/>
  <c r="AI192" i="4"/>
  <c r="AI249" i="4"/>
  <c r="AI121" i="4"/>
  <c r="AI187" i="4"/>
  <c r="AI236" i="4"/>
  <c r="AI235" i="4"/>
  <c r="AI219" i="4"/>
  <c r="AI234" i="4"/>
  <c r="AI233" i="4"/>
  <c r="AI262" i="4"/>
  <c r="AI261" i="4"/>
  <c r="AI156" i="4"/>
  <c r="AI108" i="4"/>
  <c r="AI151" i="4"/>
  <c r="AI268" i="4"/>
  <c r="AI267" i="4"/>
  <c r="AI246" i="4"/>
  <c r="AI244" i="4"/>
  <c r="AI266" i="4"/>
  <c r="AI243" i="4"/>
  <c r="AI265" i="4"/>
  <c r="AI242" i="4"/>
  <c r="AI241" i="4"/>
  <c r="AI240" i="4"/>
  <c r="AI239" i="4"/>
  <c r="AI238" i="4"/>
  <c r="AI264" i="4"/>
  <c r="AI237" i="4"/>
  <c r="AI263" i="4"/>
  <c r="AI232" i="4"/>
  <c r="AI285" i="4"/>
  <c r="AI283" i="4"/>
  <c r="AI231" i="4"/>
  <c r="AI181" i="4"/>
  <c r="AI260" i="4"/>
  <c r="AI259" i="4"/>
  <c r="AI258" i="4"/>
  <c r="AI253" i="4"/>
  <c r="AI214" i="4"/>
  <c r="AI223" i="4"/>
  <c r="AI247" i="4"/>
  <c r="AI292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5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79" i="4"/>
  <c r="AI254" i="4"/>
  <c r="AI252" i="4"/>
  <c r="AI10" i="4"/>
  <c r="AI204" i="4"/>
  <c r="AI129" i="4"/>
  <c r="AI286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7" i="4"/>
  <c r="AI213" i="4"/>
  <c r="AI155" i="4"/>
  <c r="AI122" i="4"/>
  <c r="AI153" i="4"/>
  <c r="AI274" i="4"/>
  <c r="AI273" i="4"/>
  <c r="AI101" i="4"/>
  <c r="AI183" i="4"/>
  <c r="AI99" i="4"/>
  <c r="AI145" i="4"/>
  <c r="AI144" i="4"/>
  <c r="AI140" i="4"/>
  <c r="AI134" i="4"/>
  <c r="AI111" i="4"/>
  <c r="AI215" i="4"/>
  <c r="AI275" i="4"/>
  <c r="AI190" i="4"/>
  <c r="AI124" i="4"/>
  <c r="AI123" i="4"/>
  <c r="AI84" i="4"/>
  <c r="AI79" i="4"/>
  <c r="AI76" i="4"/>
  <c r="AI71" i="4"/>
  <c r="AI147" i="4"/>
  <c r="AI119" i="4"/>
  <c r="AI146" i="4"/>
  <c r="AI100" i="4"/>
  <c r="AI290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67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2" i="4"/>
  <c r="AI203" i="4"/>
  <c r="AI63" i="4"/>
  <c r="AI40" i="4"/>
  <c r="AI39" i="4"/>
  <c r="AI38" i="4"/>
  <c r="AI62" i="4"/>
  <c r="AI61" i="4"/>
  <c r="AI30" i="4"/>
  <c r="AM23" i="2"/>
  <c r="AZ397" i="5"/>
  <c r="AZ407" i="5"/>
  <c r="AZ406" i="5"/>
  <c r="AZ405" i="5"/>
  <c r="AZ404" i="5"/>
  <c r="AZ403" i="5"/>
  <c r="AZ402" i="5"/>
  <c r="AZ401" i="5"/>
  <c r="AZ400" i="5"/>
  <c r="AZ399" i="5"/>
  <c r="AZ398" i="5"/>
  <c r="AZ396" i="5"/>
  <c r="AZ395" i="5"/>
  <c r="AZ394" i="5"/>
  <c r="AZ393" i="5"/>
  <c r="AZ392" i="5"/>
  <c r="AZ391" i="5"/>
  <c r="AZ390" i="5"/>
  <c r="AZ389" i="5"/>
  <c r="AZ388" i="5"/>
  <c r="AZ387" i="5"/>
  <c r="AZ384" i="5"/>
  <c r="AZ383" i="5"/>
  <c r="AZ385" i="5"/>
  <c r="AZ386" i="5"/>
  <c r="AZ56" i="5"/>
  <c r="AY56" i="5"/>
  <c r="AX56" i="5"/>
  <c r="AZ55" i="5"/>
  <c r="AY55" i="5"/>
  <c r="AX55" i="5"/>
  <c r="AZ58" i="5"/>
  <c r="AY58" i="5"/>
  <c r="AX58" i="5"/>
  <c r="AZ159" i="5"/>
  <c r="AY159" i="5"/>
  <c r="AX159" i="5"/>
  <c r="AZ113" i="5"/>
  <c r="AY113" i="5"/>
  <c r="AX113" i="5"/>
  <c r="AZ57" i="5"/>
  <c r="AY57" i="5"/>
  <c r="AX57" i="5"/>
  <c r="AZ95" i="5"/>
  <c r="AY95" i="5"/>
  <c r="AX95" i="5"/>
  <c r="AZ54" i="5"/>
  <c r="AY54" i="5"/>
  <c r="AX54" i="5"/>
  <c r="AZ64" i="5"/>
  <c r="AY64" i="5"/>
  <c r="AX64" i="5"/>
  <c r="AZ251" i="5"/>
  <c r="AY251" i="5"/>
  <c r="AX251" i="5"/>
  <c r="AZ63" i="5"/>
  <c r="AY63" i="5"/>
  <c r="AX63" i="5"/>
  <c r="AZ53" i="5"/>
  <c r="AY53" i="5"/>
  <c r="AX53" i="5"/>
  <c r="AZ65" i="5"/>
  <c r="AY65" i="5"/>
  <c r="AX65" i="5"/>
  <c r="AZ288" i="5"/>
  <c r="AY288" i="5"/>
  <c r="AX288" i="5"/>
  <c r="AZ253" i="5"/>
  <c r="AY253" i="5"/>
  <c r="AX253" i="5"/>
  <c r="AZ36" i="5"/>
  <c r="AY36" i="5"/>
  <c r="AX36" i="5"/>
  <c r="AZ260" i="5"/>
  <c r="AY260" i="5"/>
  <c r="AX260" i="5"/>
  <c r="AZ276" i="5"/>
  <c r="AY276" i="5"/>
  <c r="AX276" i="5"/>
  <c r="AZ254" i="5"/>
  <c r="AY254" i="5"/>
  <c r="AX254" i="5"/>
  <c r="AZ268" i="5"/>
  <c r="AY268" i="5"/>
  <c r="AX268" i="5"/>
  <c r="AZ111" i="5"/>
  <c r="AY111" i="5"/>
  <c r="AX111" i="5"/>
  <c r="AZ40" i="5"/>
  <c r="AY40" i="5"/>
  <c r="AX40" i="5"/>
  <c r="AZ39" i="5"/>
  <c r="AY39" i="5"/>
  <c r="AX39" i="5"/>
  <c r="AZ78" i="5"/>
  <c r="AY78" i="5"/>
  <c r="AX78" i="5"/>
  <c r="AZ37" i="5"/>
  <c r="AY37" i="5"/>
  <c r="AX37" i="5"/>
  <c r="AZ252" i="5"/>
  <c r="AY252" i="5"/>
  <c r="AX252" i="5"/>
  <c r="AZ42" i="5"/>
  <c r="AY42" i="5"/>
  <c r="AX42" i="5"/>
  <c r="AZ38" i="5"/>
  <c r="AY38" i="5"/>
  <c r="AX38" i="5"/>
  <c r="AZ66" i="5"/>
  <c r="AY66" i="5"/>
  <c r="AX66" i="5"/>
  <c r="AZ151" i="5"/>
  <c r="AY151" i="5"/>
  <c r="AX151" i="5"/>
  <c r="AZ221" i="5"/>
  <c r="AY221" i="5"/>
  <c r="AX221" i="5"/>
  <c r="AZ4" i="5"/>
  <c r="AY4" i="5"/>
  <c r="AX4" i="5"/>
  <c r="AZ196" i="5"/>
  <c r="AY196" i="5"/>
  <c r="AX196" i="5"/>
  <c r="AZ62" i="5"/>
  <c r="AY62" i="5"/>
  <c r="AX62" i="5"/>
  <c r="AZ43" i="5"/>
  <c r="AY43" i="5"/>
  <c r="AX43" i="5"/>
  <c r="AZ224" i="5"/>
  <c r="AY224" i="5"/>
  <c r="AX224" i="5"/>
  <c r="AZ120" i="5"/>
  <c r="AY120" i="5"/>
  <c r="AX120" i="5"/>
  <c r="AZ61" i="5"/>
  <c r="AY61" i="5"/>
  <c r="AX61" i="5"/>
  <c r="AZ69" i="5"/>
  <c r="AY69" i="5"/>
  <c r="AX69" i="5"/>
  <c r="AZ60" i="5"/>
  <c r="AY60" i="5"/>
  <c r="AX60" i="5"/>
  <c r="AZ47" i="5"/>
  <c r="AY47" i="5"/>
  <c r="AX47" i="5"/>
  <c r="AZ35" i="5"/>
  <c r="AY35" i="5"/>
  <c r="AX35" i="5"/>
  <c r="AZ6" i="5"/>
  <c r="AY6" i="5"/>
  <c r="AX6" i="5"/>
  <c r="AZ41" i="5"/>
  <c r="AY41" i="5"/>
  <c r="AX41" i="5"/>
  <c r="AZ7" i="5"/>
  <c r="AY7" i="5"/>
  <c r="AX7" i="5"/>
  <c r="AZ45" i="5"/>
  <c r="AY45" i="5"/>
  <c r="AX45" i="5"/>
  <c r="AZ67" i="5"/>
  <c r="AY67" i="5"/>
  <c r="AX67" i="5"/>
  <c r="AZ119" i="5"/>
  <c r="AY119" i="5"/>
  <c r="AX119" i="5"/>
  <c r="AZ34" i="5"/>
  <c r="AY34" i="5"/>
  <c r="AX34" i="5"/>
  <c r="AZ246" i="5"/>
  <c r="AY246" i="5"/>
  <c r="AX246" i="5"/>
  <c r="AZ46" i="5"/>
  <c r="AY46" i="5"/>
  <c r="AX46" i="5"/>
  <c r="AZ291" i="5"/>
  <c r="AY291" i="5"/>
  <c r="AX291" i="5"/>
  <c r="AZ94" i="5"/>
  <c r="AY94" i="5"/>
  <c r="AX94" i="5"/>
  <c r="AZ103" i="5"/>
  <c r="AY103" i="5"/>
  <c r="AX103" i="5"/>
  <c r="AZ148" i="5"/>
  <c r="AY148" i="5"/>
  <c r="AX148" i="5"/>
  <c r="AZ195" i="5"/>
  <c r="AY195" i="5"/>
  <c r="AX195" i="5"/>
  <c r="AY68" i="5"/>
  <c r="AX68" i="5"/>
  <c r="AZ149" i="5"/>
  <c r="AY149" i="5"/>
  <c r="AX149" i="5"/>
  <c r="AZ273" i="5"/>
  <c r="AY273" i="5"/>
  <c r="AX273" i="5"/>
  <c r="AZ88" i="5"/>
  <c r="AY88" i="5"/>
  <c r="AX88" i="5"/>
  <c r="AZ118" i="5"/>
  <c r="AY118" i="5"/>
  <c r="AX118" i="5"/>
  <c r="AZ96" i="5"/>
  <c r="AY96" i="5"/>
  <c r="AX96" i="5"/>
  <c r="AZ248" i="5"/>
  <c r="AY248" i="5"/>
  <c r="AX248" i="5"/>
  <c r="AZ222" i="5"/>
  <c r="AY222" i="5"/>
  <c r="AX222" i="5"/>
  <c r="AZ194" i="5"/>
  <c r="AY194" i="5"/>
  <c r="AX194" i="5"/>
  <c r="AZ192" i="5"/>
  <c r="AY192" i="5"/>
  <c r="AX192" i="5"/>
  <c r="AZ275" i="5"/>
  <c r="AY275" i="5"/>
  <c r="AX275" i="5"/>
  <c r="AZ294" i="5"/>
  <c r="AY294" i="5"/>
  <c r="AX294" i="5"/>
  <c r="AZ219" i="5"/>
  <c r="AY219" i="5"/>
  <c r="AX219" i="5"/>
  <c r="AZ5" i="5"/>
  <c r="AY5" i="5"/>
  <c r="AX5" i="5"/>
  <c r="AZ142" i="5"/>
  <c r="AY142" i="5"/>
  <c r="AX142" i="5"/>
  <c r="AZ44" i="5"/>
  <c r="AY44" i="5"/>
  <c r="AX44" i="5"/>
  <c r="AZ274" i="5"/>
  <c r="AY274" i="5"/>
  <c r="AX274" i="5"/>
  <c r="AZ145" i="5"/>
  <c r="AY145" i="5"/>
  <c r="AX145" i="5"/>
  <c r="AZ134" i="5"/>
  <c r="AY134" i="5"/>
  <c r="AX134" i="5"/>
  <c r="AZ269" i="5"/>
  <c r="AY269" i="5"/>
  <c r="AX269" i="5"/>
  <c r="AZ132" i="5"/>
  <c r="AY132" i="5"/>
  <c r="AX132" i="5"/>
  <c r="AY32" i="5"/>
  <c r="AZ271" i="5"/>
  <c r="AY271" i="5"/>
  <c r="AX271" i="5"/>
  <c r="AZ116" i="5"/>
  <c r="AY116" i="5"/>
  <c r="AX116" i="5"/>
  <c r="AZ226" i="5"/>
  <c r="AY226" i="5"/>
  <c r="AX226" i="5"/>
  <c r="AZ161" i="5"/>
  <c r="AY161" i="5"/>
  <c r="AX161" i="5"/>
  <c r="AZ272" i="5"/>
  <c r="AY272" i="5"/>
  <c r="AX272" i="5"/>
  <c r="AZ229" i="5"/>
  <c r="AY229" i="5"/>
  <c r="AX229" i="5"/>
  <c r="AZ205" i="5"/>
  <c r="AY205" i="5"/>
  <c r="AX205" i="5"/>
  <c r="AZ198" i="5"/>
  <c r="AY198" i="5"/>
  <c r="AX198" i="5"/>
  <c r="AZ239" i="5"/>
  <c r="AY239" i="5"/>
  <c r="AX239" i="5"/>
  <c r="AZ152" i="5"/>
  <c r="AY152" i="5"/>
  <c r="AX152" i="5"/>
  <c r="AZ114" i="5"/>
  <c r="AY114" i="5"/>
  <c r="AX114" i="5"/>
  <c r="AZ245" i="5"/>
  <c r="AY245" i="5"/>
  <c r="AX245" i="5"/>
  <c r="AZ244" i="5"/>
  <c r="AY244" i="5"/>
  <c r="AX244" i="5"/>
  <c r="AZ243" i="5"/>
  <c r="AY243" i="5"/>
  <c r="AX243" i="5"/>
  <c r="AY29" i="5"/>
  <c r="AY173" i="5"/>
  <c r="AZ122" i="5"/>
  <c r="AY122" i="5"/>
  <c r="AX122" i="5"/>
  <c r="AZ2" i="5"/>
  <c r="AY2" i="5"/>
  <c r="AX2" i="5"/>
  <c r="AY186" i="5"/>
  <c r="AY147" i="5"/>
  <c r="AY127" i="5"/>
  <c r="AZ89" i="5"/>
  <c r="AY89" i="5"/>
  <c r="AX89" i="5"/>
  <c r="AZ241" i="5"/>
  <c r="AY241" i="5"/>
  <c r="AX241" i="5"/>
  <c r="AZ284" i="5"/>
  <c r="AY284" i="5"/>
  <c r="AX284" i="5"/>
  <c r="AZ177" i="5"/>
  <c r="AY177" i="5"/>
  <c r="AX177" i="5"/>
  <c r="AY174" i="5"/>
  <c r="AZ283" i="5"/>
  <c r="AY283" i="5"/>
  <c r="AX283" i="5"/>
  <c r="AZ191" i="5"/>
  <c r="AY191" i="5"/>
  <c r="AX191" i="5"/>
  <c r="AZ155" i="5"/>
  <c r="AY155" i="5"/>
  <c r="AX155" i="5"/>
  <c r="AZ135" i="5"/>
  <c r="AY135" i="5"/>
  <c r="AX135" i="5"/>
  <c r="AZ125" i="5"/>
  <c r="AY125" i="5"/>
  <c r="AX125" i="5"/>
  <c r="AZ124" i="5"/>
  <c r="AY124" i="5"/>
  <c r="AX124" i="5"/>
  <c r="AZ266" i="5"/>
  <c r="AY266" i="5"/>
  <c r="AX266" i="5"/>
  <c r="AZ74" i="5"/>
  <c r="AY74" i="5"/>
  <c r="AX74" i="5"/>
  <c r="AZ72" i="5"/>
  <c r="AY72" i="5"/>
  <c r="AX72" i="5"/>
  <c r="AZ8" i="5"/>
  <c r="AY8" i="5"/>
  <c r="AX8" i="5"/>
  <c r="AZ255" i="5"/>
  <c r="AY255" i="5"/>
  <c r="AX255" i="5"/>
  <c r="AZ209" i="5"/>
  <c r="AY209" i="5"/>
  <c r="AX209" i="5"/>
  <c r="AZ279" i="5"/>
  <c r="AY279" i="5"/>
  <c r="AX279" i="5"/>
  <c r="AZ18" i="5"/>
  <c r="AY18" i="5"/>
  <c r="AX18" i="5"/>
  <c r="AZ17" i="5"/>
  <c r="AY17" i="5"/>
  <c r="AX17" i="5"/>
  <c r="AZ16" i="5"/>
  <c r="AY16" i="5"/>
  <c r="AX16" i="5"/>
  <c r="AZ277" i="5"/>
  <c r="AY277" i="5"/>
  <c r="AX277" i="5"/>
  <c r="AZ3" i="5"/>
  <c r="AY3" i="5"/>
  <c r="AX3" i="5"/>
  <c r="AZ13" i="5"/>
  <c r="AY13" i="5"/>
  <c r="AX13" i="5"/>
  <c r="AZ71" i="5"/>
  <c r="AY71" i="5"/>
  <c r="AX71" i="5"/>
  <c r="AZ234" i="5"/>
  <c r="AY234" i="5"/>
  <c r="AX234" i="5"/>
  <c r="AZ293" i="5"/>
  <c r="AY293" i="5"/>
  <c r="AX293" i="5"/>
  <c r="AZ292" i="5"/>
  <c r="AY292" i="5"/>
  <c r="AX292" i="5"/>
  <c r="AZ289" i="5"/>
  <c r="AY289" i="5"/>
  <c r="AX289" i="5"/>
  <c r="AZ285" i="5"/>
  <c r="AY285" i="5"/>
  <c r="AX285" i="5"/>
  <c r="AZ193" i="5"/>
  <c r="AY193" i="5"/>
  <c r="AX193" i="5"/>
  <c r="AZ280" i="5"/>
  <c r="AY280" i="5"/>
  <c r="AX280" i="5"/>
  <c r="AZ278" i="5"/>
  <c r="AY278" i="5"/>
  <c r="AX278" i="5"/>
  <c r="AZ188" i="5"/>
  <c r="AY188" i="5"/>
  <c r="AX188" i="5"/>
  <c r="AZ170" i="5"/>
  <c r="AY170" i="5"/>
  <c r="AX170" i="5"/>
  <c r="AZ154" i="5"/>
  <c r="AY154" i="5"/>
  <c r="AX154" i="5"/>
  <c r="AZ140" i="5"/>
  <c r="AY140" i="5"/>
  <c r="AX140" i="5"/>
  <c r="AZ128" i="5"/>
  <c r="AY128" i="5"/>
  <c r="AX128" i="5"/>
  <c r="AZ110" i="5"/>
  <c r="AY110" i="5"/>
  <c r="AX110" i="5"/>
  <c r="AZ97" i="5"/>
  <c r="AY97" i="5"/>
  <c r="AX97" i="5"/>
  <c r="AZ86" i="5"/>
  <c r="AY86" i="5"/>
  <c r="AX86" i="5"/>
  <c r="AZ73" i="5"/>
  <c r="AY73" i="5"/>
  <c r="AX73" i="5"/>
  <c r="AZ237" i="5"/>
  <c r="AY237" i="5"/>
  <c r="AX237" i="5"/>
  <c r="AZ26" i="5"/>
  <c r="AY26" i="5"/>
  <c r="AX26" i="5"/>
  <c r="AZ25" i="5"/>
  <c r="AY25" i="5"/>
  <c r="AX25" i="5"/>
  <c r="AZ210" i="5"/>
  <c r="AY210" i="5"/>
  <c r="AX210" i="5"/>
  <c r="AZ19" i="5"/>
  <c r="AY19" i="5"/>
  <c r="AX19" i="5"/>
  <c r="AZ290" i="5"/>
  <c r="AY290" i="5"/>
  <c r="AX290" i="5"/>
  <c r="AZ287" i="5"/>
  <c r="AY287" i="5"/>
  <c r="AX287" i="5"/>
  <c r="AZ189" i="5"/>
  <c r="AY189" i="5"/>
  <c r="AX189" i="5"/>
  <c r="AZ187" i="5"/>
  <c r="AY187" i="5"/>
  <c r="AX187" i="5"/>
  <c r="AZ167" i="5"/>
  <c r="AY167" i="5"/>
  <c r="AX167" i="5"/>
  <c r="AZ165" i="5"/>
  <c r="AY165" i="5"/>
  <c r="AX165" i="5"/>
  <c r="AZ150" i="5"/>
  <c r="AY150" i="5"/>
  <c r="AX150" i="5"/>
  <c r="AZ146" i="5"/>
  <c r="AY146" i="5"/>
  <c r="AX146" i="5"/>
  <c r="AZ139" i="5"/>
  <c r="AY139" i="5"/>
  <c r="AX139" i="5"/>
  <c r="AZ136" i="5"/>
  <c r="AY136" i="5"/>
  <c r="AX136" i="5"/>
  <c r="AZ131" i="5"/>
  <c r="AY131" i="5"/>
  <c r="AX131" i="5"/>
  <c r="AZ130" i="5"/>
  <c r="AY130" i="5"/>
  <c r="AX130" i="5"/>
  <c r="AZ15" i="5"/>
  <c r="AY15" i="5"/>
  <c r="AX15" i="5"/>
  <c r="AZ112" i="5"/>
  <c r="AY112" i="5"/>
  <c r="AX112" i="5"/>
  <c r="AZ98" i="5"/>
  <c r="AY98" i="5"/>
  <c r="AX98" i="5"/>
  <c r="AZ9" i="5"/>
  <c r="AY9" i="5"/>
  <c r="AX9" i="5"/>
  <c r="AZ70" i="5"/>
  <c r="AY70" i="5"/>
  <c r="AX70" i="5"/>
  <c r="AY231" i="5"/>
  <c r="AY31" i="5"/>
  <c r="AZ215" i="5"/>
  <c r="AY215" i="5"/>
  <c r="AX215" i="5"/>
  <c r="AZ214" i="5"/>
  <c r="AY214" i="5"/>
  <c r="AX214" i="5"/>
  <c r="AZ213" i="5"/>
  <c r="AY213" i="5"/>
  <c r="AX213" i="5"/>
  <c r="AZ211" i="5"/>
  <c r="AY211" i="5"/>
  <c r="AX211" i="5"/>
  <c r="AZ156" i="5"/>
  <c r="AY156" i="5"/>
  <c r="AX156" i="5"/>
  <c r="AZ141" i="5"/>
  <c r="AY141" i="5"/>
  <c r="AX141" i="5"/>
  <c r="AZ109" i="5"/>
  <c r="AY109" i="5"/>
  <c r="AX109" i="5"/>
  <c r="AZ99" i="5"/>
  <c r="AY99" i="5"/>
  <c r="AX99" i="5"/>
  <c r="AZ93" i="5"/>
  <c r="AY93" i="5"/>
  <c r="AX93" i="5"/>
  <c r="AZ85" i="5"/>
  <c r="AY85" i="5"/>
  <c r="AX85" i="5"/>
  <c r="AZ83" i="5"/>
  <c r="AY83" i="5"/>
  <c r="AX83" i="5"/>
  <c r="AZ80" i="5"/>
  <c r="AY80" i="5"/>
  <c r="AX80" i="5"/>
  <c r="AZ249" i="5"/>
  <c r="AY249" i="5"/>
  <c r="AX249" i="5"/>
  <c r="AZ242" i="5"/>
  <c r="AY242" i="5"/>
  <c r="AX242" i="5"/>
  <c r="AZ240" i="5"/>
  <c r="AY240" i="5"/>
  <c r="AX240" i="5"/>
  <c r="AZ235" i="5"/>
  <c r="AY235" i="5"/>
  <c r="AX235" i="5"/>
  <c r="AZ233" i="5"/>
  <c r="AY233" i="5"/>
  <c r="AX233" i="5"/>
  <c r="AZ232" i="5"/>
  <c r="AY232" i="5"/>
  <c r="AX232" i="5"/>
  <c r="AZ228" i="5"/>
  <c r="AY228" i="5"/>
  <c r="AX228" i="5"/>
  <c r="AZ227" i="5"/>
  <c r="AY227" i="5"/>
  <c r="AX227" i="5"/>
  <c r="AZ216" i="5"/>
  <c r="AY216" i="5"/>
  <c r="AX216" i="5"/>
  <c r="AZ212" i="5"/>
  <c r="AY212" i="5"/>
  <c r="AX212" i="5"/>
  <c r="AZ208" i="5"/>
  <c r="AY208" i="5"/>
  <c r="AX208" i="5"/>
  <c r="AZ207" i="5"/>
  <c r="AY207" i="5"/>
  <c r="AX207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200" i="5"/>
  <c r="AY200" i="5"/>
  <c r="AX200" i="5"/>
  <c r="AZ199" i="5"/>
  <c r="AY199" i="5"/>
  <c r="AX199" i="5"/>
  <c r="AZ197" i="5"/>
  <c r="AY197" i="5"/>
  <c r="AX197" i="5"/>
  <c r="AZ286" i="5"/>
  <c r="AY286" i="5"/>
  <c r="AX286" i="5"/>
  <c r="AZ282" i="5"/>
  <c r="AY282" i="5"/>
  <c r="AX282" i="5"/>
  <c r="AZ281" i="5"/>
  <c r="AY281" i="5"/>
  <c r="AX281" i="5"/>
  <c r="AZ190" i="5"/>
  <c r="AY190" i="5"/>
  <c r="AX190" i="5"/>
  <c r="AZ176" i="5"/>
  <c r="AY176" i="5"/>
  <c r="AX176" i="5"/>
  <c r="AZ166" i="5"/>
  <c r="AY166" i="5"/>
  <c r="AX166" i="5"/>
  <c r="AZ160" i="5"/>
  <c r="AY160" i="5"/>
  <c r="AX160" i="5"/>
  <c r="AZ158" i="5"/>
  <c r="AY158" i="5"/>
  <c r="AX158" i="5"/>
  <c r="AZ157" i="5"/>
  <c r="AY157" i="5"/>
  <c r="AX157" i="5"/>
  <c r="AZ153" i="5"/>
  <c r="AY153" i="5"/>
  <c r="AX153" i="5"/>
  <c r="AZ143" i="5"/>
  <c r="AY143" i="5"/>
  <c r="AX143" i="5"/>
  <c r="AZ129" i="5"/>
  <c r="AY129" i="5"/>
  <c r="AX129" i="5"/>
  <c r="AZ265" i="5"/>
  <c r="AY265" i="5"/>
  <c r="AX265" i="5"/>
  <c r="AZ106" i="5"/>
  <c r="AY106" i="5"/>
  <c r="AX106" i="5"/>
  <c r="AZ105" i="5"/>
  <c r="AY105" i="5"/>
  <c r="AX105" i="5"/>
  <c r="AZ104" i="5"/>
  <c r="AY104" i="5"/>
  <c r="AX104" i="5"/>
  <c r="AZ101" i="5"/>
  <c r="AY101" i="5"/>
  <c r="AX101" i="5"/>
  <c r="AZ100" i="5"/>
  <c r="AY100" i="5"/>
  <c r="AX100" i="5"/>
  <c r="AZ259" i="5"/>
  <c r="AY259" i="5"/>
  <c r="AX259" i="5"/>
  <c r="AZ92" i="5"/>
  <c r="AY92" i="5"/>
  <c r="AX92" i="5"/>
  <c r="AZ91" i="5"/>
  <c r="AY91" i="5"/>
  <c r="AX91" i="5"/>
  <c r="AZ11" i="5"/>
  <c r="AY11" i="5"/>
  <c r="AX11" i="5"/>
  <c r="AZ10" i="5"/>
  <c r="AY10" i="5"/>
  <c r="AX10" i="5"/>
  <c r="AZ90" i="5"/>
  <c r="AY90" i="5"/>
  <c r="AX90" i="5"/>
  <c r="AZ258" i="5"/>
  <c r="AY258" i="5"/>
  <c r="AX258" i="5"/>
  <c r="AZ84" i="5"/>
  <c r="AY84" i="5"/>
  <c r="AX84" i="5"/>
  <c r="AZ257" i="5"/>
  <c r="AY257" i="5"/>
  <c r="AX257" i="5"/>
  <c r="AZ256" i="5"/>
  <c r="AY256" i="5"/>
  <c r="AX256" i="5"/>
  <c r="AZ82" i="5"/>
  <c r="AY82" i="5"/>
  <c r="AX82" i="5"/>
  <c r="AZ81" i="5"/>
  <c r="AY81" i="5"/>
  <c r="AX81" i="5"/>
  <c r="AZ264" i="5"/>
  <c r="AY264" i="5"/>
  <c r="AX264" i="5"/>
  <c r="AZ79" i="5"/>
  <c r="AY79" i="5"/>
  <c r="AX79" i="5"/>
  <c r="AZ263" i="5"/>
  <c r="AY263" i="5"/>
  <c r="AX263" i="5"/>
  <c r="AZ52" i="5"/>
  <c r="AY52" i="5"/>
  <c r="AX52" i="5"/>
  <c r="AZ49" i="5"/>
  <c r="AY49" i="5"/>
  <c r="AX49" i="5"/>
  <c r="AZ33" i="5"/>
  <c r="AY33" i="5"/>
  <c r="AX33" i="5"/>
  <c r="AZ236" i="5"/>
  <c r="AY236" i="5"/>
  <c r="AX236" i="5"/>
  <c r="AZ230" i="5"/>
  <c r="AY230" i="5"/>
  <c r="AX230" i="5"/>
  <c r="AZ162" i="5"/>
  <c r="AY162" i="5"/>
  <c r="AX162" i="5"/>
  <c r="AZ133" i="5"/>
  <c r="AY133" i="5"/>
  <c r="AX133" i="5"/>
  <c r="AZ14" i="5"/>
  <c r="AY14" i="5"/>
  <c r="AX14" i="5"/>
  <c r="AZ108" i="5"/>
  <c r="AY108" i="5"/>
  <c r="AX108" i="5"/>
  <c r="AY59" i="5"/>
  <c r="AZ295" i="5"/>
  <c r="AY295" i="5"/>
  <c r="AX295" i="5"/>
  <c r="AZ24" i="5"/>
  <c r="AY24" i="5"/>
  <c r="AX24" i="5"/>
  <c r="AZ23" i="5"/>
  <c r="AY23" i="5"/>
  <c r="AX23" i="5"/>
  <c r="AZ22" i="5"/>
  <c r="AY22" i="5"/>
  <c r="AX22" i="5"/>
  <c r="AZ21" i="5"/>
  <c r="AY21" i="5"/>
  <c r="AX21" i="5"/>
  <c r="AZ20" i="5"/>
  <c r="AY20" i="5"/>
  <c r="AX20" i="5"/>
  <c r="AZ178" i="5"/>
  <c r="AY178" i="5"/>
  <c r="AX178" i="5"/>
  <c r="AZ144" i="5"/>
  <c r="AY144" i="5"/>
  <c r="AX144" i="5"/>
  <c r="AZ121" i="5"/>
  <c r="AY121" i="5"/>
  <c r="AX121" i="5"/>
  <c r="AZ267" i="5"/>
  <c r="AY267" i="5"/>
  <c r="AX267" i="5"/>
  <c r="AZ102" i="5"/>
  <c r="AY102" i="5"/>
  <c r="AX102" i="5"/>
  <c r="AZ250" i="5"/>
  <c r="AY250" i="5"/>
  <c r="AX250" i="5"/>
  <c r="AZ48" i="5"/>
  <c r="AY48" i="5"/>
  <c r="AX48" i="5"/>
  <c r="AY30" i="5"/>
  <c r="AZ28" i="5"/>
  <c r="AY28" i="5"/>
  <c r="AX28" i="5"/>
  <c r="AY27" i="5"/>
  <c r="AX27" i="5"/>
  <c r="AZ180" i="5"/>
  <c r="AY180" i="5"/>
  <c r="AX180" i="5"/>
  <c r="AZ175" i="5"/>
  <c r="AY175" i="5"/>
  <c r="AX175" i="5"/>
  <c r="AZ138" i="5"/>
  <c r="AY138" i="5"/>
  <c r="AX138" i="5"/>
  <c r="AZ126" i="5"/>
  <c r="AY126" i="5"/>
  <c r="AX126" i="5"/>
  <c r="AZ123" i="5"/>
  <c r="AY123" i="5"/>
  <c r="AX123" i="5"/>
  <c r="AZ270" i="5"/>
  <c r="AY270" i="5"/>
  <c r="AX270" i="5"/>
  <c r="AZ12" i="5"/>
  <c r="AY12" i="5"/>
  <c r="AX12" i="5"/>
  <c r="AZ87" i="5"/>
  <c r="AY87" i="5"/>
  <c r="AX87" i="5"/>
  <c r="AZ76" i="5"/>
  <c r="AY76" i="5"/>
  <c r="AX76" i="5"/>
  <c r="AZ262" i="5"/>
  <c r="AY262" i="5"/>
  <c r="AX262" i="5"/>
  <c r="AZ51" i="5"/>
  <c r="AY51" i="5"/>
  <c r="AX51" i="5"/>
  <c r="AZ218" i="5"/>
  <c r="AY218" i="5"/>
  <c r="AX218" i="5"/>
  <c r="AZ217" i="5"/>
  <c r="AY217" i="5"/>
  <c r="AX217" i="5"/>
  <c r="AZ183" i="5"/>
  <c r="AY183" i="5"/>
  <c r="AX183" i="5"/>
  <c r="AZ179" i="5"/>
  <c r="AY179" i="5"/>
  <c r="AX179" i="5"/>
  <c r="AZ172" i="5"/>
  <c r="AY172" i="5"/>
  <c r="AX172" i="5"/>
  <c r="AZ117" i="5"/>
  <c r="AY117" i="5"/>
  <c r="AX117" i="5"/>
  <c r="AZ50" i="5"/>
  <c r="AY50" i="5"/>
  <c r="AX50" i="5"/>
  <c r="AZ223" i="5"/>
  <c r="AY223" i="5"/>
  <c r="AX223" i="5"/>
  <c r="AZ206" i="5"/>
  <c r="AY206" i="5"/>
  <c r="AX206" i="5"/>
  <c r="AZ181" i="5"/>
  <c r="AY181" i="5"/>
  <c r="AX181" i="5"/>
  <c r="AZ225" i="5"/>
  <c r="AY225" i="5"/>
  <c r="AX225" i="5"/>
  <c r="AZ261" i="5"/>
  <c r="AY261" i="5"/>
  <c r="AX261" i="5"/>
  <c r="AZ238" i="5"/>
  <c r="AY238" i="5"/>
  <c r="AX238" i="5"/>
  <c r="AZ115" i="5"/>
  <c r="AY115" i="5"/>
  <c r="AX115" i="5"/>
  <c r="AZ77" i="5"/>
  <c r="AY77" i="5"/>
  <c r="AX77" i="5"/>
  <c r="AZ75" i="5"/>
  <c r="AY75" i="5"/>
  <c r="AX75" i="5"/>
  <c r="AZ220" i="5"/>
  <c r="AY220" i="5"/>
  <c r="AX220" i="5"/>
  <c r="AZ169" i="5"/>
  <c r="AY169" i="5"/>
  <c r="AX169" i="5"/>
  <c r="AZ137" i="5"/>
  <c r="AY137" i="5"/>
  <c r="AX137" i="5"/>
  <c r="AZ185" i="5"/>
  <c r="AY185" i="5"/>
  <c r="AX185" i="5"/>
  <c r="AZ184" i="5"/>
  <c r="AY184" i="5"/>
  <c r="AX184" i="5"/>
  <c r="AZ182" i="5"/>
  <c r="AY182" i="5"/>
  <c r="AX182" i="5"/>
  <c r="AZ171" i="5"/>
  <c r="AY171" i="5"/>
  <c r="AX171" i="5"/>
  <c r="AZ247" i="5"/>
  <c r="AY247" i="5"/>
  <c r="AX247" i="5"/>
  <c r="AZ168" i="5"/>
  <c r="AY168" i="5"/>
  <c r="AX168" i="5"/>
  <c r="AZ164" i="5"/>
  <c r="AY164" i="5"/>
  <c r="AX164" i="5"/>
  <c r="AZ107" i="5"/>
  <c r="AY107" i="5"/>
  <c r="AX107" i="5"/>
  <c r="AZ163" i="5"/>
  <c r="AY163" i="5"/>
  <c r="AX163" i="5"/>
  <c r="AI102" i="4"/>
  <c r="J30" i="3"/>
  <c r="J22" i="3"/>
  <c r="J37" i="3"/>
  <c r="J44" i="3"/>
  <c r="BA2" i="5"/>
  <c r="BA289" i="5"/>
  <c r="BA268" i="5"/>
  <c r="BA190" i="5"/>
  <c r="BA118" i="5"/>
  <c r="BA120" i="5"/>
  <c r="BA119" i="5"/>
  <c r="BA271" i="5"/>
  <c r="BA117" i="5"/>
  <c r="BA61" i="5"/>
  <c r="BA62" i="5"/>
  <c r="BA276" i="5"/>
  <c r="BA224" i="5"/>
  <c r="BA162" i="5"/>
  <c r="BA164" i="5"/>
  <c r="BA67" i="5"/>
  <c r="BA60" i="5"/>
  <c r="BA205" i="5"/>
  <c r="BA198" i="5"/>
  <c r="BA46" i="5"/>
  <c r="BA96" i="5"/>
  <c r="BA94" i="5"/>
  <c r="BA14" i="5"/>
  <c r="BA49" i="5"/>
  <c r="BA280" i="5"/>
  <c r="BA148" i="5"/>
  <c r="BA142" i="5"/>
  <c r="BA266" i="5"/>
  <c r="BA234" i="5"/>
  <c r="BA278" i="5"/>
  <c r="BA42" i="5"/>
  <c r="BA283" i="5"/>
  <c r="BA66" i="5"/>
  <c r="BA229" i="5"/>
  <c r="BA47" i="5"/>
  <c r="BA109" i="5"/>
  <c r="BA226" i="5"/>
  <c r="BA290" i="5"/>
  <c r="BA158" i="5"/>
  <c r="BA41" i="5"/>
  <c r="BA32" i="5"/>
  <c r="BA279" i="5"/>
  <c r="BA43" i="5"/>
  <c r="BA220" i="5"/>
  <c r="BA193" i="5"/>
  <c r="BA284" i="5"/>
  <c r="BA3" i="5"/>
  <c r="BA35" i="5"/>
  <c r="BA269" i="5"/>
  <c r="BA123" i="5"/>
  <c r="BA7" i="5"/>
  <c r="BA31" i="5"/>
  <c r="BA277" i="5"/>
  <c r="BA294" i="5"/>
  <c r="BA246" i="5"/>
  <c r="BA274" i="5"/>
  <c r="BA163" i="5"/>
  <c r="BA231" i="5"/>
  <c r="BA197" i="5"/>
  <c r="BA110" i="5"/>
  <c r="BA247" i="5"/>
  <c r="BA235" i="5"/>
  <c r="BA44" i="5"/>
  <c r="BA143" i="5"/>
  <c r="BA88" i="5"/>
  <c r="BA161" i="5"/>
  <c r="BA33" i="5"/>
  <c r="BA166" i="5"/>
  <c r="BA52" i="5"/>
  <c r="BA265" i="5"/>
  <c r="BA192" i="5"/>
  <c r="BA29" i="5"/>
  <c r="BA209" i="5"/>
  <c r="BA160" i="5"/>
  <c r="BA34" i="5"/>
  <c r="BA170" i="5"/>
  <c r="BA74" i="5"/>
  <c r="BA149" i="5"/>
  <c r="BA80" i="5"/>
  <c r="BA71" i="5"/>
  <c r="BA157" i="5"/>
  <c r="BA206" i="5"/>
  <c r="BA232" i="5"/>
  <c r="BA6" i="5"/>
  <c r="BA12" i="5"/>
  <c r="BA156" i="5"/>
  <c r="BA144" i="5"/>
  <c r="BA102" i="5"/>
  <c r="BA191" i="5"/>
  <c r="BA169" i="5"/>
  <c r="BA168" i="5"/>
  <c r="BA99" i="5"/>
  <c r="BA4" i="5"/>
  <c r="BA141" i="5"/>
  <c r="BA285" i="5"/>
  <c r="BA30" i="5"/>
  <c r="BA172" i="5"/>
  <c r="BA211" i="5"/>
  <c r="BA28" i="5"/>
  <c r="BA230" i="5"/>
  <c r="BA155" i="5"/>
  <c r="BA69" i="5"/>
  <c r="BA202" i="5"/>
  <c r="BA203" i="5"/>
  <c r="BA90" i="5"/>
  <c r="BA291" i="5"/>
  <c r="BA89" i="5"/>
  <c r="BA236" i="5"/>
  <c r="BA295" i="5"/>
  <c r="BA18" i="5"/>
  <c r="BA107" i="5"/>
  <c r="BA131" i="5"/>
  <c r="BA78" i="5"/>
  <c r="BA210" i="5"/>
  <c r="BA97" i="5"/>
  <c r="BA111" i="5"/>
  <c r="BA256" i="5"/>
  <c r="BA187" i="5"/>
  <c r="BA73" i="5"/>
  <c r="BA286" i="5"/>
  <c r="BA233" i="5"/>
  <c r="BA165" i="5"/>
  <c r="BA98" i="5"/>
  <c r="BA195" i="5"/>
  <c r="BA139" i="5"/>
  <c r="BA82" i="5"/>
  <c r="BA128" i="5"/>
  <c r="BA17" i="5"/>
  <c r="BA225" i="5"/>
  <c r="BA114" i="5"/>
  <c r="BA194" i="5"/>
  <c r="BA189" i="5"/>
  <c r="BA87" i="5"/>
  <c r="BA84" i="5"/>
  <c r="BA83" i="5"/>
  <c r="BA70" i="5"/>
  <c r="BA188" i="5"/>
  <c r="BA101" i="5"/>
  <c r="BA287" i="5"/>
  <c r="BA81" i="5"/>
  <c r="BA79" i="5"/>
  <c r="BA113" i="5"/>
  <c r="BA259" i="5"/>
  <c r="BA200" i="5"/>
  <c r="BA199" i="5"/>
  <c r="BA16" i="5"/>
  <c r="BA196" i="5"/>
  <c r="BA212" i="5"/>
  <c r="BA216" i="5"/>
  <c r="BA257" i="5"/>
  <c r="BA258" i="5"/>
  <c r="BA180" i="5"/>
  <c r="BA264" i="5"/>
  <c r="BA133" i="5"/>
  <c r="BA26" i="5"/>
  <c r="BA125" i="5"/>
  <c r="BA204" i="5"/>
  <c r="BA124" i="5"/>
  <c r="BA106" i="5"/>
  <c r="BA228" i="5"/>
  <c r="BA167" i="5"/>
  <c r="BA201" i="5"/>
  <c r="BA91" i="5"/>
  <c r="BA93" i="5"/>
  <c r="BA92" i="5"/>
  <c r="BA221" i="5"/>
  <c r="BA185" i="5"/>
  <c r="BA184" i="5"/>
  <c r="BA182" i="5"/>
  <c r="BA272" i="5"/>
  <c r="BA208" i="5"/>
  <c r="BA126" i="5"/>
  <c r="BA183" i="5"/>
  <c r="BA105" i="5"/>
  <c r="BA104" i="5"/>
  <c r="BA13" i="5"/>
  <c r="BA275" i="5"/>
  <c r="BA76" i="5"/>
  <c r="BA19" i="5"/>
  <c r="BA273" i="5"/>
  <c r="BA154" i="5"/>
  <c r="BA55" i="5"/>
  <c r="BA56" i="5"/>
  <c r="BA263" i="5"/>
  <c r="BA75" i="5"/>
  <c r="BA227" i="5"/>
  <c r="BA11" i="5"/>
  <c r="BA153" i="5"/>
  <c r="BA248" i="5"/>
  <c r="BA108" i="5"/>
  <c r="BA77" i="5"/>
  <c r="BA249" i="5"/>
  <c r="BA132" i="5"/>
  <c r="BA213" i="5"/>
  <c r="BA270" i="5"/>
  <c r="BA262" i="5"/>
  <c r="BA145" i="5"/>
  <c r="BA10" i="5"/>
  <c r="BA20" i="5"/>
  <c r="BA171" i="5"/>
  <c r="BA130" i="5"/>
  <c r="BA215" i="5"/>
  <c r="BA112" i="5"/>
  <c r="BA250" i="5"/>
  <c r="BA222" i="5"/>
  <c r="BA218" i="5"/>
  <c r="BA9" i="5"/>
  <c r="BA178" i="5"/>
  <c r="BA134" i="5"/>
  <c r="BA176" i="5"/>
  <c r="BA129" i="5"/>
  <c r="BA24" i="5"/>
  <c r="BA23" i="5"/>
  <c r="BA5" i="5"/>
  <c r="BA22" i="5"/>
  <c r="BA21" i="5"/>
  <c r="BA53" i="5"/>
  <c r="BA85" i="5"/>
  <c r="BA86" i="5"/>
  <c r="BA179" i="5"/>
  <c r="BA15" i="5"/>
  <c r="BA137" i="5"/>
  <c r="BA103" i="5"/>
  <c r="BA214" i="5"/>
  <c r="BA72" i="5"/>
  <c r="BA237" i="5"/>
  <c r="BA389" i="5"/>
  <c r="BA245" i="5"/>
  <c r="BA58" i="5"/>
  <c r="BA252" i="5"/>
  <c r="BA240" i="5"/>
  <c r="BA267" i="5"/>
  <c r="BA238" i="5"/>
  <c r="BA219" i="5"/>
  <c r="BA136" i="5"/>
  <c r="BA181" i="5"/>
  <c r="BA8" i="5"/>
  <c r="BA121" i="5"/>
  <c r="BA385" i="5"/>
  <c r="BA116" i="5"/>
  <c r="BA207" i="5"/>
  <c r="BA243" i="5"/>
  <c r="BA241" i="5"/>
  <c r="BA239" i="5"/>
  <c r="BA391" i="5"/>
  <c r="BA223" i="5"/>
  <c r="BA25" i="5"/>
  <c r="BA253" i="5"/>
  <c r="BA122" i="5"/>
  <c r="BA147" i="5"/>
  <c r="BA127" i="5"/>
  <c r="BA135" i="5"/>
  <c r="BA242" i="5"/>
  <c r="BA177" i="5"/>
  <c r="BA244" i="5"/>
  <c r="BA254" i="5"/>
  <c r="BA261" i="5"/>
  <c r="BA138" i="5"/>
  <c r="BA152" i="5"/>
  <c r="BA405" i="5"/>
  <c r="BA50" i="5"/>
  <c r="BA140" i="5"/>
  <c r="BA402" i="5"/>
  <c r="BA174" i="5"/>
  <c r="BA146" i="5"/>
  <c r="BA150" i="5"/>
  <c r="BA407" i="5"/>
  <c r="BA398" i="5"/>
  <c r="BA396" i="5"/>
  <c r="BA395" i="5"/>
  <c r="BA390" i="5"/>
  <c r="BA388" i="5"/>
  <c r="BA383" i="5"/>
  <c r="BA48" i="5"/>
  <c r="BA255" i="5"/>
  <c r="BA151" i="5"/>
  <c r="BA392" i="5"/>
  <c r="BA57" i="5"/>
  <c r="BA54" i="5"/>
  <c r="BA393" i="5"/>
  <c r="BA51" i="5"/>
  <c r="BA404" i="5"/>
  <c r="BA65" i="5"/>
  <c r="BA63" i="5"/>
  <c r="BA173" i="5"/>
  <c r="BA64" i="5"/>
  <c r="BA36" i="5"/>
  <c r="BA406" i="5"/>
  <c r="BA394" i="5"/>
  <c r="BA37" i="5"/>
  <c r="BA38" i="5"/>
  <c r="BA39" i="5"/>
  <c r="BA100" i="5"/>
  <c r="BA288" i="5"/>
  <c r="BA281" i="5"/>
  <c r="BA59" i="5"/>
  <c r="BA400" i="5"/>
  <c r="BA401" i="5"/>
  <c r="BA384" i="5"/>
  <c r="BA45" i="5"/>
  <c r="BA175" i="5"/>
  <c r="BA40" i="5"/>
  <c r="BA186" i="5"/>
  <c r="BA95" i="5"/>
  <c r="BA159" i="5"/>
  <c r="BA399" i="5"/>
  <c r="BA397" i="5"/>
  <c r="BA387" i="5"/>
  <c r="BA403" i="5"/>
  <c r="BA251" i="5"/>
  <c r="BA260" i="5"/>
  <c r="BA282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2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<sst xmlns="http://schemas.openxmlformats.org/spreadsheetml/2006/main" count="11752" uniqueCount="1451">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</sst>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0" fillId="2" borderId="9" xfId="0" applyFont="1" applyFill="1" applyBorder="1"/>
    <xf numFmtId="1" fontId="0" fillId="2" borderId="0" xfId="0" applyNumberFormat="1" applyFont="1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5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577232"/>
        <c:axId val="930813392"/>
      </c:lineChart>
      <c:catAx>
        <c:axId val="9305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13392"/>
        <c:crosses val="autoZero"/>
        <c:auto val="1"/>
        <c:lblAlgn val="ctr"/>
        <c:lblOffset val="100"/>
        <c:noMultiLvlLbl val="0"/>
      </c:catAx>
      <c:valAx>
        <c:axId val="9308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57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299"/>
  <sheetViews>
    <sheetView zoomScale="110" zoomScaleNormal="110" zoomScalePageLayoutView="110" workbookViewId="0">
      <pane xSplit="3" ySplit="1" topLeftCell="D182" activePane="bottomRight" state="frozenSplit"/>
      <selection pane="topRight" activeCell="D1" sqref="D1"/>
      <selection pane="bottomLeft" activeCell="A2" sqref="A2"/>
      <selection pane="bottomRight" activeCell="AZ208" sqref="AZ208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4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3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43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43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23</v>
      </c>
      <c r="BF2" s="124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4" si="3">E2</f>
        <v>46</v>
      </c>
      <c r="BW2" s="73">
        <f t="shared" ref="BW2:BW24" si="4">I2</f>
        <v>78</v>
      </c>
      <c r="BX2" s="74">
        <f t="shared" ref="BX2:BX24" si="5">M2</f>
        <v>82</v>
      </c>
      <c r="BY2" s="73">
        <f t="shared" ref="BY2:BY24" si="6">Q2</f>
        <v>114</v>
      </c>
      <c r="BZ2" s="74">
        <f t="shared" ref="BZ2:BZ24" si="7">U2</f>
        <v>118</v>
      </c>
      <c r="CA2" s="73">
        <f t="shared" ref="CA2:CA24" si="8">Y2</f>
        <v>154</v>
      </c>
      <c r="CB2" s="74">
        <f t="shared" ref="CB2:CB24" si="9">AC2</f>
        <v>162</v>
      </c>
      <c r="CC2" s="73">
        <f t="shared" ref="CC2:CC24" si="10">AG2</f>
        <v>199</v>
      </c>
      <c r="CD2" s="74">
        <f t="shared" ref="CD2:CD24" si="11">AK2</f>
        <v>205</v>
      </c>
      <c r="CE2" s="73">
        <f t="shared" ref="CE2:CE24" si="12">AO2</f>
        <v>303</v>
      </c>
      <c r="CF2" s="74">
        <f t="shared" ref="CF2:CF24" si="13">AS2</f>
        <v>347</v>
      </c>
      <c r="CG2" s="73">
        <f t="shared" ref="CG2:CG24" si="14">AW2</f>
        <v>373</v>
      </c>
      <c r="CH2" s="72">
        <f t="shared" ref="CH2:CH24" si="15">G2</f>
        <v>77</v>
      </c>
      <c r="CI2" s="73">
        <f t="shared" ref="CI2:CI24" si="16">K2</f>
        <v>81</v>
      </c>
      <c r="CJ2" s="74">
        <f t="shared" ref="CJ2:CJ24" si="17">O2</f>
        <v>112</v>
      </c>
      <c r="CK2" s="74">
        <f t="shared" ref="CK2:CK24" si="18">S2</f>
        <v>117</v>
      </c>
      <c r="CL2" s="74">
        <f t="shared" ref="CL2:CL24" si="19">W2</f>
        <v>153</v>
      </c>
      <c r="CM2" s="74">
        <f t="shared" ref="CM2:CM24" si="20">AA2</f>
        <v>161</v>
      </c>
      <c r="CN2" s="74">
        <f t="shared" ref="CN2:CN24" si="21">AE2</f>
        <v>187</v>
      </c>
      <c r="CO2" s="74">
        <f t="shared" ref="CO2:CO24" si="22">AI2</f>
        <v>201</v>
      </c>
      <c r="CP2" s="74">
        <f t="shared" ref="CP2:CP24" si="23">AM2</f>
        <v>244</v>
      </c>
      <c r="CQ2" s="74">
        <f t="shared" ref="CQ2:CQ24" si="24">AQ2</f>
        <v>339</v>
      </c>
      <c r="CR2" s="74">
        <f t="shared" ref="CR2:CR24" si="25">AU2</f>
        <v>372</v>
      </c>
      <c r="CS2" s="74">
        <f t="shared" ref="CS2:CS24" si="26">AY2</f>
        <v>384</v>
      </c>
      <c r="CT2" s="23">
        <f t="shared" ref="CT2:CT2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1440</v>
      </c>
      <c r="BE3" s="3" t="s">
        <v>1439</v>
      </c>
      <c r="BF3" s="124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1439</v>
      </c>
      <c r="BF4" s="124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N</v>
      </c>
      <c r="AS5" s="108">
        <v>354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264</v>
      </c>
      <c r="BD5" s="93" t="s">
        <v>1379</v>
      </c>
      <c r="BE5" s="3" t="s">
        <v>23</v>
      </c>
      <c r="BF5" s="124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354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3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3">
        <v>248</v>
      </c>
      <c r="AN6" s="3" t="str">
        <f>IFERROR(MID(VLOOKUP($B6,Seqs!$A:$B,2,0),AO6,1),"")</f>
        <v>Q</v>
      </c>
      <c r="AO6" s="3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1440</v>
      </c>
      <c r="BE6" s="3" t="s">
        <v>1439</v>
      </c>
      <c r="BF6" s="124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1439</v>
      </c>
      <c r="BF7" s="124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1439</v>
      </c>
      <c r="BF8" s="124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s="12" customFormat="1" x14ac:dyDescent="0.2">
      <c r="A9" s="9" t="str">
        <f t="shared" ref="A9" si="28">CONCATENATE(B9,"_",C9)</f>
        <v>5ht2b_human_5TUD</v>
      </c>
      <c r="B9" s="9" t="s">
        <v>35</v>
      </c>
      <c r="C9" s="9" t="s">
        <v>1438</v>
      </c>
      <c r="D9" s="9" t="str">
        <f>IFERROR(MID(VLOOKUP($B9,Seqs!$A:$B,2,0),E9,1),"")</f>
        <v>A</v>
      </c>
      <c r="E9" s="9">
        <v>57</v>
      </c>
      <c r="F9" s="9" t="str">
        <f>IFERROR(MID(VLOOKUP($B9,Seqs!$A:$B,2,0),G9,1),"")</f>
        <v>E</v>
      </c>
      <c r="G9" s="9">
        <v>82</v>
      </c>
      <c r="H9" s="9" t="str">
        <f>IFERROR(MID(VLOOKUP($B9,Seqs!$A:$B,2,0),I9,1),"")</f>
        <v>K</v>
      </c>
      <c r="I9" s="112">
        <v>83</v>
      </c>
      <c r="J9" s="9" t="str">
        <f>IFERROR(MID(VLOOKUP($B9,Seqs!$A:$B,2,0),K9,1),"")</f>
        <v>Q</v>
      </c>
      <c r="K9" s="112">
        <v>86</v>
      </c>
      <c r="L9" s="9" t="str">
        <f>IFERROR(MID(VLOOKUP($B9,Seqs!$A:$B,2,0),M9,1),"")</f>
        <v>Y</v>
      </c>
      <c r="M9" s="9">
        <v>87</v>
      </c>
      <c r="N9" s="9" t="str">
        <f>IFERROR(MID(VLOOKUP($B9,Seqs!$A:$B,2,0),O9,1),"")</f>
        <v>F</v>
      </c>
      <c r="O9" s="9">
        <v>117</v>
      </c>
      <c r="P9" s="9" t="str">
        <f>IFERROR(MID(VLOOKUP($B9,Seqs!$A:$B,2,0),Q9,1),"")</f>
        <v>M</v>
      </c>
      <c r="Q9" s="9">
        <v>120</v>
      </c>
      <c r="R9" s="9" t="str">
        <f>IFERROR(MID(VLOOKUP($B9,Seqs!$A:$B,2,0),S9,1),"")</f>
        <v>L</v>
      </c>
      <c r="S9" s="9">
        <v>123</v>
      </c>
      <c r="T9" s="9" t="str">
        <f>IFERROR(MID(VLOOKUP($B9,Seqs!$A:$B,2,0),U9,1),"")</f>
        <v>P</v>
      </c>
      <c r="U9" s="9">
        <v>124</v>
      </c>
      <c r="V9" s="9" t="str">
        <f>IFERROR(MID(VLOOKUP($B9,Seqs!$A:$B,2,0),W9,1),"")</f>
        <v>K</v>
      </c>
      <c r="W9" s="9">
        <v>159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N</v>
      </c>
      <c r="AC9" s="9">
        <v>164</v>
      </c>
      <c r="AD9" s="9" t="str">
        <f>IFERROR(MID(VLOOKUP($B9,Seqs!$A:$B,2,0),AE9,1),"")</f>
        <v>K</v>
      </c>
      <c r="AE9" s="9">
        <v>193</v>
      </c>
      <c r="AF9" s="9" t="str">
        <f>IFERROR(MID(VLOOKUP($B9,Seqs!$A:$B,2,0),AG9,1),"")</f>
        <v>C</v>
      </c>
      <c r="AG9" s="9">
        <v>207</v>
      </c>
      <c r="AH9" s="9" t="str">
        <f>IFERROR(MID(VLOOKUP($B9,Seqs!$A:$B,2,0),AI9,1),"")</f>
        <v>L</v>
      </c>
      <c r="AI9" s="9">
        <v>209</v>
      </c>
      <c r="AJ9" s="9" t="str">
        <f>IFERROR(MID(VLOOKUP($B9,Seqs!$A:$B,2,0),AK9,1),"")</f>
        <v>F</v>
      </c>
      <c r="AK9" s="9">
        <v>214</v>
      </c>
      <c r="AL9" s="9" t="str">
        <f>IFERROR(MID(VLOOKUP($B9,Seqs!$A:$B,2,0),AM9,1),"")</f>
        <v>A</v>
      </c>
      <c r="AM9" s="9">
        <v>248</v>
      </c>
      <c r="AN9" s="9" t="str">
        <f>IFERROR(MID(VLOOKUP($B9,Seqs!$A:$B,2,0),AO9,1),"")</f>
        <v>Q</v>
      </c>
      <c r="AO9" s="9">
        <v>314</v>
      </c>
      <c r="AP9" s="9" t="str">
        <f>IFERROR(MID(VLOOKUP($B9,Seqs!$A:$B,2,0),AQ9,1),"")</f>
        <v>C</v>
      </c>
      <c r="AQ9" s="9">
        <v>350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L</v>
      </c>
      <c r="AU9" s="9">
        <v>382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T</v>
      </c>
      <c r="AY9" s="9">
        <v>396</v>
      </c>
      <c r="AZ9" s="113" t="str">
        <f>VLOOKUP(B9,Classification!A:D,2,0)</f>
        <v>A</v>
      </c>
      <c r="BA9" s="101" t="str">
        <f>VLOOKUP(B9,Classification!A:D,4,0)</f>
        <v>5-Hydroxytryptamine</v>
      </c>
      <c r="BB9" s="3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112">
        <f t="shared" ref="BC9" si="30">_xlfn.AGGREGATE(9,6,CH9:CS9)-_xlfn.AGGREGATE(9,6,BV9:CG9)+12</f>
        <v>249</v>
      </c>
      <c r="BD9" s="11" t="s">
        <v>1382</v>
      </c>
      <c r="BE9" s="9" t="s">
        <v>1297</v>
      </c>
      <c r="BF9" s="125">
        <v>3</v>
      </c>
      <c r="BG9" s="52" t="s">
        <v>1384</v>
      </c>
      <c r="BH9" s="52" t="s">
        <v>1384</v>
      </c>
      <c r="BJ9" s="114" t="s">
        <v>1293</v>
      </c>
      <c r="BK9" s="115" t="s">
        <v>1293</v>
      </c>
      <c r="BL9" s="115" t="s">
        <v>1293</v>
      </c>
      <c r="BM9" s="115" t="s">
        <v>1293</v>
      </c>
      <c r="BN9" s="115" t="s">
        <v>1293</v>
      </c>
      <c r="BO9" s="115" t="s">
        <v>1293</v>
      </c>
      <c r="BP9" s="115" t="s">
        <v>1293</v>
      </c>
      <c r="BQ9" s="115" t="s">
        <v>1293</v>
      </c>
      <c r="BR9" s="115" t="s">
        <v>1293</v>
      </c>
      <c r="BS9" s="115" t="s">
        <v>1293</v>
      </c>
      <c r="BT9" s="115" t="s">
        <v>1293</v>
      </c>
      <c r="BU9" s="115" t="s">
        <v>1293</v>
      </c>
      <c r="BV9" s="114">
        <f t="shared" ref="BV9" si="31">E9</f>
        <v>57</v>
      </c>
      <c r="BW9" s="116">
        <f t="shared" ref="BW9" si="32">I9</f>
        <v>83</v>
      </c>
      <c r="BX9" s="117">
        <f t="shared" ref="BX9" si="33">M9</f>
        <v>87</v>
      </c>
      <c r="BY9" s="116">
        <f t="shared" ref="BY9" si="34">Q9</f>
        <v>120</v>
      </c>
      <c r="BZ9" s="117">
        <f t="shared" ref="BZ9" si="35">U9</f>
        <v>124</v>
      </c>
      <c r="CA9" s="116" t="str">
        <f t="shared" ref="CA9" si="36">Y9</f>
        <v>-</v>
      </c>
      <c r="CB9" s="117">
        <f t="shared" ref="CB9" si="37">AC9</f>
        <v>164</v>
      </c>
      <c r="CC9" s="116">
        <f t="shared" ref="CC9" si="38">AG9</f>
        <v>207</v>
      </c>
      <c r="CD9" s="117">
        <f t="shared" ref="CD9" si="39">AK9</f>
        <v>214</v>
      </c>
      <c r="CE9" s="116">
        <f t="shared" ref="CE9" si="40">AO9</f>
        <v>314</v>
      </c>
      <c r="CF9" s="117">
        <f t="shared" ref="CF9" si="41">AS9</f>
        <v>354</v>
      </c>
      <c r="CG9" s="116">
        <f t="shared" ref="CG9" si="42">AW9</f>
        <v>384</v>
      </c>
      <c r="CH9" s="114">
        <f t="shared" ref="CH9" si="43">G9</f>
        <v>82</v>
      </c>
      <c r="CI9" s="116">
        <f t="shared" ref="CI9" si="44">K9</f>
        <v>86</v>
      </c>
      <c r="CJ9" s="117">
        <f t="shared" ref="CJ9" si="45">O9</f>
        <v>117</v>
      </c>
      <c r="CK9" s="117">
        <f t="shared" ref="CK9" si="46">S9</f>
        <v>123</v>
      </c>
      <c r="CL9" s="117">
        <f t="shared" ref="CL9" si="47">W9</f>
        <v>159</v>
      </c>
      <c r="CM9" s="117" t="str">
        <f t="shared" ref="CM9" si="48">AA9</f>
        <v>-</v>
      </c>
      <c r="CN9" s="117">
        <f t="shared" ref="CN9" si="49">AE9</f>
        <v>193</v>
      </c>
      <c r="CO9" s="117">
        <f t="shared" ref="CO9" si="50">AI9</f>
        <v>209</v>
      </c>
      <c r="CP9" s="117">
        <f t="shared" ref="CP9" si="51">AM9</f>
        <v>248</v>
      </c>
      <c r="CQ9" s="117">
        <f t="shared" ref="CQ9" si="52">AQ9</f>
        <v>350</v>
      </c>
      <c r="CR9" s="117">
        <f t="shared" ref="CR9" si="53">AU9</f>
        <v>382</v>
      </c>
      <c r="CS9" s="117">
        <f t="shared" ref="CS9" si="54">AY9</f>
        <v>396</v>
      </c>
      <c r="CT9" s="112">
        <f t="shared" ref="CT9" si="55">M9-K9</f>
        <v>1</v>
      </c>
    </row>
    <row r="10" spans="1:1029" x14ac:dyDescent="0.2">
      <c r="A10" s="3" t="str">
        <f t="shared" ref="A10" si="56">CONCATENATE(B10,"_",C10)</f>
        <v>5ht2b_human_5TVN</v>
      </c>
      <c r="B10" s="3" t="s">
        <v>35</v>
      </c>
      <c r="C10" s="3" t="s">
        <v>1393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S</v>
      </c>
      <c r="AC10" s="3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Q</v>
      </c>
      <c r="AS10" s="3">
        <v>355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9" t="str">
        <f>VLOOKUP(B10,Classification!A:D,2,0)</f>
        <v>A</v>
      </c>
      <c r="BA10" s="97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23</v>
      </c>
      <c r="BE10" s="3" t="s">
        <v>1439</v>
      </c>
      <c r="BF10" s="124">
        <v>2.9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" si="59">E10</f>
        <v>54</v>
      </c>
      <c r="BW10" s="73">
        <f t="shared" ref="BW10" si="60">I10</f>
        <v>83</v>
      </c>
      <c r="BX10" s="74">
        <f t="shared" ref="BX10" si="61">M10</f>
        <v>87</v>
      </c>
      <c r="BY10" s="73">
        <f t="shared" ref="BY10" si="62">Q10</f>
        <v>120</v>
      </c>
      <c r="BZ10" s="74">
        <f t="shared" ref="BZ10" si="63">U10</f>
        <v>124</v>
      </c>
      <c r="CA10" s="73" t="str">
        <f t="shared" ref="CA10" si="64">Y10</f>
        <v>-</v>
      </c>
      <c r="CB10" s="74">
        <f t="shared" ref="CB10" si="65">AC10</f>
        <v>168</v>
      </c>
      <c r="CC10" s="73">
        <f t="shared" ref="CC10" si="66">AG10</f>
        <v>207</v>
      </c>
      <c r="CD10" s="74">
        <f t="shared" ref="CD10" si="67">AK10</f>
        <v>214</v>
      </c>
      <c r="CE10" s="73">
        <f t="shared" ref="CE10" si="68">AO10</f>
        <v>313</v>
      </c>
      <c r="CF10" s="74">
        <f t="shared" ref="CF10" si="69">AS10</f>
        <v>355</v>
      </c>
      <c r="CG10" s="73">
        <f t="shared" ref="CG10" si="70">AW10</f>
        <v>384</v>
      </c>
      <c r="CH10" s="72">
        <f t="shared" ref="CH10" si="71">G10</f>
        <v>82</v>
      </c>
      <c r="CI10" s="73">
        <f t="shared" ref="CI10" si="72">K10</f>
        <v>86</v>
      </c>
      <c r="CJ10" s="74">
        <f t="shared" ref="CJ10" si="73">O10</f>
        <v>117</v>
      </c>
      <c r="CK10" s="74">
        <f t="shared" ref="CK10" si="74">S10</f>
        <v>123</v>
      </c>
      <c r="CL10" s="74">
        <f t="shared" ref="CL10" si="75">W10</f>
        <v>159</v>
      </c>
      <c r="CM10" s="74" t="str">
        <f t="shared" ref="CM10" si="76">AA10</f>
        <v>-</v>
      </c>
      <c r="CN10" s="74">
        <f t="shared" ref="CN10" si="77">AE10</f>
        <v>194</v>
      </c>
      <c r="CO10" s="74">
        <f t="shared" ref="CO10" si="78">AI10</f>
        <v>209</v>
      </c>
      <c r="CP10" s="74">
        <f t="shared" ref="CP10" si="79">AM10</f>
        <v>248</v>
      </c>
      <c r="CQ10" s="74">
        <f t="shared" ref="CQ10" si="80">AQ10</f>
        <v>350</v>
      </c>
      <c r="CR10" s="74">
        <f t="shared" ref="CR10" si="81">AU10</f>
        <v>383</v>
      </c>
      <c r="CS10" s="74">
        <f t="shared" ref="CS10" si="82">AY10</f>
        <v>395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3" si="84">CONCATENATE(B11,"_",C11)</f>
        <v>aa1r_human__wt</v>
      </c>
      <c r="B11" s="3" t="s">
        <v>138</v>
      </c>
      <c r="C11" s="3" t="s">
        <v>100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V</v>
      </c>
      <c r="AM11" s="3">
        <v>215</v>
      </c>
      <c r="AN11" s="3" t="str">
        <f>IFERROR(MID(VLOOKUP($B11,Seqs!$A:$B,2,0),AO11,1),"")</f>
        <v>D</v>
      </c>
      <c r="AO11" s="3">
        <v>221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P</v>
      </c>
      <c r="AY11" s="3">
        <v>314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ref="BB11:BB13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3" si="86">_xlfn.AGGREGATE(9,6,CH11:CS11)-_xlfn.AGGREGATE(9,6,BV11:CG11)+12</f>
        <v>272</v>
      </c>
      <c r="BD11" s="4" t="s">
        <v>23</v>
      </c>
      <c r="BE11" s="3" t="s">
        <v>23</v>
      </c>
      <c r="BF11" s="124" t="s">
        <v>23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ref="BV11:BV13" si="87">E11</f>
        <v>6</v>
      </c>
      <c r="BW11" s="73">
        <f t="shared" ref="BW11:BW13" si="88">I11</f>
        <v>38</v>
      </c>
      <c r="BX11" s="74">
        <f t="shared" ref="BX11:BX13" si="89">M11</f>
        <v>42</v>
      </c>
      <c r="BY11" s="73">
        <f t="shared" ref="BY11:BY13" si="90">Q11</f>
        <v>73</v>
      </c>
      <c r="BZ11" s="74">
        <f t="shared" ref="BZ11:BZ13" si="91">U11</f>
        <v>76</v>
      </c>
      <c r="CA11" s="73">
        <f t="shared" ref="CA11:CA13" si="92">Y11</f>
        <v>112</v>
      </c>
      <c r="CB11" s="74">
        <f t="shared" ref="CB11:CB13" si="93">AC11</f>
        <v>120</v>
      </c>
      <c r="CC11" s="73">
        <f t="shared" ref="CC11:CC13" si="94">AG11</f>
        <v>169</v>
      </c>
      <c r="CD11" s="74">
        <f t="shared" ref="CD11:CD13" si="95">AK11</f>
        <v>176</v>
      </c>
      <c r="CE11" s="73">
        <f t="shared" ref="CE11:CE13" si="96">AO11</f>
        <v>221</v>
      </c>
      <c r="CF11" s="74">
        <f t="shared" ref="CF11:CF13" si="97">AS11</f>
        <v>266</v>
      </c>
      <c r="CG11" s="73">
        <f t="shared" ref="CG11:CG13" si="98">AW11</f>
        <v>292</v>
      </c>
      <c r="CH11" s="72">
        <f t="shared" ref="CH11:CH13" si="99">G11</f>
        <v>37</v>
      </c>
      <c r="CI11" s="73">
        <f t="shared" ref="CI11:CI13" si="100">K11</f>
        <v>41</v>
      </c>
      <c r="CJ11" s="74">
        <f t="shared" ref="CJ11:CJ13" si="101">O11</f>
        <v>72</v>
      </c>
      <c r="CK11" s="74">
        <f t="shared" ref="CK11:CK13" si="102">S11</f>
        <v>75</v>
      </c>
      <c r="CL11" s="74">
        <f t="shared" ref="CL11:CL13" si="103">W11</f>
        <v>111</v>
      </c>
      <c r="CM11" s="74">
        <f t="shared" ref="CM11:CM13" si="104">AA11</f>
        <v>119</v>
      </c>
      <c r="CN11" s="74">
        <f t="shared" ref="CN11:CN13" si="105">AE11</f>
        <v>145</v>
      </c>
      <c r="CO11" s="74">
        <f t="shared" ref="CO11:CO13" si="106">AI11</f>
        <v>171</v>
      </c>
      <c r="CP11" s="74">
        <f t="shared" ref="CP11:CP13" si="107">AM11</f>
        <v>215</v>
      </c>
      <c r="CQ11" s="74">
        <f t="shared" ref="CQ11:CQ13" si="108">AQ11</f>
        <v>260</v>
      </c>
      <c r="CR11" s="74">
        <f t="shared" ref="CR11:CR13" si="109">AU11</f>
        <v>291</v>
      </c>
      <c r="CS11" s="74">
        <f t="shared" ref="CS11:CS13" si="110">AY11</f>
        <v>314</v>
      </c>
      <c r="CT11" s="23">
        <f t="shared" ref="CT11:CT13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s="12" customFormat="1" x14ac:dyDescent="0.2">
      <c r="A12" s="9" t="str">
        <f t="shared" ref="A12" si="112">CONCATENATE(B12,"_",C12)</f>
        <v>aa1r_human_5N2S</v>
      </c>
      <c r="B12" s="9" t="s">
        <v>138</v>
      </c>
      <c r="C12" s="9" t="s">
        <v>1442</v>
      </c>
      <c r="D12" s="9" t="str">
        <f>IFERROR(MID(VLOOKUP($B12,Seqs!$A:$B,2,0),E12,1),"")</f>
        <v>S</v>
      </c>
      <c r="E12" s="9">
        <v>6</v>
      </c>
      <c r="F12" s="9" t="str">
        <f>IFERROR(MID(VLOOKUP($B12,Seqs!$A:$B,2,0),G12,1),"")</f>
        <v>V</v>
      </c>
      <c r="G12" s="9">
        <v>36</v>
      </c>
      <c r="H12" s="9" t="str">
        <f>IFERROR(MID(VLOOKUP($B12,Seqs!$A:$B,2,0),I12,1),"")</f>
        <v/>
      </c>
      <c r="I12" s="112" t="s">
        <v>23</v>
      </c>
      <c r="J12" s="9" t="str">
        <f>IFERROR(MID(VLOOKUP($B12,Seqs!$A:$B,2,0),K12,1),"")</f>
        <v/>
      </c>
      <c r="K12" s="112" t="s">
        <v>23</v>
      </c>
      <c r="L12" s="9" t="str">
        <f>IFERROR(MID(VLOOKUP($B12,Seqs!$A:$B,2,0),M12,1),"")</f>
        <v>D</v>
      </c>
      <c r="M12" s="9">
        <v>42</v>
      </c>
      <c r="N12" s="9" t="str">
        <f>IFERROR(MID(VLOOKUP($B12,Seqs!$A:$B,2,0),O12,1),"")</f>
        <v>G</v>
      </c>
      <c r="O12" s="9">
        <v>72</v>
      </c>
      <c r="P12" s="9" t="str">
        <f>IFERROR(MID(VLOOKUP($B12,Seqs!$A:$B,2,0),Q12,1),"")</f>
        <v>P</v>
      </c>
      <c r="Q12" s="9">
        <v>73</v>
      </c>
      <c r="R12" s="9" t="str">
        <f>IFERROR(MID(VLOOKUP($B12,Seqs!$A:$B,2,0),S12,1),"")</f>
        <v>T</v>
      </c>
      <c r="S12" s="9">
        <v>75</v>
      </c>
      <c r="T12" s="9" t="str">
        <f>IFERROR(MID(VLOOKUP($B12,Seqs!$A:$B,2,0),U12,1),"")</f>
        <v>Y</v>
      </c>
      <c r="U12" s="9">
        <v>76</v>
      </c>
      <c r="V12" s="9" t="str">
        <f>IFERROR(MID(VLOOKUP($B12,Seqs!$A:$B,2,0),W12,1),"")</f>
        <v>I</v>
      </c>
      <c r="W12" s="9">
        <v>111</v>
      </c>
      <c r="X12" s="9" t="str">
        <f>IFERROR(MID(VLOOKUP($B12,Seqs!$A:$B,2,0),Y12,1),"")</f>
        <v>P</v>
      </c>
      <c r="Y12" s="9">
        <v>112</v>
      </c>
      <c r="Z12" s="9" t="str">
        <f>IFERROR(MID(VLOOKUP($B12,Seqs!$A:$B,2,0),AA12,1),"")</f>
        <v>V</v>
      </c>
      <c r="AA12" s="9">
        <v>119</v>
      </c>
      <c r="AB12" s="9" t="str">
        <f>IFERROR(MID(VLOOKUP($B12,Seqs!$A:$B,2,0),AC12,1),"")</f>
        <v>T</v>
      </c>
      <c r="AC12" s="9">
        <v>120</v>
      </c>
      <c r="AD12" s="9" t="str">
        <f>IFERROR(MID(VLOOKUP($B12,Seqs!$A:$B,2,0),AE12,1),"")</f>
        <v>G</v>
      </c>
      <c r="AE12" s="9">
        <v>145</v>
      </c>
      <c r="AF12" s="9" t="str">
        <f>IFERROR(MID(VLOOKUP($B12,Seqs!$A:$B,2,0),AG12,1),"")</f>
        <v>C</v>
      </c>
      <c r="AG12" s="9">
        <v>169</v>
      </c>
      <c r="AH12" s="9" t="str">
        <f>IFERROR(MID(VLOOKUP($B12,Seqs!$A:$B,2,0),AI12,1),"")</f>
        <v>F</v>
      </c>
      <c r="AI12" s="9">
        <v>171</v>
      </c>
      <c r="AJ12" s="9" t="str">
        <f>IFERROR(MID(VLOOKUP($B12,Seqs!$A:$B,2,0),AK12,1),"")</f>
        <v>S</v>
      </c>
      <c r="AK12" s="9">
        <v>176</v>
      </c>
      <c r="AL12" s="9" t="str">
        <f>IFERROR(MID(VLOOKUP($B12,Seqs!$A:$B,2,0),AM12,1),"")</f>
        <v>L</v>
      </c>
      <c r="AM12" s="9">
        <v>211</v>
      </c>
      <c r="AN12" s="9" t="str">
        <f>IFERROR(MID(VLOOKUP($B12,Seqs!$A:$B,2,0),AO12,1),"")</f>
        <v>Q</v>
      </c>
      <c r="AO12" s="9">
        <v>223</v>
      </c>
      <c r="AP12" s="9" t="str">
        <f>IFERROR(MID(VLOOKUP($B12,Seqs!$A:$B,2,0),AQ12,1),"")</f>
        <v>C</v>
      </c>
      <c r="AQ12" s="9">
        <v>260</v>
      </c>
      <c r="AR12" s="9" t="str">
        <f>IFERROR(MID(VLOOKUP($B12,Seqs!$A:$B,2,0),AS12,1),"")</f>
        <v>P</v>
      </c>
      <c r="AS12" s="9">
        <v>266</v>
      </c>
      <c r="AT12" s="9" t="str">
        <f>IFERROR(MID(VLOOKUP($B12,Seqs!$A:$B,2,0),AU12,1),"")</f>
        <v>F</v>
      </c>
      <c r="AU12" s="9">
        <v>295</v>
      </c>
      <c r="AV12" s="9" t="str">
        <f>IFERROR(MID(VLOOKUP($B12,Seqs!$A:$B,2,0),AW12,1),"")</f>
        <v/>
      </c>
      <c r="AW12" s="9" t="s">
        <v>23</v>
      </c>
      <c r="AX12" s="9" t="str">
        <f>IFERROR(MID(VLOOKUP($B12,Seqs!$A:$B,2,0),AY12,1),"")</f>
        <v/>
      </c>
      <c r="AY12" s="9" t="s">
        <v>23</v>
      </c>
      <c r="AZ12" s="113" t="str">
        <f>VLOOKUP(B12,Classification!A:D,2,0)</f>
        <v>A</v>
      </c>
      <c r="BA12" s="101" t="str">
        <f>VLOOKUP(B12,Classification!A:D,4,0)</f>
        <v>Adenosine</v>
      </c>
      <c r="BB12" s="27" t="b">
        <f t="shared" si="85"/>
        <v>1</v>
      </c>
      <c r="BC12" s="112">
        <f t="shared" ref="BC12" si="113">_xlfn.AGGREGATE(9,6,CH12:CS12)-_xlfn.AGGREGATE(9,6,BV12:CG12)+12</f>
        <v>244</v>
      </c>
      <c r="BD12" s="13" t="s">
        <v>23</v>
      </c>
      <c r="BE12" s="9" t="s">
        <v>1381</v>
      </c>
      <c r="BF12" s="125">
        <v>3.3</v>
      </c>
      <c r="BG12" s="52" t="s">
        <v>1</v>
      </c>
      <c r="BH12" s="52" t="s">
        <v>1</v>
      </c>
      <c r="BJ12" s="114" t="s">
        <v>1293</v>
      </c>
      <c r="BK12" s="115" t="s">
        <v>1293</v>
      </c>
      <c r="BL12" s="115" t="s">
        <v>1293</v>
      </c>
      <c r="BM12" s="115" t="s">
        <v>1293</v>
      </c>
      <c r="BN12" s="115" t="s">
        <v>1293</v>
      </c>
      <c r="BO12" s="115" t="s">
        <v>1293</v>
      </c>
      <c r="BP12" s="115" t="s">
        <v>1293</v>
      </c>
      <c r="BQ12" s="115" t="s">
        <v>1293</v>
      </c>
      <c r="BR12" s="115" t="s">
        <v>1293</v>
      </c>
      <c r="BS12" s="115" t="s">
        <v>1293</v>
      </c>
      <c r="BT12" s="115" t="s">
        <v>1293</v>
      </c>
      <c r="BU12" s="115" t="s">
        <v>1293</v>
      </c>
      <c r="BV12" s="114">
        <f t="shared" ref="BV12" si="114">E12</f>
        <v>6</v>
      </c>
      <c r="BW12" s="116" t="str">
        <f t="shared" ref="BW12" si="115">I12</f>
        <v>-</v>
      </c>
      <c r="BX12" s="117">
        <f t="shared" ref="BX12" si="116">M12</f>
        <v>42</v>
      </c>
      <c r="BY12" s="116">
        <f t="shared" ref="BY12" si="117">Q12</f>
        <v>73</v>
      </c>
      <c r="BZ12" s="117">
        <f t="shared" ref="BZ12" si="118">U12</f>
        <v>76</v>
      </c>
      <c r="CA12" s="116">
        <f t="shared" ref="CA12" si="119">Y12</f>
        <v>112</v>
      </c>
      <c r="CB12" s="117">
        <f t="shared" ref="CB12" si="120">AC12</f>
        <v>120</v>
      </c>
      <c r="CC12" s="116">
        <f t="shared" ref="CC12" si="121">AG12</f>
        <v>169</v>
      </c>
      <c r="CD12" s="117">
        <f t="shared" ref="CD12" si="122">AK12</f>
        <v>176</v>
      </c>
      <c r="CE12" s="116">
        <f t="shared" ref="CE12" si="123">AO12</f>
        <v>223</v>
      </c>
      <c r="CF12" s="117">
        <f t="shared" ref="CF12" si="124">AS12</f>
        <v>266</v>
      </c>
      <c r="CG12" s="116" t="str">
        <f t="shared" ref="CG12" si="125">AW12</f>
        <v>-</v>
      </c>
      <c r="CH12" s="114">
        <f t="shared" ref="CH12" si="126">G12</f>
        <v>36</v>
      </c>
      <c r="CI12" s="116" t="str">
        <f t="shared" ref="CI12" si="127">K12</f>
        <v>-</v>
      </c>
      <c r="CJ12" s="117">
        <f t="shared" ref="CJ12" si="128">O12</f>
        <v>72</v>
      </c>
      <c r="CK12" s="117">
        <f t="shared" ref="CK12" si="129">S12</f>
        <v>75</v>
      </c>
      <c r="CL12" s="117">
        <f t="shared" ref="CL12" si="130">W12</f>
        <v>111</v>
      </c>
      <c r="CM12" s="117">
        <f t="shared" ref="CM12" si="131">AA12</f>
        <v>119</v>
      </c>
      <c r="CN12" s="117">
        <f t="shared" ref="CN12" si="132">AE12</f>
        <v>145</v>
      </c>
      <c r="CO12" s="117">
        <f t="shared" ref="CO12" si="133">AI12</f>
        <v>171</v>
      </c>
      <c r="CP12" s="117">
        <f t="shared" ref="CP12" si="134">AM12</f>
        <v>211</v>
      </c>
      <c r="CQ12" s="117">
        <f t="shared" ref="CQ12" si="135">AQ12</f>
        <v>260</v>
      </c>
      <c r="CR12" s="117">
        <f t="shared" ref="CR12" si="136">AU12</f>
        <v>295</v>
      </c>
      <c r="CS12" s="117" t="str">
        <f t="shared" ref="CS12" si="137">AY12</f>
        <v>-</v>
      </c>
      <c r="CT12" s="112" t="e">
        <f t="shared" ref="CT12" si="138">M12-K12</f>
        <v>#VALUE!</v>
      </c>
    </row>
    <row r="13" spans="1:1029" x14ac:dyDescent="0.2">
      <c r="A13" s="3" t="str">
        <f t="shared" si="84"/>
        <v>aa1r_human_5UEN</v>
      </c>
      <c r="B13" s="3" t="s">
        <v>138</v>
      </c>
      <c r="C13" s="3" t="s">
        <v>1396</v>
      </c>
      <c r="D13" s="3" t="str">
        <f>IFERROR(MID(VLOOKUP($B13,Seqs!$A:$B,2,0),E13,1),"")</f>
        <v>S</v>
      </c>
      <c r="E13" s="3">
        <v>6</v>
      </c>
      <c r="F13" s="3" t="str">
        <f>IFERROR(MID(VLOOKUP($B13,Seqs!$A:$B,2,0),G13,1),"")</f>
        <v>N</v>
      </c>
      <c r="G13" s="3">
        <v>37</v>
      </c>
      <c r="H13" s="3" t="str">
        <f>IFERROR(MID(VLOOKUP($B13,Seqs!$A:$B,2,0),I13,1),"")</f>
        <v>Q</v>
      </c>
      <c r="I13" s="23">
        <v>38</v>
      </c>
      <c r="J13" s="3" t="str">
        <f>IFERROR(MID(VLOOKUP($B13,Seqs!$A:$B,2,0),K13,1),"")</f>
        <v>R</v>
      </c>
      <c r="K13" s="23">
        <v>41</v>
      </c>
      <c r="L13" s="3" t="str">
        <f>IFERROR(MID(VLOOKUP($B13,Seqs!$A:$B,2,0),M13,1),"")</f>
        <v>D</v>
      </c>
      <c r="M13" s="3">
        <v>42</v>
      </c>
      <c r="N13" s="3" t="str">
        <f>IFERROR(MID(VLOOKUP($B13,Seqs!$A:$B,2,0),O13,1),"")</f>
        <v>G</v>
      </c>
      <c r="O13" s="3">
        <v>72</v>
      </c>
      <c r="P13" s="3" t="str">
        <f>IFERROR(MID(VLOOKUP($B13,Seqs!$A:$B,2,0),Q13,1),"")</f>
        <v>P</v>
      </c>
      <c r="Q13" s="3">
        <v>73</v>
      </c>
      <c r="R13" s="3" t="str">
        <f>IFERROR(MID(VLOOKUP($B13,Seqs!$A:$B,2,0),S13,1),"")</f>
        <v>T</v>
      </c>
      <c r="S13" s="3">
        <v>75</v>
      </c>
      <c r="T13" s="3" t="str">
        <f>IFERROR(MID(VLOOKUP($B13,Seqs!$A:$B,2,0),U13,1),"")</f>
        <v>Y</v>
      </c>
      <c r="U13" s="3">
        <v>76</v>
      </c>
      <c r="V13" s="3" t="str">
        <f>IFERROR(MID(VLOOKUP($B13,Seqs!$A:$B,2,0),W13,1),"")</f>
        <v>I</v>
      </c>
      <c r="W13" s="3">
        <v>111</v>
      </c>
      <c r="X13" s="3" t="str">
        <f>IFERROR(MID(VLOOKUP($B13,Seqs!$A:$B,2,0),Y13,1),"")</f>
        <v>P</v>
      </c>
      <c r="Y13" s="3">
        <v>112</v>
      </c>
      <c r="Z13" s="3" t="str">
        <f>IFERROR(MID(VLOOKUP($B13,Seqs!$A:$B,2,0),AA13,1),"")</f>
        <v>V</v>
      </c>
      <c r="AA13" s="3">
        <v>119</v>
      </c>
      <c r="AB13" s="3" t="str">
        <f>IFERROR(MID(VLOOKUP($B13,Seqs!$A:$B,2,0),AC13,1),"")</f>
        <v>T</v>
      </c>
      <c r="AC13" s="3">
        <v>120</v>
      </c>
      <c r="AD13" s="3" t="str">
        <f>IFERROR(MID(VLOOKUP($B13,Seqs!$A:$B,2,0),AE13,1),"")</f>
        <v>G</v>
      </c>
      <c r="AE13" s="3">
        <v>145</v>
      </c>
      <c r="AF13" s="3" t="str">
        <f>IFERROR(MID(VLOOKUP($B13,Seqs!$A:$B,2,0),AG13,1),"")</f>
        <v>C</v>
      </c>
      <c r="AG13" s="3">
        <v>169</v>
      </c>
      <c r="AH13" s="3" t="str">
        <f>IFERROR(MID(VLOOKUP($B13,Seqs!$A:$B,2,0),AI13,1),"")</f>
        <v>F</v>
      </c>
      <c r="AI13" s="3">
        <v>171</v>
      </c>
      <c r="AJ13" s="3" t="str">
        <f>IFERROR(MID(VLOOKUP($B13,Seqs!$A:$B,2,0),AK13,1),"")</f>
        <v>S</v>
      </c>
      <c r="AK13" s="3">
        <v>176</v>
      </c>
      <c r="AL13" s="3" t="str">
        <f>IFERROR(MID(VLOOKUP($B13,Seqs!$A:$B,2,0),AM13,1),"")</f>
        <v>L</v>
      </c>
      <c r="AM13" s="3">
        <v>211</v>
      </c>
      <c r="AN13" s="3" t="str">
        <f>IFERROR(MID(VLOOKUP($B13,Seqs!$A:$B,2,0),AO13,1),"")</f>
        <v>G</v>
      </c>
      <c r="AO13" s="3">
        <v>220</v>
      </c>
      <c r="AP13" s="3" t="str">
        <f>IFERROR(MID(VLOOKUP($B13,Seqs!$A:$B,2,0),AQ13,1),"")</f>
        <v>C</v>
      </c>
      <c r="AQ13" s="3">
        <v>260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F</v>
      </c>
      <c r="AY13" s="3">
        <v>307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85"/>
        <v>1</v>
      </c>
      <c r="BC13" s="23">
        <f t="shared" si="86"/>
        <v>262</v>
      </c>
      <c r="BD13" s="4" t="s">
        <v>1383</v>
      </c>
      <c r="BE13" s="3" t="s">
        <v>1381</v>
      </c>
      <c r="BF13" s="124">
        <v>3.2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87"/>
        <v>6</v>
      </c>
      <c r="BW13" s="73">
        <f t="shared" si="88"/>
        <v>38</v>
      </c>
      <c r="BX13" s="74">
        <f t="shared" si="89"/>
        <v>42</v>
      </c>
      <c r="BY13" s="73">
        <f t="shared" si="90"/>
        <v>73</v>
      </c>
      <c r="BZ13" s="74">
        <f t="shared" si="91"/>
        <v>76</v>
      </c>
      <c r="CA13" s="73">
        <f t="shared" si="92"/>
        <v>112</v>
      </c>
      <c r="CB13" s="74">
        <f t="shared" si="93"/>
        <v>120</v>
      </c>
      <c r="CC13" s="73">
        <f t="shared" si="94"/>
        <v>169</v>
      </c>
      <c r="CD13" s="74">
        <f t="shared" si="95"/>
        <v>176</v>
      </c>
      <c r="CE13" s="73">
        <f t="shared" si="96"/>
        <v>220</v>
      </c>
      <c r="CF13" s="74">
        <f t="shared" si="97"/>
        <v>266</v>
      </c>
      <c r="CG13" s="73">
        <f t="shared" si="98"/>
        <v>292</v>
      </c>
      <c r="CH13" s="72">
        <f t="shared" si="99"/>
        <v>37</v>
      </c>
      <c r="CI13" s="73">
        <f t="shared" si="100"/>
        <v>41</v>
      </c>
      <c r="CJ13" s="74">
        <f t="shared" si="101"/>
        <v>72</v>
      </c>
      <c r="CK13" s="74">
        <f t="shared" si="102"/>
        <v>75</v>
      </c>
      <c r="CL13" s="74">
        <f t="shared" si="103"/>
        <v>111</v>
      </c>
      <c r="CM13" s="74">
        <f t="shared" si="104"/>
        <v>119</v>
      </c>
      <c r="CN13" s="74">
        <f t="shared" si="105"/>
        <v>145</v>
      </c>
      <c r="CO13" s="74">
        <f t="shared" si="106"/>
        <v>171</v>
      </c>
      <c r="CP13" s="74">
        <f t="shared" si="107"/>
        <v>211</v>
      </c>
      <c r="CQ13" s="74">
        <f t="shared" si="108"/>
        <v>260</v>
      </c>
      <c r="CR13" s="74">
        <f t="shared" si="109"/>
        <v>291</v>
      </c>
      <c r="CS13" s="74">
        <f t="shared" si="110"/>
        <v>307</v>
      </c>
      <c r="CT13" s="23">
        <f t="shared" si="111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aa2ar_human__wt</v>
      </c>
      <c r="B14" s="3" t="s">
        <v>139</v>
      </c>
      <c r="C14" s="3" t="s">
        <v>100</v>
      </c>
      <c r="D14" s="3" t="str">
        <f>IFERROR(MID(VLOOKUP($B14,Seqs!$A:$B,2,0),E14,1),"")</f>
        <v>M</v>
      </c>
      <c r="E14" s="3">
        <v>1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S</v>
      </c>
      <c r="AM14" s="3">
        <v>213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F</v>
      </c>
      <c r="AY14" s="3">
        <v>314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ref="BC14:BC24" si="139">_xlfn.AGGREGATE(9,6,CH14:CS14)-_xlfn.AGGREGATE(9,6,BV14:CG14)+12</f>
        <v>276</v>
      </c>
      <c r="BD14" s="35" t="s">
        <v>1379</v>
      </c>
      <c r="BE14" s="3" t="s">
        <v>23</v>
      </c>
      <c r="BF14" s="124" t="s">
        <v>23</v>
      </c>
      <c r="BG14" s="50" t="s">
        <v>1379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1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219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213</v>
      </c>
      <c r="CQ14" s="74">
        <f t="shared" si="24"/>
        <v>259</v>
      </c>
      <c r="CR14" s="74">
        <f t="shared" si="25"/>
        <v>291</v>
      </c>
      <c r="CS14" s="74">
        <f t="shared" si="26"/>
        <v>314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aa2ar_human_2YDO</v>
      </c>
      <c r="B15" s="3" t="s">
        <v>139</v>
      </c>
      <c r="C15" s="3" t="s">
        <v>1029</v>
      </c>
      <c r="D15" s="3" t="str">
        <f>IFERROR(MID(VLOOKUP($B15,Seqs!$A:$B,2,0),E15,1),"")</f>
        <v>S</v>
      </c>
      <c r="E15" s="3">
        <v>7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Q</v>
      </c>
      <c r="AM15" s="3">
        <v>210</v>
      </c>
      <c r="AN15" s="3" t="str">
        <f>IFERROR(MID(VLOOKUP($B15,Seqs!$A:$B,2,0),AO15,1),"")</f>
        <v>L</v>
      </c>
      <c r="AO15" s="3">
        <v>225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A</v>
      </c>
      <c r="AY15" s="3">
        <v>317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139"/>
        <v>264</v>
      </c>
      <c r="BD15" s="4" t="s">
        <v>23</v>
      </c>
      <c r="BE15" s="3" t="s">
        <v>1439</v>
      </c>
      <c r="BF15" s="124">
        <v>3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7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225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210</v>
      </c>
      <c r="CQ15" s="74">
        <f t="shared" si="24"/>
        <v>259</v>
      </c>
      <c r="CR15" s="74">
        <f t="shared" si="25"/>
        <v>291</v>
      </c>
      <c r="CS15" s="74">
        <f t="shared" si="26"/>
        <v>317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aa2ar_human_2YDV</v>
      </c>
      <c r="B16" s="3" t="s">
        <v>139</v>
      </c>
      <c r="C16" s="3" t="s">
        <v>80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T</v>
      </c>
      <c r="AO16" s="3">
        <v>224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A</v>
      </c>
      <c r="AY16" s="3">
        <v>317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139"/>
        <v>265</v>
      </c>
      <c r="BD16" s="4" t="s">
        <v>1440</v>
      </c>
      <c r="BE16" s="3" t="s">
        <v>1439</v>
      </c>
      <c r="BF16" s="124">
        <v>2.6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224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317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aa2ar_human_3QAK</v>
      </c>
      <c r="B17" s="3" t="s">
        <v>139</v>
      </c>
      <c r="C17" s="3" t="s">
        <v>1034</v>
      </c>
      <c r="D17" s="3" t="str">
        <f>IFERROR(MID(VLOOKUP($B17,Seqs!$A:$B,2,0),E17,1),"")</f>
        <v>G</v>
      </c>
      <c r="E17" s="3">
        <v>5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A</v>
      </c>
      <c r="AM17" s="3">
        <v>204</v>
      </c>
      <c r="AN17" s="3" t="str">
        <f>IFERROR(MID(VLOOKUP($B17,Seqs!$A:$B,2,0),AO17,1),"")</f>
        <v>Q</v>
      </c>
      <c r="AO17" s="3">
        <v>226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L</v>
      </c>
      <c r="AY17" s="3">
        <v>308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139"/>
        <v>250</v>
      </c>
      <c r="BD17" s="4" t="s">
        <v>23</v>
      </c>
      <c r="BE17" s="3" t="s">
        <v>1439</v>
      </c>
      <c r="BF17" s="124">
        <v>2.71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5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226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204</v>
      </c>
      <c r="CQ17" s="74">
        <f t="shared" si="24"/>
        <v>259</v>
      </c>
      <c r="CR17" s="74">
        <f t="shared" si="25"/>
        <v>291</v>
      </c>
      <c r="CS17" s="74">
        <f t="shared" si="26"/>
        <v>308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aa2ar_human_3REY</v>
      </c>
      <c r="B18" s="3" t="s">
        <v>139</v>
      </c>
      <c r="C18" s="3" t="s">
        <v>83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Q</v>
      </c>
      <c r="AM18" s="3">
        <v>210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139"/>
        <v>258</v>
      </c>
      <c r="BD18" s="4" t="s">
        <v>23</v>
      </c>
      <c r="BE18" s="3" t="s">
        <v>1439</v>
      </c>
      <c r="BF18" s="124">
        <v>3.31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210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aa2ar_human_3RFM</v>
      </c>
      <c r="B19" s="3" t="s">
        <v>139</v>
      </c>
      <c r="C19" s="3" t="s">
        <v>1035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139"/>
        <v>261</v>
      </c>
      <c r="BD19" s="4" t="s">
        <v>23</v>
      </c>
      <c r="BE19" s="3" t="s">
        <v>1381</v>
      </c>
      <c r="BF19" s="124">
        <v>3.6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aa2ar_human_3UZA</v>
      </c>
      <c r="B20" s="3" t="s">
        <v>139</v>
      </c>
      <c r="C20" s="3" t="s">
        <v>1036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S</v>
      </c>
      <c r="AY20" s="3">
        <v>305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139"/>
        <v>261</v>
      </c>
      <c r="BD20" s="4" t="s">
        <v>23</v>
      </c>
      <c r="BE20" s="3" t="s">
        <v>1381</v>
      </c>
      <c r="BF20" s="124">
        <v>3.27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7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219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213</v>
      </c>
      <c r="CQ20" s="74">
        <f t="shared" si="24"/>
        <v>259</v>
      </c>
      <c r="CR20" s="74">
        <f t="shared" si="25"/>
        <v>291</v>
      </c>
      <c r="CS20" s="74">
        <f t="shared" si="26"/>
        <v>305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s="6" customFormat="1" x14ac:dyDescent="0.2">
      <c r="A21" s="3" t="str">
        <f t="shared" si="0"/>
        <v>aa2ar_human_3UZC</v>
      </c>
      <c r="B21" s="3" t="s">
        <v>139</v>
      </c>
      <c r="C21" s="3" t="s">
        <v>1037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S</v>
      </c>
      <c r="AM21" s="3">
        <v>213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S</v>
      </c>
      <c r="AY21" s="3">
        <v>305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139"/>
        <v>261</v>
      </c>
      <c r="BD21" s="4" t="s">
        <v>23</v>
      </c>
      <c r="BE21" s="3" t="s">
        <v>1381</v>
      </c>
      <c r="BF21" s="124">
        <v>3.34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7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213</v>
      </c>
      <c r="CQ21" s="74">
        <f t="shared" si="24"/>
        <v>259</v>
      </c>
      <c r="CR21" s="74">
        <f t="shared" si="25"/>
        <v>291</v>
      </c>
      <c r="CS21" s="74">
        <f t="shared" si="26"/>
        <v>305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</row>
    <row r="22" spans="1:1030" s="6" customFormat="1" x14ac:dyDescent="0.2">
      <c r="A22" s="3" t="str">
        <f t="shared" si="0"/>
        <v>aa2ar_human_3VG9</v>
      </c>
      <c r="B22" s="3" t="s">
        <v>139</v>
      </c>
      <c r="C22" s="3" t="s">
        <v>1104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214</v>
      </c>
      <c r="AN22" s="3" t="str">
        <f>IFERROR(MID(VLOOKUP($B22,Seqs!$A:$B,2,0),AO22,1),"")</f>
        <v>A</v>
      </c>
      <c r="AO22" s="3">
        <v>221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139"/>
        <v>267</v>
      </c>
      <c r="BD22" s="4" t="s">
        <v>23</v>
      </c>
      <c r="BE22" s="3" t="s">
        <v>1381</v>
      </c>
      <c r="BF22" s="124">
        <v>2.7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221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214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</row>
    <row r="23" spans="1:1030" x14ac:dyDescent="0.2">
      <c r="A23" s="3" t="str">
        <f t="shared" si="0"/>
        <v>aa2ar_human_4EIY</v>
      </c>
      <c r="B23" s="3" t="s">
        <v>139</v>
      </c>
      <c r="C23" s="3" t="s">
        <v>81</v>
      </c>
      <c r="D23" s="3" t="str">
        <f>IFERROR(MID(VLOOKUP($B23,Seqs!$A:$B,2,0),E23,1),"")</f>
        <v>P</v>
      </c>
      <c r="E23" s="3">
        <v>2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V</v>
      </c>
      <c r="AY23" s="3">
        <v>307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si="139"/>
        <v>262</v>
      </c>
      <c r="BD23" s="4" t="s">
        <v>23</v>
      </c>
      <c r="BE23" s="3" t="s">
        <v>1381</v>
      </c>
      <c r="BF23" s="124">
        <v>1.8</v>
      </c>
      <c r="BG23" s="50" t="s">
        <v>1384</v>
      </c>
      <c r="BH23" s="50" t="s">
        <v>1384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si="3"/>
        <v>2</v>
      </c>
      <c r="BW23" s="73">
        <f t="shared" si="4"/>
        <v>35</v>
      </c>
      <c r="BX23" s="74">
        <f t="shared" si="5"/>
        <v>39</v>
      </c>
      <c r="BY23" s="73">
        <f t="shared" si="6"/>
        <v>70</v>
      </c>
      <c r="BZ23" s="74">
        <f t="shared" si="7"/>
        <v>73</v>
      </c>
      <c r="CA23" s="73">
        <f t="shared" si="8"/>
        <v>109</v>
      </c>
      <c r="CB23" s="74">
        <f t="shared" si="9"/>
        <v>117</v>
      </c>
      <c r="CC23" s="73">
        <f t="shared" si="10"/>
        <v>166</v>
      </c>
      <c r="CD23" s="74">
        <f t="shared" si="11"/>
        <v>173</v>
      </c>
      <c r="CE23" s="73">
        <f t="shared" si="12"/>
        <v>219</v>
      </c>
      <c r="CF23" s="74">
        <f t="shared" si="13"/>
        <v>266</v>
      </c>
      <c r="CG23" s="73">
        <f t="shared" si="14"/>
        <v>292</v>
      </c>
      <c r="CH23" s="72">
        <f t="shared" si="15"/>
        <v>34</v>
      </c>
      <c r="CI23" s="73">
        <f t="shared" si="16"/>
        <v>38</v>
      </c>
      <c r="CJ23" s="74">
        <f t="shared" si="17"/>
        <v>69</v>
      </c>
      <c r="CK23" s="74">
        <f t="shared" si="18"/>
        <v>72</v>
      </c>
      <c r="CL23" s="74">
        <f t="shared" si="19"/>
        <v>108</v>
      </c>
      <c r="CM23" s="74">
        <f t="shared" si="20"/>
        <v>116</v>
      </c>
      <c r="CN23" s="74">
        <f t="shared" si="21"/>
        <v>142</v>
      </c>
      <c r="CO23" s="74">
        <f t="shared" si="22"/>
        <v>168</v>
      </c>
      <c r="CP23" s="74">
        <f t="shared" si="23"/>
        <v>207</v>
      </c>
      <c r="CQ23" s="74">
        <f t="shared" si="24"/>
        <v>259</v>
      </c>
      <c r="CR23" s="74">
        <f t="shared" si="25"/>
        <v>291</v>
      </c>
      <c r="CS23" s="74">
        <f t="shared" si="26"/>
        <v>307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aa2ar_human_4UHR</v>
      </c>
      <c r="B24" s="3" t="s">
        <v>139</v>
      </c>
      <c r="C24" s="3" t="s">
        <v>1055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Q</v>
      </c>
      <c r="AY24" s="3">
        <v>311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139"/>
        <v>268</v>
      </c>
      <c r="BD24" s="2" t="s">
        <v>1383</v>
      </c>
      <c r="BE24" s="3" t="s">
        <v>1381</v>
      </c>
      <c r="BF24" s="124">
        <v>2.6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3"/>
        <v>6</v>
      </c>
      <c r="BW24" s="73">
        <f t="shared" si="4"/>
        <v>35</v>
      </c>
      <c r="BX24" s="74">
        <f t="shared" si="5"/>
        <v>39</v>
      </c>
      <c r="BY24" s="73">
        <f t="shared" si="6"/>
        <v>70</v>
      </c>
      <c r="BZ24" s="74">
        <f t="shared" si="7"/>
        <v>73</v>
      </c>
      <c r="CA24" s="73">
        <f t="shared" si="8"/>
        <v>109</v>
      </c>
      <c r="CB24" s="74">
        <f t="shared" si="9"/>
        <v>117</v>
      </c>
      <c r="CC24" s="73">
        <f t="shared" si="10"/>
        <v>166</v>
      </c>
      <c r="CD24" s="74">
        <f t="shared" si="11"/>
        <v>173</v>
      </c>
      <c r="CE24" s="73">
        <f t="shared" si="12"/>
        <v>219</v>
      </c>
      <c r="CF24" s="74">
        <f t="shared" si="13"/>
        <v>266</v>
      </c>
      <c r="CG24" s="73">
        <f t="shared" si="14"/>
        <v>292</v>
      </c>
      <c r="CH24" s="72">
        <f t="shared" si="15"/>
        <v>34</v>
      </c>
      <c r="CI24" s="73">
        <f t="shared" si="16"/>
        <v>38</v>
      </c>
      <c r="CJ24" s="74">
        <f t="shared" si="17"/>
        <v>69</v>
      </c>
      <c r="CK24" s="74">
        <f t="shared" si="18"/>
        <v>72</v>
      </c>
      <c r="CL24" s="74">
        <f t="shared" si="19"/>
        <v>108</v>
      </c>
      <c r="CM24" s="74">
        <f t="shared" si="20"/>
        <v>116</v>
      </c>
      <c r="CN24" s="74">
        <f t="shared" si="21"/>
        <v>142</v>
      </c>
      <c r="CO24" s="74">
        <f t="shared" si="22"/>
        <v>168</v>
      </c>
      <c r="CP24" s="74">
        <f t="shared" si="23"/>
        <v>213</v>
      </c>
      <c r="CQ24" s="74">
        <f t="shared" si="24"/>
        <v>259</v>
      </c>
      <c r="CR24" s="74">
        <f t="shared" si="25"/>
        <v>291</v>
      </c>
      <c r="CS24" s="74">
        <f t="shared" si="26"/>
        <v>311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aa2ar_human_5G53</v>
      </c>
      <c r="B25" s="3" t="s">
        <v>139</v>
      </c>
      <c r="C25" s="3" t="s">
        <v>1298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207</v>
      </c>
      <c r="AN25" s="3" t="str">
        <f>IFERROR(MID(VLOOKUP($B25,Seqs!$A:$B,2,0),AO25,1),"")</f>
        <v>T</v>
      </c>
      <c r="AO25" s="3">
        <v>224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ref="BC25:BC62" si="140">_xlfn.AGGREGATE(9,6,CH25:CS25)-_xlfn.AGGREGATE(9,6,BV25:CG25)+12</f>
        <v>251</v>
      </c>
      <c r="BD25" s="4" t="s">
        <v>1382</v>
      </c>
      <c r="BE25" s="3" t="s">
        <v>1297</v>
      </c>
      <c r="BF25" s="124">
        <v>3.4</v>
      </c>
      <c r="BG25" s="50" t="s">
        <v>1287</v>
      </c>
      <c r="BH25" s="50" t="s">
        <v>1287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ref="BV25:BV62" si="141">E25</f>
        <v>6</v>
      </c>
      <c r="BW25" s="73">
        <f t="shared" ref="BW25:BW62" si="142">I25</f>
        <v>35</v>
      </c>
      <c r="BX25" s="74">
        <f t="shared" ref="BX25:BX62" si="143">M25</f>
        <v>39</v>
      </c>
      <c r="BY25" s="73">
        <f t="shared" ref="BY25:BY62" si="144">Q25</f>
        <v>70</v>
      </c>
      <c r="BZ25" s="74">
        <f t="shared" ref="BZ25:BZ62" si="145">U25</f>
        <v>73</v>
      </c>
      <c r="CA25" s="73">
        <f t="shared" ref="CA25:CA62" si="146">Y25</f>
        <v>109</v>
      </c>
      <c r="CB25" s="74">
        <f t="shared" ref="CB25:CB62" si="147">AC25</f>
        <v>117</v>
      </c>
      <c r="CC25" s="73">
        <f t="shared" ref="CC25:CC62" si="148">AG25</f>
        <v>166</v>
      </c>
      <c r="CD25" s="74">
        <f t="shared" ref="CD25:CD62" si="149">AK25</f>
        <v>173</v>
      </c>
      <c r="CE25" s="73">
        <f t="shared" ref="CE25:CE62" si="150">AO25</f>
        <v>224</v>
      </c>
      <c r="CF25" s="74">
        <f t="shared" ref="CF25:CF62" si="151">AS25</f>
        <v>266</v>
      </c>
      <c r="CG25" s="73">
        <f t="shared" ref="CG25:CG62" si="152">AW25</f>
        <v>292</v>
      </c>
      <c r="CH25" s="72">
        <f t="shared" ref="CH25:CH62" si="153">G25</f>
        <v>34</v>
      </c>
      <c r="CI25" s="73">
        <f t="shared" ref="CI25:CI62" si="154">K25</f>
        <v>38</v>
      </c>
      <c r="CJ25" s="74">
        <f t="shared" ref="CJ25:CJ62" si="155">O25</f>
        <v>69</v>
      </c>
      <c r="CK25" s="74">
        <f t="shared" ref="CK25:CK62" si="156">S25</f>
        <v>72</v>
      </c>
      <c r="CL25" s="74">
        <f t="shared" ref="CL25:CL62" si="157">W25</f>
        <v>108</v>
      </c>
      <c r="CM25" s="74">
        <f t="shared" ref="CM25:CM62" si="158">AA25</f>
        <v>116</v>
      </c>
      <c r="CN25" s="74">
        <f t="shared" ref="CN25:CN62" si="159">AE25</f>
        <v>142</v>
      </c>
      <c r="CO25" s="74">
        <f t="shared" ref="CO25:CO62" si="160">AI25</f>
        <v>168</v>
      </c>
      <c r="CP25" s="74">
        <f t="shared" ref="CP25:CP62" si="161">AM25</f>
        <v>207</v>
      </c>
      <c r="CQ25" s="74">
        <f t="shared" ref="CQ25:CQ62" si="162">AQ25</f>
        <v>259</v>
      </c>
      <c r="CR25" s="74">
        <f t="shared" ref="CR25:CR62" si="163">AU25</f>
        <v>291</v>
      </c>
      <c r="CS25" s="74">
        <f t="shared" ref="CS25:CS62" si="164">AY25</f>
        <v>305</v>
      </c>
      <c r="CT25" s="23">
        <f t="shared" ref="CT25:CT62" si="165">M25-K25</f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aa2ar_human_5IU4</v>
      </c>
      <c r="B26" s="3" t="s">
        <v>139</v>
      </c>
      <c r="C26" s="3" t="s">
        <v>1351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140"/>
        <v>261</v>
      </c>
      <c r="BD26" s="4" t="s">
        <v>23</v>
      </c>
      <c r="BE26" s="3" t="s">
        <v>1381</v>
      </c>
      <c r="BF26" s="124">
        <v>1.72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141"/>
        <v>2</v>
      </c>
      <c r="BW26" s="73">
        <f t="shared" si="142"/>
        <v>35</v>
      </c>
      <c r="BX26" s="74">
        <f t="shared" si="143"/>
        <v>39</v>
      </c>
      <c r="BY26" s="73">
        <f t="shared" si="144"/>
        <v>70</v>
      </c>
      <c r="BZ26" s="74">
        <f t="shared" si="145"/>
        <v>73</v>
      </c>
      <c r="CA26" s="73">
        <f t="shared" si="146"/>
        <v>109</v>
      </c>
      <c r="CB26" s="74">
        <f t="shared" si="147"/>
        <v>117</v>
      </c>
      <c r="CC26" s="73">
        <f t="shared" si="148"/>
        <v>166</v>
      </c>
      <c r="CD26" s="74">
        <f t="shared" si="149"/>
        <v>173</v>
      </c>
      <c r="CE26" s="73">
        <f t="shared" si="150"/>
        <v>219</v>
      </c>
      <c r="CF26" s="74">
        <f t="shared" si="151"/>
        <v>266</v>
      </c>
      <c r="CG26" s="73">
        <f t="shared" si="152"/>
        <v>292</v>
      </c>
      <c r="CH26" s="72">
        <f t="shared" si="153"/>
        <v>34</v>
      </c>
      <c r="CI26" s="73">
        <f t="shared" si="154"/>
        <v>38</v>
      </c>
      <c r="CJ26" s="74">
        <f t="shared" si="155"/>
        <v>69</v>
      </c>
      <c r="CK26" s="74">
        <f t="shared" si="156"/>
        <v>72</v>
      </c>
      <c r="CL26" s="74">
        <f t="shared" si="157"/>
        <v>108</v>
      </c>
      <c r="CM26" s="74">
        <f t="shared" si="158"/>
        <v>116</v>
      </c>
      <c r="CN26" s="74">
        <f t="shared" si="159"/>
        <v>142</v>
      </c>
      <c r="CO26" s="74">
        <f t="shared" si="160"/>
        <v>168</v>
      </c>
      <c r="CP26" s="74">
        <f t="shared" si="161"/>
        <v>208</v>
      </c>
      <c r="CQ26" s="74">
        <f t="shared" si="162"/>
        <v>259</v>
      </c>
      <c r="CR26" s="74">
        <f t="shared" si="163"/>
        <v>291</v>
      </c>
      <c r="CS26" s="74">
        <f t="shared" si="164"/>
        <v>305</v>
      </c>
      <c r="CT26" s="23">
        <f t="shared" si="16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aa2ar_human_5IU7</v>
      </c>
      <c r="B27" s="3" t="s">
        <v>139</v>
      </c>
      <c r="C27" s="3" t="s">
        <v>1352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140"/>
        <v>263</v>
      </c>
      <c r="BD27" s="4" t="s">
        <v>23</v>
      </c>
      <c r="BE27" s="3" t="s">
        <v>1381</v>
      </c>
      <c r="BF27" s="124">
        <v>1.9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141"/>
        <v>2</v>
      </c>
      <c r="BW27" s="73">
        <f t="shared" si="142"/>
        <v>35</v>
      </c>
      <c r="BX27" s="74">
        <f t="shared" si="143"/>
        <v>39</v>
      </c>
      <c r="BY27" s="73">
        <f t="shared" si="144"/>
        <v>70</v>
      </c>
      <c r="BZ27" s="74">
        <f t="shared" si="145"/>
        <v>73</v>
      </c>
      <c r="CA27" s="73">
        <f t="shared" si="146"/>
        <v>109</v>
      </c>
      <c r="CB27" s="74">
        <f t="shared" si="147"/>
        <v>117</v>
      </c>
      <c r="CC27" s="73">
        <f t="shared" si="148"/>
        <v>166</v>
      </c>
      <c r="CD27" s="74">
        <f t="shared" si="149"/>
        <v>173</v>
      </c>
      <c r="CE27" s="73">
        <f t="shared" si="150"/>
        <v>219</v>
      </c>
      <c r="CF27" s="74">
        <f t="shared" si="151"/>
        <v>266</v>
      </c>
      <c r="CG27" s="73">
        <f t="shared" si="152"/>
        <v>292</v>
      </c>
      <c r="CH27" s="72">
        <f t="shared" si="153"/>
        <v>34</v>
      </c>
      <c r="CI27" s="73">
        <f t="shared" si="154"/>
        <v>38</v>
      </c>
      <c r="CJ27" s="74">
        <f t="shared" si="155"/>
        <v>69</v>
      </c>
      <c r="CK27" s="74">
        <f t="shared" si="156"/>
        <v>72</v>
      </c>
      <c r="CL27" s="74">
        <f t="shared" si="157"/>
        <v>108</v>
      </c>
      <c r="CM27" s="74">
        <f t="shared" si="158"/>
        <v>116</v>
      </c>
      <c r="CN27" s="74">
        <f t="shared" si="159"/>
        <v>142</v>
      </c>
      <c r="CO27" s="74">
        <f t="shared" si="160"/>
        <v>168</v>
      </c>
      <c r="CP27" s="74">
        <f t="shared" si="161"/>
        <v>208</v>
      </c>
      <c r="CQ27" s="74">
        <f t="shared" si="162"/>
        <v>259</v>
      </c>
      <c r="CR27" s="74">
        <f t="shared" si="163"/>
        <v>291</v>
      </c>
      <c r="CS27" s="74">
        <f t="shared" si="164"/>
        <v>307</v>
      </c>
      <c r="CT27" s="23">
        <f t="shared" si="16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aa2ar_human_5IU8</v>
      </c>
      <c r="B28" s="3" t="s">
        <v>139</v>
      </c>
      <c r="C28" s="3" t="s">
        <v>1353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140"/>
        <v>261</v>
      </c>
      <c r="BD28" s="4" t="s">
        <v>23</v>
      </c>
      <c r="BE28" s="3" t="s">
        <v>1381</v>
      </c>
      <c r="BF28" s="124">
        <v>2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141"/>
        <v>2</v>
      </c>
      <c r="BW28" s="73">
        <f t="shared" si="142"/>
        <v>35</v>
      </c>
      <c r="BX28" s="74">
        <f t="shared" si="143"/>
        <v>39</v>
      </c>
      <c r="BY28" s="73">
        <f t="shared" si="144"/>
        <v>70</v>
      </c>
      <c r="BZ28" s="74">
        <f t="shared" si="145"/>
        <v>73</v>
      </c>
      <c r="CA28" s="73">
        <f t="shared" si="146"/>
        <v>109</v>
      </c>
      <c r="CB28" s="74">
        <f t="shared" si="147"/>
        <v>117</v>
      </c>
      <c r="CC28" s="73">
        <f t="shared" si="148"/>
        <v>166</v>
      </c>
      <c r="CD28" s="74">
        <f t="shared" si="149"/>
        <v>173</v>
      </c>
      <c r="CE28" s="73">
        <f t="shared" si="150"/>
        <v>219</v>
      </c>
      <c r="CF28" s="74">
        <f t="shared" si="151"/>
        <v>266</v>
      </c>
      <c r="CG28" s="73">
        <f t="shared" si="152"/>
        <v>292</v>
      </c>
      <c r="CH28" s="72">
        <f t="shared" si="153"/>
        <v>34</v>
      </c>
      <c r="CI28" s="73">
        <f t="shared" si="154"/>
        <v>38</v>
      </c>
      <c r="CJ28" s="74">
        <f t="shared" si="155"/>
        <v>69</v>
      </c>
      <c r="CK28" s="74">
        <f t="shared" si="156"/>
        <v>72</v>
      </c>
      <c r="CL28" s="74">
        <f t="shared" si="157"/>
        <v>108</v>
      </c>
      <c r="CM28" s="74">
        <f t="shared" si="158"/>
        <v>116</v>
      </c>
      <c r="CN28" s="74">
        <f t="shared" si="159"/>
        <v>142</v>
      </c>
      <c r="CO28" s="74">
        <f t="shared" si="160"/>
        <v>168</v>
      </c>
      <c r="CP28" s="74">
        <f t="shared" si="161"/>
        <v>208</v>
      </c>
      <c r="CQ28" s="74">
        <f t="shared" si="162"/>
        <v>259</v>
      </c>
      <c r="CR28" s="74">
        <f t="shared" si="163"/>
        <v>291</v>
      </c>
      <c r="CS28" s="74">
        <f t="shared" si="164"/>
        <v>305</v>
      </c>
      <c r="CT28" s="23">
        <f t="shared" si="165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aa2ar_human_5IUA</v>
      </c>
      <c r="B29" s="3" t="s">
        <v>139</v>
      </c>
      <c r="C29" s="3" t="s">
        <v>1354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H</v>
      </c>
      <c r="AY29" s="3">
        <v>306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140"/>
        <v>262</v>
      </c>
      <c r="BD29" s="4" t="s">
        <v>23</v>
      </c>
      <c r="BE29" s="3" t="s">
        <v>1381</v>
      </c>
      <c r="BF29" s="124">
        <v>2.2000000000000002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141"/>
        <v>2</v>
      </c>
      <c r="BW29" s="73">
        <f t="shared" si="142"/>
        <v>35</v>
      </c>
      <c r="BX29" s="74">
        <f t="shared" si="143"/>
        <v>39</v>
      </c>
      <c r="BY29" s="73">
        <f t="shared" si="144"/>
        <v>70</v>
      </c>
      <c r="BZ29" s="74">
        <f t="shared" si="145"/>
        <v>73</v>
      </c>
      <c r="CA29" s="73">
        <f t="shared" si="146"/>
        <v>109</v>
      </c>
      <c r="CB29" s="74">
        <f t="shared" si="147"/>
        <v>117</v>
      </c>
      <c r="CC29" s="73">
        <f t="shared" si="148"/>
        <v>166</v>
      </c>
      <c r="CD29" s="74">
        <f t="shared" si="149"/>
        <v>173</v>
      </c>
      <c r="CE29" s="73">
        <f t="shared" si="150"/>
        <v>219</v>
      </c>
      <c r="CF29" s="74">
        <f t="shared" si="151"/>
        <v>266</v>
      </c>
      <c r="CG29" s="73">
        <f t="shared" si="152"/>
        <v>292</v>
      </c>
      <c r="CH29" s="72">
        <f t="shared" si="153"/>
        <v>34</v>
      </c>
      <c r="CI29" s="73">
        <f t="shared" si="154"/>
        <v>38</v>
      </c>
      <c r="CJ29" s="74">
        <f t="shared" si="155"/>
        <v>69</v>
      </c>
      <c r="CK29" s="74">
        <f t="shared" si="156"/>
        <v>72</v>
      </c>
      <c r="CL29" s="74">
        <f t="shared" si="157"/>
        <v>108</v>
      </c>
      <c r="CM29" s="74">
        <f t="shared" si="158"/>
        <v>116</v>
      </c>
      <c r="CN29" s="74">
        <f t="shared" si="159"/>
        <v>142</v>
      </c>
      <c r="CO29" s="74">
        <f t="shared" si="160"/>
        <v>168</v>
      </c>
      <c r="CP29" s="74">
        <f t="shared" si="161"/>
        <v>208</v>
      </c>
      <c r="CQ29" s="74">
        <f t="shared" si="162"/>
        <v>259</v>
      </c>
      <c r="CR29" s="74">
        <f t="shared" si="163"/>
        <v>291</v>
      </c>
      <c r="CS29" s="74">
        <f t="shared" si="164"/>
        <v>306</v>
      </c>
      <c r="CT29" s="23">
        <f t="shared" si="16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aa2ar_human_5IUB</v>
      </c>
      <c r="B30" s="3" t="s">
        <v>139</v>
      </c>
      <c r="C30" s="3" t="s">
        <v>1355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140"/>
        <v>261</v>
      </c>
      <c r="BD30" s="4" t="s">
        <v>23</v>
      </c>
      <c r="BE30" s="3" t="s">
        <v>1381</v>
      </c>
      <c r="BF30" s="124">
        <v>2.1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141"/>
        <v>2</v>
      </c>
      <c r="BW30" s="73">
        <f t="shared" si="142"/>
        <v>35</v>
      </c>
      <c r="BX30" s="74">
        <f t="shared" si="143"/>
        <v>39</v>
      </c>
      <c r="BY30" s="73">
        <f t="shared" si="144"/>
        <v>70</v>
      </c>
      <c r="BZ30" s="74">
        <f t="shared" si="145"/>
        <v>73</v>
      </c>
      <c r="CA30" s="73">
        <f t="shared" si="146"/>
        <v>109</v>
      </c>
      <c r="CB30" s="74">
        <f t="shared" si="147"/>
        <v>117</v>
      </c>
      <c r="CC30" s="73">
        <f t="shared" si="148"/>
        <v>166</v>
      </c>
      <c r="CD30" s="74">
        <f t="shared" si="149"/>
        <v>173</v>
      </c>
      <c r="CE30" s="73">
        <f t="shared" si="150"/>
        <v>219</v>
      </c>
      <c r="CF30" s="74">
        <f t="shared" si="151"/>
        <v>266</v>
      </c>
      <c r="CG30" s="73">
        <f t="shared" si="152"/>
        <v>292</v>
      </c>
      <c r="CH30" s="72">
        <f t="shared" si="153"/>
        <v>34</v>
      </c>
      <c r="CI30" s="73">
        <f t="shared" si="154"/>
        <v>38</v>
      </c>
      <c r="CJ30" s="74">
        <f t="shared" si="155"/>
        <v>69</v>
      </c>
      <c r="CK30" s="74">
        <f t="shared" si="156"/>
        <v>72</v>
      </c>
      <c r="CL30" s="74">
        <f t="shared" si="157"/>
        <v>108</v>
      </c>
      <c r="CM30" s="74">
        <f t="shared" si="158"/>
        <v>116</v>
      </c>
      <c r="CN30" s="74">
        <f t="shared" si="159"/>
        <v>142</v>
      </c>
      <c r="CO30" s="74">
        <f t="shared" si="160"/>
        <v>168</v>
      </c>
      <c r="CP30" s="74">
        <f t="shared" si="161"/>
        <v>208</v>
      </c>
      <c r="CQ30" s="74">
        <f t="shared" si="162"/>
        <v>259</v>
      </c>
      <c r="CR30" s="74">
        <f t="shared" si="163"/>
        <v>291</v>
      </c>
      <c r="CS30" s="74">
        <f t="shared" si="164"/>
        <v>305</v>
      </c>
      <c r="CT30" s="23">
        <f t="shared" si="165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aa2ar_human_5K2A</v>
      </c>
      <c r="B31" s="3" t="s">
        <v>139</v>
      </c>
      <c r="C31" s="3" t="s">
        <v>1345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140"/>
        <v>263</v>
      </c>
      <c r="BD31" s="1" t="s">
        <v>23</v>
      </c>
      <c r="BE31" s="3" t="s">
        <v>1381</v>
      </c>
      <c r="BF31" s="124">
        <v>2.5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141"/>
        <v>2</v>
      </c>
      <c r="BW31" s="73">
        <f t="shared" si="142"/>
        <v>35</v>
      </c>
      <c r="BX31" s="74">
        <f t="shared" si="143"/>
        <v>39</v>
      </c>
      <c r="BY31" s="73">
        <f t="shared" si="144"/>
        <v>70</v>
      </c>
      <c r="BZ31" s="74">
        <f t="shared" si="145"/>
        <v>73</v>
      </c>
      <c r="CA31" s="73">
        <f t="shared" si="146"/>
        <v>109</v>
      </c>
      <c r="CB31" s="74">
        <f t="shared" si="147"/>
        <v>117</v>
      </c>
      <c r="CC31" s="73">
        <f t="shared" si="148"/>
        <v>166</v>
      </c>
      <c r="CD31" s="74">
        <f t="shared" si="149"/>
        <v>173</v>
      </c>
      <c r="CE31" s="73">
        <f t="shared" si="150"/>
        <v>219</v>
      </c>
      <c r="CF31" s="74">
        <f t="shared" si="151"/>
        <v>266</v>
      </c>
      <c r="CG31" s="73">
        <f t="shared" si="152"/>
        <v>292</v>
      </c>
      <c r="CH31" s="72">
        <f t="shared" si="153"/>
        <v>34</v>
      </c>
      <c r="CI31" s="73">
        <f t="shared" si="154"/>
        <v>38</v>
      </c>
      <c r="CJ31" s="74">
        <f t="shared" si="155"/>
        <v>69</v>
      </c>
      <c r="CK31" s="74">
        <f t="shared" si="156"/>
        <v>72</v>
      </c>
      <c r="CL31" s="74">
        <f t="shared" si="157"/>
        <v>108</v>
      </c>
      <c r="CM31" s="74">
        <f t="shared" si="158"/>
        <v>116</v>
      </c>
      <c r="CN31" s="74">
        <f t="shared" si="159"/>
        <v>142</v>
      </c>
      <c r="CO31" s="74">
        <f t="shared" si="160"/>
        <v>168</v>
      </c>
      <c r="CP31" s="74">
        <f t="shared" si="161"/>
        <v>208</v>
      </c>
      <c r="CQ31" s="74">
        <f t="shared" si="162"/>
        <v>259</v>
      </c>
      <c r="CR31" s="74">
        <f t="shared" si="163"/>
        <v>291</v>
      </c>
      <c r="CS31" s="74">
        <f t="shared" si="164"/>
        <v>307</v>
      </c>
      <c r="CT31" s="23">
        <f t="shared" si="165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aa2ar_human_5K2B</v>
      </c>
      <c r="B32" s="3" t="s">
        <v>139</v>
      </c>
      <c r="C32" s="3" t="s">
        <v>1346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140"/>
        <v>263</v>
      </c>
      <c r="BD32" s="4" t="s">
        <v>23</v>
      </c>
      <c r="BE32" s="3" t="s">
        <v>1381</v>
      </c>
      <c r="BF32" s="124">
        <v>2.5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141"/>
        <v>2</v>
      </c>
      <c r="BW32" s="73">
        <f t="shared" si="142"/>
        <v>35</v>
      </c>
      <c r="BX32" s="74">
        <f t="shared" si="143"/>
        <v>39</v>
      </c>
      <c r="BY32" s="73">
        <f t="shared" si="144"/>
        <v>70</v>
      </c>
      <c r="BZ32" s="74">
        <f t="shared" si="145"/>
        <v>73</v>
      </c>
      <c r="CA32" s="73">
        <f t="shared" si="146"/>
        <v>109</v>
      </c>
      <c r="CB32" s="74">
        <f t="shared" si="147"/>
        <v>117</v>
      </c>
      <c r="CC32" s="73">
        <f t="shared" si="148"/>
        <v>166</v>
      </c>
      <c r="CD32" s="74">
        <f t="shared" si="149"/>
        <v>173</v>
      </c>
      <c r="CE32" s="73">
        <f t="shared" si="150"/>
        <v>219</v>
      </c>
      <c r="CF32" s="74">
        <f t="shared" si="151"/>
        <v>266</v>
      </c>
      <c r="CG32" s="73">
        <f t="shared" si="152"/>
        <v>292</v>
      </c>
      <c r="CH32" s="72">
        <f t="shared" si="153"/>
        <v>34</v>
      </c>
      <c r="CI32" s="73">
        <f t="shared" si="154"/>
        <v>38</v>
      </c>
      <c r="CJ32" s="74">
        <f t="shared" si="155"/>
        <v>69</v>
      </c>
      <c r="CK32" s="74">
        <f t="shared" si="156"/>
        <v>72</v>
      </c>
      <c r="CL32" s="74">
        <f t="shared" si="157"/>
        <v>108</v>
      </c>
      <c r="CM32" s="74">
        <f t="shared" si="158"/>
        <v>116</v>
      </c>
      <c r="CN32" s="74">
        <f t="shared" si="159"/>
        <v>142</v>
      </c>
      <c r="CO32" s="74">
        <f t="shared" si="160"/>
        <v>168</v>
      </c>
      <c r="CP32" s="74">
        <f t="shared" si="161"/>
        <v>208</v>
      </c>
      <c r="CQ32" s="74">
        <f t="shared" si="162"/>
        <v>259</v>
      </c>
      <c r="CR32" s="74">
        <f t="shared" si="163"/>
        <v>291</v>
      </c>
      <c r="CS32" s="74">
        <f t="shared" si="164"/>
        <v>307</v>
      </c>
      <c r="CT32" s="23">
        <f t="shared" si="165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aa2ar_human_5K2C</v>
      </c>
      <c r="B33" s="3" t="s">
        <v>139</v>
      </c>
      <c r="C33" s="3" t="s">
        <v>1347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si="1"/>
        <v>1</v>
      </c>
      <c r="BC33" s="23">
        <f t="shared" si="140"/>
        <v>263</v>
      </c>
      <c r="BD33" s="4" t="s">
        <v>23</v>
      </c>
      <c r="BE33" s="3" t="s">
        <v>1381</v>
      </c>
      <c r="BF33" s="124">
        <v>1.9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si="141"/>
        <v>2</v>
      </c>
      <c r="BW33" s="73">
        <f t="shared" si="142"/>
        <v>35</v>
      </c>
      <c r="BX33" s="74">
        <f t="shared" si="143"/>
        <v>39</v>
      </c>
      <c r="BY33" s="73">
        <f t="shared" si="144"/>
        <v>70</v>
      </c>
      <c r="BZ33" s="74">
        <f t="shared" si="145"/>
        <v>73</v>
      </c>
      <c r="CA33" s="73">
        <f t="shared" si="146"/>
        <v>109</v>
      </c>
      <c r="CB33" s="74">
        <f t="shared" si="147"/>
        <v>117</v>
      </c>
      <c r="CC33" s="73">
        <f t="shared" si="148"/>
        <v>166</v>
      </c>
      <c r="CD33" s="74">
        <f t="shared" si="149"/>
        <v>173</v>
      </c>
      <c r="CE33" s="73">
        <f t="shared" si="150"/>
        <v>219</v>
      </c>
      <c r="CF33" s="74">
        <f t="shared" si="151"/>
        <v>266</v>
      </c>
      <c r="CG33" s="73">
        <f t="shared" si="152"/>
        <v>292</v>
      </c>
      <c r="CH33" s="72">
        <f t="shared" si="153"/>
        <v>34</v>
      </c>
      <c r="CI33" s="73">
        <f t="shared" si="154"/>
        <v>38</v>
      </c>
      <c r="CJ33" s="74">
        <f t="shared" si="155"/>
        <v>69</v>
      </c>
      <c r="CK33" s="74">
        <f t="shared" si="156"/>
        <v>72</v>
      </c>
      <c r="CL33" s="74">
        <f t="shared" si="157"/>
        <v>108</v>
      </c>
      <c r="CM33" s="74">
        <f t="shared" si="158"/>
        <v>116</v>
      </c>
      <c r="CN33" s="74">
        <f t="shared" si="159"/>
        <v>142</v>
      </c>
      <c r="CO33" s="74">
        <f t="shared" si="160"/>
        <v>168</v>
      </c>
      <c r="CP33" s="74">
        <f t="shared" si="161"/>
        <v>208</v>
      </c>
      <c r="CQ33" s="74">
        <f t="shared" si="162"/>
        <v>259</v>
      </c>
      <c r="CR33" s="74">
        <f t="shared" si="163"/>
        <v>291</v>
      </c>
      <c r="CS33" s="74">
        <f t="shared" si="164"/>
        <v>307</v>
      </c>
      <c r="CT33" s="23">
        <f t="shared" si="165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aa2ar_human_5K2D</v>
      </c>
      <c r="B34" s="3" t="s">
        <v>139</v>
      </c>
      <c r="C34" s="3" t="s">
        <v>1348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V</v>
      </c>
      <c r="AY34" s="3">
        <v>307</v>
      </c>
      <c r="AZ34" s="79" t="str">
        <f>VLOOKUP(B34,Classification!A:D,2,0)</f>
        <v>A</v>
      </c>
      <c r="BA34" s="97" t="str">
        <f>VLOOKUP(B34,Classification!A:D,4,0)</f>
        <v>Adenosine</v>
      </c>
      <c r="BB34" s="27" t="b">
        <f t="shared" si="1"/>
        <v>1</v>
      </c>
      <c r="BC34" s="23">
        <f t="shared" si="140"/>
        <v>263</v>
      </c>
      <c r="BD34" s="5" t="s">
        <v>23</v>
      </c>
      <c r="BE34" s="3" t="s">
        <v>1381</v>
      </c>
      <c r="BF34" s="124">
        <v>1.9</v>
      </c>
      <c r="BG34" s="50" t="s">
        <v>1384</v>
      </c>
      <c r="BH34" s="50" t="s">
        <v>1384</v>
      </c>
      <c r="BI34" s="1"/>
      <c r="BJ34" s="72" t="s">
        <v>1293</v>
      </c>
      <c r="BK34" s="58" t="s">
        <v>1293</v>
      </c>
      <c r="BL34" s="58" t="s">
        <v>1293</v>
      </c>
      <c r="BM34" s="58" t="s">
        <v>1293</v>
      </c>
      <c r="BN34" s="58" t="s">
        <v>1293</v>
      </c>
      <c r="BO34" s="58" t="s">
        <v>1293</v>
      </c>
      <c r="BP34" s="58" t="s">
        <v>1293</v>
      </c>
      <c r="BQ34" s="58" t="s">
        <v>1293</v>
      </c>
      <c r="BR34" s="58" t="s">
        <v>1293</v>
      </c>
      <c r="BS34" s="58" t="s">
        <v>1293</v>
      </c>
      <c r="BT34" s="58" t="s">
        <v>1293</v>
      </c>
      <c r="BU34" s="58" t="s">
        <v>1293</v>
      </c>
      <c r="BV34" s="72">
        <f t="shared" si="141"/>
        <v>2</v>
      </c>
      <c r="BW34" s="73">
        <f t="shared" si="142"/>
        <v>35</v>
      </c>
      <c r="BX34" s="74">
        <f t="shared" si="143"/>
        <v>39</v>
      </c>
      <c r="BY34" s="73">
        <f t="shared" si="144"/>
        <v>70</v>
      </c>
      <c r="BZ34" s="74">
        <f t="shared" si="145"/>
        <v>73</v>
      </c>
      <c r="CA34" s="73">
        <f t="shared" si="146"/>
        <v>109</v>
      </c>
      <c r="CB34" s="74">
        <f t="shared" si="147"/>
        <v>117</v>
      </c>
      <c r="CC34" s="73">
        <f t="shared" si="148"/>
        <v>166</v>
      </c>
      <c r="CD34" s="74">
        <f t="shared" si="149"/>
        <v>173</v>
      </c>
      <c r="CE34" s="73">
        <f t="shared" si="150"/>
        <v>219</v>
      </c>
      <c r="CF34" s="74">
        <f t="shared" si="151"/>
        <v>266</v>
      </c>
      <c r="CG34" s="73">
        <f t="shared" si="152"/>
        <v>292</v>
      </c>
      <c r="CH34" s="72">
        <f t="shared" si="153"/>
        <v>34</v>
      </c>
      <c r="CI34" s="73">
        <f t="shared" si="154"/>
        <v>38</v>
      </c>
      <c r="CJ34" s="74">
        <f t="shared" si="155"/>
        <v>69</v>
      </c>
      <c r="CK34" s="74">
        <f t="shared" si="156"/>
        <v>72</v>
      </c>
      <c r="CL34" s="74">
        <f t="shared" si="157"/>
        <v>108</v>
      </c>
      <c r="CM34" s="74">
        <f t="shared" si="158"/>
        <v>116</v>
      </c>
      <c r="CN34" s="74">
        <f t="shared" si="159"/>
        <v>142</v>
      </c>
      <c r="CO34" s="74">
        <f t="shared" si="160"/>
        <v>168</v>
      </c>
      <c r="CP34" s="74">
        <f t="shared" si="161"/>
        <v>208</v>
      </c>
      <c r="CQ34" s="74">
        <f t="shared" si="162"/>
        <v>259</v>
      </c>
      <c r="CR34" s="74">
        <f t="shared" si="163"/>
        <v>291</v>
      </c>
      <c r="CS34" s="74">
        <f t="shared" si="164"/>
        <v>307</v>
      </c>
      <c r="CT34" s="23">
        <f t="shared" si="165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s="12" customFormat="1" x14ac:dyDescent="0.2">
      <c r="A35" s="9" t="str">
        <f t="shared" ref="A35" si="166">CONCATENATE(B35,"_",C35)</f>
        <v>aa2ar_human_5MZJ</v>
      </c>
      <c r="B35" s="9" t="s">
        <v>139</v>
      </c>
      <c r="C35" s="9" t="s">
        <v>1446</v>
      </c>
      <c r="D35" s="9" t="str">
        <f>IFERROR(MID(VLOOKUP($B35,Seqs!$A:$B,2,0),E35,1),"")</f>
        <v>P</v>
      </c>
      <c r="E35" s="9">
        <v>2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S</v>
      </c>
      <c r="AY35" s="9">
        <v>305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8">_xlfn.AGGREGATE(9,6,CH35:CS35)-_xlfn.AGGREGATE(9,6,BV35:CG35)+12</f>
        <v>261</v>
      </c>
      <c r="BD35" s="13" t="s">
        <v>23</v>
      </c>
      <c r="BE35" s="9" t="s">
        <v>1381</v>
      </c>
      <c r="BF35" s="125">
        <v>2</v>
      </c>
      <c r="BG35" s="52" t="s">
        <v>1</v>
      </c>
      <c r="BH35" s="52" t="s">
        <v>1</v>
      </c>
      <c r="BJ35" s="114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5" t="s">
        <v>1293</v>
      </c>
      <c r="BV35" s="114">
        <f t="shared" ref="BV35" si="169">E35</f>
        <v>2</v>
      </c>
      <c r="BW35" s="116">
        <f t="shared" ref="BW35" si="170">I35</f>
        <v>35</v>
      </c>
      <c r="BX35" s="117">
        <f t="shared" ref="BX35" si="171">M35</f>
        <v>39</v>
      </c>
      <c r="BY35" s="116">
        <f t="shared" ref="BY35" si="172">Q35</f>
        <v>70</v>
      </c>
      <c r="BZ35" s="117">
        <f t="shared" ref="BZ35" si="173">U35</f>
        <v>73</v>
      </c>
      <c r="CA35" s="116">
        <f t="shared" ref="CA35" si="174">Y35</f>
        <v>109</v>
      </c>
      <c r="CB35" s="117">
        <f t="shared" ref="CB35" si="175">AC35</f>
        <v>117</v>
      </c>
      <c r="CC35" s="116">
        <f t="shared" ref="CC35" si="176">AG35</f>
        <v>166</v>
      </c>
      <c r="CD35" s="117">
        <f t="shared" ref="CD35" si="177">AK35</f>
        <v>173</v>
      </c>
      <c r="CE35" s="116">
        <f t="shared" ref="CE35" si="178">AO35</f>
        <v>219</v>
      </c>
      <c r="CF35" s="117">
        <f t="shared" ref="CF35" si="179">AS35</f>
        <v>266</v>
      </c>
      <c r="CG35" s="116">
        <f t="shared" ref="CG35" si="180">AW35</f>
        <v>292</v>
      </c>
      <c r="CH35" s="114">
        <f t="shared" ref="CH35" si="181">G35</f>
        <v>34</v>
      </c>
      <c r="CI35" s="116">
        <f t="shared" ref="CI35" si="182">K35</f>
        <v>38</v>
      </c>
      <c r="CJ35" s="117">
        <f t="shared" ref="CJ35" si="183">O35</f>
        <v>69</v>
      </c>
      <c r="CK35" s="117">
        <f t="shared" ref="CK35" si="184">S35</f>
        <v>72</v>
      </c>
      <c r="CL35" s="117">
        <f t="shared" ref="CL35" si="185">W35</f>
        <v>108</v>
      </c>
      <c r="CM35" s="117">
        <f t="shared" ref="CM35" si="186">AA35</f>
        <v>116</v>
      </c>
      <c r="CN35" s="117">
        <f t="shared" ref="CN35" si="187">AE35</f>
        <v>142</v>
      </c>
      <c r="CO35" s="117">
        <f t="shared" ref="CO35" si="188">AI35</f>
        <v>168</v>
      </c>
      <c r="CP35" s="117">
        <f t="shared" ref="CP35" si="189">AM35</f>
        <v>208</v>
      </c>
      <c r="CQ35" s="117">
        <f t="shared" ref="CQ35" si="190">AQ35</f>
        <v>259</v>
      </c>
      <c r="CR35" s="117">
        <f t="shared" ref="CR35" si="191">AU35</f>
        <v>291</v>
      </c>
      <c r="CS35" s="117">
        <f t="shared" ref="CS35" si="192">AY35</f>
        <v>305</v>
      </c>
      <c r="CT35" s="112">
        <f t="shared" ref="CT35" si="193">M35-K35</f>
        <v>1</v>
      </c>
    </row>
    <row r="36" spans="1:1029" s="12" customFormat="1" x14ac:dyDescent="0.2">
      <c r="A36" s="9" t="str">
        <f t="shared" ref="A36" si="194">CONCATENATE(B36,"_",C36)</f>
        <v>aa2ar_human_5MZP</v>
      </c>
      <c r="B36" s="9" t="s">
        <v>139</v>
      </c>
      <c r="C36" s="9" t="s">
        <v>1447</v>
      </c>
      <c r="D36" s="9" t="str">
        <f>IFERROR(MID(VLOOKUP($B36,Seqs!$A:$B,2,0),E36,1),"")</f>
        <v>P</v>
      </c>
      <c r="E36" s="9">
        <v>2</v>
      </c>
      <c r="F36" s="9" t="str">
        <f>IFERROR(MID(VLOOKUP($B36,Seqs!$A:$B,2,0),G36,1),"")</f>
        <v>N</v>
      </c>
      <c r="G36" s="9">
        <v>34</v>
      </c>
      <c r="H36" s="9" t="str">
        <f>IFERROR(MID(VLOOKUP($B36,Seqs!$A:$B,2,0),I36,1),"")</f>
        <v>S</v>
      </c>
      <c r="I36" s="112">
        <v>35</v>
      </c>
      <c r="J36" s="9" t="str">
        <f>IFERROR(MID(VLOOKUP($B36,Seqs!$A:$B,2,0),K36,1),"")</f>
        <v>Q</v>
      </c>
      <c r="K36" s="112">
        <v>38</v>
      </c>
      <c r="L36" s="9" t="str">
        <f>IFERROR(MID(VLOOKUP($B36,Seqs!$A:$B,2,0),M36,1),"")</f>
        <v>N</v>
      </c>
      <c r="M36" s="9">
        <v>39</v>
      </c>
      <c r="N36" s="9" t="str">
        <f>IFERROR(MID(VLOOKUP($B36,Seqs!$A:$B,2,0),O36,1),"")</f>
        <v>G</v>
      </c>
      <c r="O36" s="9">
        <v>69</v>
      </c>
      <c r="P36" s="9" t="str">
        <f>IFERROR(MID(VLOOKUP($B36,Seqs!$A:$B,2,0),Q36,1),"")</f>
        <v>F</v>
      </c>
      <c r="Q36" s="9">
        <v>70</v>
      </c>
      <c r="R36" s="9" t="str">
        <f>IFERROR(MID(VLOOKUP($B36,Seqs!$A:$B,2,0),S36,1),"")</f>
        <v>A</v>
      </c>
      <c r="S36" s="9">
        <v>72</v>
      </c>
      <c r="T36" s="9" t="str">
        <f>IFERROR(MID(VLOOKUP($B36,Seqs!$A:$B,2,0),U36,1),"")</f>
        <v>A</v>
      </c>
      <c r="U36" s="9">
        <v>73</v>
      </c>
      <c r="V36" s="9" t="str">
        <f>IFERROR(MID(VLOOKUP($B36,Seqs!$A:$B,2,0),W36,1),"")</f>
        <v>I</v>
      </c>
      <c r="W36" s="9">
        <v>108</v>
      </c>
      <c r="X36" s="9" t="str">
        <f>IFERROR(MID(VLOOKUP($B36,Seqs!$A:$B,2,0),Y36,1),"")</f>
        <v>P</v>
      </c>
      <c r="Y36" s="9">
        <v>109</v>
      </c>
      <c r="Z36" s="9" t="str">
        <f>IFERROR(MID(VLOOKUP($B36,Seqs!$A:$B,2,0),AA36,1),"")</f>
        <v>V</v>
      </c>
      <c r="AA36" s="9">
        <v>116</v>
      </c>
      <c r="AB36" s="9" t="str">
        <f>IFERROR(MID(VLOOKUP($B36,Seqs!$A:$B,2,0),AC36,1),"")</f>
        <v>T</v>
      </c>
      <c r="AC36" s="9">
        <v>117</v>
      </c>
      <c r="AD36" s="9" t="str">
        <f>IFERROR(MID(VLOOKUP($B36,Seqs!$A:$B,2,0),AE36,1),"")</f>
        <v>G</v>
      </c>
      <c r="AE36" s="9">
        <v>142</v>
      </c>
      <c r="AF36" s="9" t="str">
        <f>IFERROR(MID(VLOOKUP($B36,Seqs!$A:$B,2,0),AG36,1),"")</f>
        <v>C</v>
      </c>
      <c r="AG36" s="9">
        <v>166</v>
      </c>
      <c r="AH36" s="9" t="str">
        <f>IFERROR(MID(VLOOKUP($B36,Seqs!$A:$B,2,0),AI36,1),"")</f>
        <v>F</v>
      </c>
      <c r="AI36" s="9">
        <v>168</v>
      </c>
      <c r="AJ36" s="9" t="str">
        <f>IFERROR(MID(VLOOKUP($B36,Seqs!$A:$B,2,0),AK36,1),"")</f>
        <v>P</v>
      </c>
      <c r="AK36" s="9">
        <v>173</v>
      </c>
      <c r="AL36" s="9" t="str">
        <f>IFERROR(MID(VLOOKUP($B36,Seqs!$A:$B,2,0),AM36,1),"")</f>
        <v>L</v>
      </c>
      <c r="AM36" s="9">
        <v>208</v>
      </c>
      <c r="AN36" s="9" t="str">
        <f>IFERROR(MID(VLOOKUP($B36,Seqs!$A:$B,2,0),AO36,1),"")</f>
        <v>E</v>
      </c>
      <c r="AO36" s="9">
        <v>219</v>
      </c>
      <c r="AP36" s="9" t="str">
        <f>IFERROR(MID(VLOOKUP($B36,Seqs!$A:$B,2,0),AQ36,1),"")</f>
        <v>C</v>
      </c>
      <c r="AQ36" s="9">
        <v>259</v>
      </c>
      <c r="AR36" s="9" t="str">
        <f>IFERROR(MID(VLOOKUP($B36,Seqs!$A:$B,2,0),AS36,1),"")</f>
        <v>P</v>
      </c>
      <c r="AS36" s="9">
        <v>266</v>
      </c>
      <c r="AT36" s="9" t="str">
        <f>IFERROR(MID(VLOOKUP($B36,Seqs!$A:$B,2,0),AU36,1),"")</f>
        <v>R</v>
      </c>
      <c r="AU36" s="9">
        <v>291</v>
      </c>
      <c r="AV36" s="9" t="str">
        <f>IFERROR(MID(VLOOKUP($B36,Seqs!$A:$B,2,0),AW36,1),"")</f>
        <v>I</v>
      </c>
      <c r="AW36" s="9">
        <v>292</v>
      </c>
      <c r="AX36" s="9" t="str">
        <f>IFERROR(MID(VLOOKUP($B36,Seqs!$A:$B,2,0),AY36,1),"")</f>
        <v>S</v>
      </c>
      <c r="AY36" s="9">
        <v>305</v>
      </c>
      <c r="AZ36" s="113" t="str">
        <f>VLOOKUP(B36,Classification!A:D,2,0)</f>
        <v>A</v>
      </c>
      <c r="BA36" s="101" t="str">
        <f>VLOOKUP(B36,Classification!A:D,4,0)</f>
        <v>Adenosine</v>
      </c>
      <c r="BB36" s="37" t="b">
        <f t="shared" ref="BB36" si="195">AND(E36&lt;G36,OR(G36&lt;I36,I36="-"),OR(I36&lt;K36,I36="-"),OR(K36&lt;M36,K36="-"),M36&lt;O36,OR(O36&lt;Q36,Q36="-"),OR(Q36&lt;S36,Q36="-"),OR(S36&lt;U36,S36="-"),U36&lt;W36,OR(W36&lt;Y36,Y36="-"),OR(Y36&lt;AA36,Y36="-"),OR(AA36&lt;AC36,AA36="-"),AC36&lt;AE36,OR(AE36&lt;AG36,AG36="-"),OR(AG36&lt;AI36,AG36="-"),OR(AI36&lt;AK36,AI36="-"),AK36&lt;AM36,AM36&lt;AO36,AO36&lt;AQ36,AQ36&lt;AS36,AS36&lt;AU36,OR(AU36&lt;AW36,AW36="-"),OR(AW36&lt;AY36,AW36="-"))</f>
        <v>1</v>
      </c>
      <c r="BC36" s="112">
        <f t="shared" ref="BC36" si="196">_xlfn.AGGREGATE(9,6,CH36:CS36)-_xlfn.AGGREGATE(9,6,BV36:CG36)+12</f>
        <v>261</v>
      </c>
      <c r="BD36" s="13" t="s">
        <v>23</v>
      </c>
      <c r="BE36" s="9" t="s">
        <v>1381</v>
      </c>
      <c r="BF36" s="125">
        <v>3</v>
      </c>
      <c r="BG36" s="52" t="s">
        <v>1</v>
      </c>
      <c r="BH36" s="52" t="s">
        <v>1</v>
      </c>
      <c r="BJ36" s="114" t="s">
        <v>1293</v>
      </c>
      <c r="BK36" s="115" t="s">
        <v>1293</v>
      </c>
      <c r="BL36" s="115" t="s">
        <v>1293</v>
      </c>
      <c r="BM36" s="115" t="s">
        <v>1293</v>
      </c>
      <c r="BN36" s="115" t="s">
        <v>1293</v>
      </c>
      <c r="BO36" s="115" t="s">
        <v>1293</v>
      </c>
      <c r="BP36" s="115" t="s">
        <v>1293</v>
      </c>
      <c r="BQ36" s="115" t="s">
        <v>1293</v>
      </c>
      <c r="BR36" s="115" t="s">
        <v>1293</v>
      </c>
      <c r="BS36" s="115" t="s">
        <v>1293</v>
      </c>
      <c r="BT36" s="115" t="s">
        <v>1293</v>
      </c>
      <c r="BU36" s="115" t="s">
        <v>1293</v>
      </c>
      <c r="BV36" s="114">
        <f t="shared" ref="BV36" si="197">E36</f>
        <v>2</v>
      </c>
      <c r="BW36" s="116">
        <f t="shared" ref="BW36" si="198">I36</f>
        <v>35</v>
      </c>
      <c r="BX36" s="117">
        <f t="shared" ref="BX36" si="199">M36</f>
        <v>39</v>
      </c>
      <c r="BY36" s="116">
        <f t="shared" ref="BY36" si="200">Q36</f>
        <v>70</v>
      </c>
      <c r="BZ36" s="117">
        <f t="shared" ref="BZ36" si="201">U36</f>
        <v>73</v>
      </c>
      <c r="CA36" s="116">
        <f t="shared" ref="CA36" si="202">Y36</f>
        <v>109</v>
      </c>
      <c r="CB36" s="117">
        <f t="shared" ref="CB36" si="203">AC36</f>
        <v>117</v>
      </c>
      <c r="CC36" s="116">
        <f t="shared" ref="CC36" si="204">AG36</f>
        <v>166</v>
      </c>
      <c r="CD36" s="117">
        <f t="shared" ref="CD36" si="205">AK36</f>
        <v>173</v>
      </c>
      <c r="CE36" s="116">
        <f t="shared" ref="CE36" si="206">AO36</f>
        <v>219</v>
      </c>
      <c r="CF36" s="117">
        <f t="shared" ref="CF36" si="207">AS36</f>
        <v>266</v>
      </c>
      <c r="CG36" s="116">
        <f t="shared" ref="CG36" si="208">AW36</f>
        <v>292</v>
      </c>
      <c r="CH36" s="114">
        <f t="shared" ref="CH36" si="209">G36</f>
        <v>34</v>
      </c>
      <c r="CI36" s="116">
        <f t="shared" ref="CI36" si="210">K36</f>
        <v>38</v>
      </c>
      <c r="CJ36" s="117">
        <f t="shared" ref="CJ36" si="211">O36</f>
        <v>69</v>
      </c>
      <c r="CK36" s="117">
        <f t="shared" ref="CK36" si="212">S36</f>
        <v>72</v>
      </c>
      <c r="CL36" s="117">
        <f t="shared" ref="CL36" si="213">W36</f>
        <v>108</v>
      </c>
      <c r="CM36" s="117">
        <f t="shared" ref="CM36" si="214">AA36</f>
        <v>116</v>
      </c>
      <c r="CN36" s="117">
        <f t="shared" ref="CN36" si="215">AE36</f>
        <v>142</v>
      </c>
      <c r="CO36" s="117">
        <f t="shared" ref="CO36" si="216">AI36</f>
        <v>168</v>
      </c>
      <c r="CP36" s="117">
        <f t="shared" ref="CP36" si="217">AM36</f>
        <v>208</v>
      </c>
      <c r="CQ36" s="117">
        <f t="shared" ref="CQ36" si="218">AQ36</f>
        <v>259</v>
      </c>
      <c r="CR36" s="117">
        <f t="shared" ref="CR36" si="219">AU36</f>
        <v>291</v>
      </c>
      <c r="CS36" s="117">
        <f t="shared" ref="CS36" si="220">AY36</f>
        <v>305</v>
      </c>
      <c r="CT36" s="112">
        <f t="shared" ref="CT36" si="221">M36-K36</f>
        <v>1</v>
      </c>
    </row>
    <row r="37" spans="1:1029" s="12" customFormat="1" x14ac:dyDescent="0.2">
      <c r="A37" s="9" t="str">
        <f t="shared" ref="A37" si="222">CONCATENATE(B37,"_",C37)</f>
        <v>aa2ar_human_5N2R</v>
      </c>
      <c r="B37" s="9" t="s">
        <v>139</v>
      </c>
      <c r="C37" s="9" t="s">
        <v>1441</v>
      </c>
      <c r="D37" s="9" t="str">
        <f>IFERROR(MID(VLOOKUP($B37,Seqs!$A:$B,2,0),E37,1),"")</f>
        <v>P</v>
      </c>
      <c r="E37" s="9">
        <v>2</v>
      </c>
      <c r="F37" s="9" t="str">
        <f>IFERROR(MID(VLOOKUP($B37,Seqs!$A:$B,2,0),G37,1),"")</f>
        <v>N</v>
      </c>
      <c r="G37" s="9">
        <v>34</v>
      </c>
      <c r="H37" s="9" t="str">
        <f>IFERROR(MID(VLOOKUP($B37,Seqs!$A:$B,2,0),I37,1),"")</f>
        <v>S</v>
      </c>
      <c r="I37" s="112">
        <v>35</v>
      </c>
      <c r="J37" s="9" t="str">
        <f>IFERROR(MID(VLOOKUP($B37,Seqs!$A:$B,2,0),K37,1),"")</f>
        <v>Q</v>
      </c>
      <c r="K37" s="112">
        <v>38</v>
      </c>
      <c r="L37" s="9" t="str">
        <f>IFERROR(MID(VLOOKUP($B37,Seqs!$A:$B,2,0),M37,1),"")</f>
        <v>N</v>
      </c>
      <c r="M37" s="9">
        <v>39</v>
      </c>
      <c r="N37" s="9" t="str">
        <f>IFERROR(MID(VLOOKUP($B37,Seqs!$A:$B,2,0),O37,1),"")</f>
        <v>G</v>
      </c>
      <c r="O37" s="9">
        <v>69</v>
      </c>
      <c r="P37" s="9" t="str">
        <f>IFERROR(MID(VLOOKUP($B37,Seqs!$A:$B,2,0),Q37,1),"")</f>
        <v>F</v>
      </c>
      <c r="Q37" s="9">
        <v>70</v>
      </c>
      <c r="R37" s="9" t="str">
        <f>IFERROR(MID(VLOOKUP($B37,Seqs!$A:$B,2,0),S37,1),"")</f>
        <v>A</v>
      </c>
      <c r="S37" s="9">
        <v>72</v>
      </c>
      <c r="T37" s="9" t="str">
        <f>IFERROR(MID(VLOOKUP($B37,Seqs!$A:$B,2,0),U37,1),"")</f>
        <v>A</v>
      </c>
      <c r="U37" s="9">
        <v>73</v>
      </c>
      <c r="V37" s="9" t="str">
        <f>IFERROR(MID(VLOOKUP($B37,Seqs!$A:$B,2,0),W37,1),"")</f>
        <v>I</v>
      </c>
      <c r="W37" s="9">
        <v>108</v>
      </c>
      <c r="X37" s="9" t="str">
        <f>IFERROR(MID(VLOOKUP($B37,Seqs!$A:$B,2,0),Y37,1),"")</f>
        <v>P</v>
      </c>
      <c r="Y37" s="9">
        <v>109</v>
      </c>
      <c r="Z37" s="9" t="str">
        <f>IFERROR(MID(VLOOKUP($B37,Seqs!$A:$B,2,0),AA37,1),"")</f>
        <v>V</v>
      </c>
      <c r="AA37" s="9">
        <v>116</v>
      </c>
      <c r="AB37" s="9" t="str">
        <f>IFERROR(MID(VLOOKUP($B37,Seqs!$A:$B,2,0),AC37,1),"")</f>
        <v>T</v>
      </c>
      <c r="AC37" s="9">
        <v>117</v>
      </c>
      <c r="AD37" s="9" t="str">
        <f>IFERROR(MID(VLOOKUP($B37,Seqs!$A:$B,2,0),AE37,1),"")</f>
        <v>G</v>
      </c>
      <c r="AE37" s="9">
        <v>142</v>
      </c>
      <c r="AF37" s="9" t="str">
        <f>IFERROR(MID(VLOOKUP($B37,Seqs!$A:$B,2,0),AG37,1),"")</f>
        <v>C</v>
      </c>
      <c r="AG37" s="9">
        <v>166</v>
      </c>
      <c r="AH37" s="9" t="str">
        <f>IFERROR(MID(VLOOKUP($B37,Seqs!$A:$B,2,0),AI37,1),"")</f>
        <v>F</v>
      </c>
      <c r="AI37" s="9">
        <v>168</v>
      </c>
      <c r="AJ37" s="9" t="str">
        <f>IFERROR(MID(VLOOKUP($B37,Seqs!$A:$B,2,0),AK37,1),"")</f>
        <v>P</v>
      </c>
      <c r="AK37" s="9">
        <v>173</v>
      </c>
      <c r="AL37" s="9" t="str">
        <f>IFERROR(MID(VLOOKUP($B37,Seqs!$A:$B,2,0),AM37,1),"")</f>
        <v>L</v>
      </c>
      <c r="AM37" s="9">
        <v>208</v>
      </c>
      <c r="AN37" s="9" t="str">
        <f>IFERROR(MID(VLOOKUP($B37,Seqs!$A:$B,2,0),AO37,1),"")</f>
        <v>E</v>
      </c>
      <c r="AO37" s="9">
        <v>219</v>
      </c>
      <c r="AP37" s="9" t="str">
        <f>IFERROR(MID(VLOOKUP($B37,Seqs!$A:$B,2,0),AQ37,1),"")</f>
        <v>C</v>
      </c>
      <c r="AQ37" s="9">
        <v>259</v>
      </c>
      <c r="AR37" s="9" t="str">
        <f>IFERROR(MID(VLOOKUP($B37,Seqs!$A:$B,2,0),AS37,1),"")</f>
        <v>P</v>
      </c>
      <c r="AS37" s="9">
        <v>266</v>
      </c>
      <c r="AT37" s="9" t="str">
        <f>IFERROR(MID(VLOOKUP($B37,Seqs!$A:$B,2,0),AU37,1),"")</f>
        <v>R</v>
      </c>
      <c r="AU37" s="9">
        <v>291</v>
      </c>
      <c r="AV37" s="9" t="str">
        <f>IFERROR(MID(VLOOKUP($B37,Seqs!$A:$B,2,0),AW37,1),"")</f>
        <v>I</v>
      </c>
      <c r="AW37" s="9">
        <v>292</v>
      </c>
      <c r="AX37" s="9" t="str">
        <f>IFERROR(MID(VLOOKUP($B37,Seqs!$A:$B,2,0),AY37,1),"")</f>
        <v>S</v>
      </c>
      <c r="AY37" s="9">
        <v>305</v>
      </c>
      <c r="AZ37" s="113" t="str">
        <f>VLOOKUP(B37,Classification!A:D,2,0)</f>
        <v>A</v>
      </c>
      <c r="BA37" s="101" t="str">
        <f>VLOOKUP(B37,Classification!A:D,4,0)</f>
        <v>Adenosine</v>
      </c>
      <c r="BB37" s="37" t="b">
        <f t="shared" ref="BB37" si="223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112">
        <f t="shared" ref="BC37" si="224">_xlfn.AGGREGATE(9,6,CH37:CS37)-_xlfn.AGGREGATE(9,6,BV37:CG37)+12</f>
        <v>261</v>
      </c>
      <c r="BD37" s="13" t="s">
        <v>23</v>
      </c>
      <c r="BE37" s="9" t="s">
        <v>1381</v>
      </c>
      <c r="BF37" s="125">
        <v>2.9</v>
      </c>
      <c r="BG37" s="52" t="s">
        <v>1</v>
      </c>
      <c r="BH37" s="52" t="s">
        <v>1</v>
      </c>
      <c r="BJ37" s="114" t="s">
        <v>1293</v>
      </c>
      <c r="BK37" s="115" t="s">
        <v>1293</v>
      </c>
      <c r="BL37" s="115" t="s">
        <v>1293</v>
      </c>
      <c r="BM37" s="115" t="s">
        <v>1293</v>
      </c>
      <c r="BN37" s="115" t="s">
        <v>1293</v>
      </c>
      <c r="BO37" s="115" t="s">
        <v>1293</v>
      </c>
      <c r="BP37" s="115" t="s">
        <v>1293</v>
      </c>
      <c r="BQ37" s="115" t="s">
        <v>1293</v>
      </c>
      <c r="BR37" s="115" t="s">
        <v>1293</v>
      </c>
      <c r="BS37" s="115" t="s">
        <v>1293</v>
      </c>
      <c r="BT37" s="115" t="s">
        <v>1293</v>
      </c>
      <c r="BU37" s="115" t="s">
        <v>1293</v>
      </c>
      <c r="BV37" s="114">
        <f t="shared" ref="BV37" si="225">E37</f>
        <v>2</v>
      </c>
      <c r="BW37" s="116">
        <f t="shared" ref="BW37" si="226">I37</f>
        <v>35</v>
      </c>
      <c r="BX37" s="117">
        <f t="shared" ref="BX37" si="227">M37</f>
        <v>39</v>
      </c>
      <c r="BY37" s="116">
        <f t="shared" ref="BY37" si="228">Q37</f>
        <v>70</v>
      </c>
      <c r="BZ37" s="117">
        <f t="shared" ref="BZ37" si="229">U37</f>
        <v>73</v>
      </c>
      <c r="CA37" s="116">
        <f t="shared" ref="CA37" si="230">Y37</f>
        <v>109</v>
      </c>
      <c r="CB37" s="117">
        <f t="shared" ref="CB37" si="231">AC37</f>
        <v>117</v>
      </c>
      <c r="CC37" s="116">
        <f t="shared" ref="CC37" si="232">AG37</f>
        <v>166</v>
      </c>
      <c r="CD37" s="117">
        <f t="shared" ref="CD37" si="233">AK37</f>
        <v>173</v>
      </c>
      <c r="CE37" s="116">
        <f t="shared" ref="CE37" si="234">AO37</f>
        <v>219</v>
      </c>
      <c r="CF37" s="117">
        <f t="shared" ref="CF37" si="235">AS37</f>
        <v>266</v>
      </c>
      <c r="CG37" s="116">
        <f t="shared" ref="CG37" si="236">AW37</f>
        <v>292</v>
      </c>
      <c r="CH37" s="114">
        <f t="shared" ref="CH37" si="237">G37</f>
        <v>34</v>
      </c>
      <c r="CI37" s="116">
        <f t="shared" ref="CI37" si="238">K37</f>
        <v>38</v>
      </c>
      <c r="CJ37" s="117">
        <f t="shared" ref="CJ37" si="239">O37</f>
        <v>69</v>
      </c>
      <c r="CK37" s="117">
        <f t="shared" ref="CK37" si="240">S37</f>
        <v>72</v>
      </c>
      <c r="CL37" s="117">
        <f t="shared" ref="CL37" si="241">W37</f>
        <v>108</v>
      </c>
      <c r="CM37" s="117">
        <f t="shared" ref="CM37" si="242">AA37</f>
        <v>116</v>
      </c>
      <c r="CN37" s="117">
        <f t="shared" ref="CN37" si="243">AE37</f>
        <v>142</v>
      </c>
      <c r="CO37" s="117">
        <f t="shared" ref="CO37" si="244">AI37</f>
        <v>168</v>
      </c>
      <c r="CP37" s="117">
        <f t="shared" ref="CP37" si="245">AM37</f>
        <v>208</v>
      </c>
      <c r="CQ37" s="117">
        <f t="shared" ref="CQ37" si="246">AQ37</f>
        <v>259</v>
      </c>
      <c r="CR37" s="117">
        <f t="shared" ref="CR37" si="247">AU37</f>
        <v>291</v>
      </c>
      <c r="CS37" s="117">
        <f t="shared" ref="CS37" si="248">AY37</f>
        <v>305</v>
      </c>
      <c r="CT37" s="112">
        <f t="shared" ref="CT37" si="249">M37-K37</f>
        <v>1</v>
      </c>
    </row>
    <row r="38" spans="1:1029" x14ac:dyDescent="0.2">
      <c r="A38" s="3" t="str">
        <f t="shared" ref="A38" si="250">CONCATENATE(B38,"_",C38)</f>
        <v>aa2ar_human_5UIG</v>
      </c>
      <c r="B38" s="3" t="s">
        <v>139</v>
      </c>
      <c r="C38" s="3" t="s">
        <v>1394</v>
      </c>
      <c r="D38" s="3" t="str">
        <f>IFERROR(MID(VLOOKUP($B38,Seqs!$A:$B,2,0),E38,1),"")</f>
        <v>M</v>
      </c>
      <c r="E38" s="3">
        <v>4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3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297</v>
      </c>
      <c r="AZ38" s="79" t="str">
        <f>VLOOKUP(B38,Classification!A:D,2,0)</f>
        <v>A</v>
      </c>
      <c r="BA38" s="97" t="str">
        <f>VLOOKUP(B38,Classification!A:D,4,0)</f>
        <v>Adenosine</v>
      </c>
      <c r="BB38" s="27" t="b">
        <f t="shared" ref="BB38" si="251">AND(E38&lt;G38,OR(G38&lt;I38,I38="-"),OR(I38&lt;K38,I38="-"),OR(K38&lt;M38,K38="-"),M38&lt;O38,OR(O38&lt;Q38,Q38="-"),OR(Q38&lt;S38,Q38="-"),OR(S38&lt;U38,S38="-"),U38&lt;W38,OR(W38&lt;Y38,Y38="-"),OR(Y38&lt;AA38,Y38="-"),OR(AA38&lt;AC38,AA38="-"),AC38&lt;AE38,OR(AE38&lt;AG38,AG38="-"),OR(AG38&lt;AI38,AG38="-"),OR(AI38&lt;AK38,AI38="-"),AK38&lt;AM38,AM38&lt;AO38,AO38&lt;AQ38,AQ38&lt;AS38,AS38&lt;AU38,OR(AU38&lt;AW38,AW38="-"),OR(AW38&lt;AY38,AW38="-"))</f>
        <v>1</v>
      </c>
      <c r="BC38" s="23">
        <f t="shared" ref="BC38" si="252">_xlfn.AGGREGATE(9,6,CH38:CS38)-_xlfn.AGGREGATE(9,6,BV38:CG38)+12</f>
        <v>251</v>
      </c>
      <c r="BD38" s="5" t="s">
        <v>23</v>
      </c>
      <c r="BE38" s="3" t="s">
        <v>1439</v>
      </c>
      <c r="BF38" s="124">
        <v>3.5</v>
      </c>
      <c r="BG38" s="50" t="s">
        <v>1384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ref="BV38" si="253">E38</f>
        <v>4</v>
      </c>
      <c r="BW38" s="73">
        <f t="shared" ref="BW38" si="254">I38</f>
        <v>35</v>
      </c>
      <c r="BX38" s="74">
        <f t="shared" ref="BX38" si="255">M38</f>
        <v>39</v>
      </c>
      <c r="BY38" s="73">
        <f t="shared" ref="BY38" si="256">Q38</f>
        <v>70</v>
      </c>
      <c r="BZ38" s="74">
        <f t="shared" ref="BZ38" si="257">U38</f>
        <v>73</v>
      </c>
      <c r="CA38" s="73">
        <f t="shared" ref="CA38" si="258">Y38</f>
        <v>109</v>
      </c>
      <c r="CB38" s="74">
        <f t="shared" ref="CB38" si="259">AC38</f>
        <v>117</v>
      </c>
      <c r="CC38" s="73">
        <f t="shared" ref="CC38" si="260">AG38</f>
        <v>166</v>
      </c>
      <c r="CD38" s="74">
        <f t="shared" ref="CD38" si="261">AK38</f>
        <v>173</v>
      </c>
      <c r="CE38" s="73">
        <f t="shared" ref="CE38" si="262">AO38</f>
        <v>219</v>
      </c>
      <c r="CF38" s="74">
        <f t="shared" ref="CF38" si="263">AS38</f>
        <v>266</v>
      </c>
      <c r="CG38" s="73">
        <f t="shared" ref="CG38" si="264">AW38</f>
        <v>292</v>
      </c>
      <c r="CH38" s="72">
        <f t="shared" ref="CH38" si="265">G38</f>
        <v>34</v>
      </c>
      <c r="CI38" s="73">
        <f t="shared" ref="CI38" si="266">K38</f>
        <v>38</v>
      </c>
      <c r="CJ38" s="74">
        <f t="shared" ref="CJ38" si="267">O38</f>
        <v>69</v>
      </c>
      <c r="CK38" s="74">
        <f t="shared" ref="CK38" si="268">S38</f>
        <v>72</v>
      </c>
      <c r="CL38" s="74">
        <f t="shared" ref="CL38" si="269">W38</f>
        <v>108</v>
      </c>
      <c r="CM38" s="74">
        <f t="shared" ref="CM38" si="270">AA38</f>
        <v>116</v>
      </c>
      <c r="CN38" s="74">
        <f t="shared" ref="CN38" si="271">AE38</f>
        <v>142</v>
      </c>
      <c r="CO38" s="74">
        <f t="shared" ref="CO38" si="272">AI38</f>
        <v>168</v>
      </c>
      <c r="CP38" s="74">
        <f t="shared" ref="CP38" si="273">AM38</f>
        <v>208</v>
      </c>
      <c r="CQ38" s="74">
        <f t="shared" ref="CQ38" si="274">AQ38</f>
        <v>259</v>
      </c>
      <c r="CR38" s="74">
        <f t="shared" ref="CR38" si="275">AU38</f>
        <v>291</v>
      </c>
      <c r="CS38" s="74">
        <f t="shared" ref="CS38" si="276">AY38</f>
        <v>297</v>
      </c>
      <c r="CT38" s="23">
        <f t="shared" ref="CT38" si="277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s="12" customFormat="1" x14ac:dyDescent="0.2">
      <c r="A39" s="9" t="str">
        <f t="shared" ref="A39" si="278">CONCATENATE(B39,"_",C39)</f>
        <v>aa2ar_human_5UVI</v>
      </c>
      <c r="B39" s="9" t="s">
        <v>139</v>
      </c>
      <c r="C39" s="9" t="s">
        <v>1421</v>
      </c>
      <c r="D39" s="9" t="str">
        <f>IFERROR(MID(VLOOKUP($B39,Seqs!$A:$B,2,0),E39,1),"")</f>
        <v>M</v>
      </c>
      <c r="E39" s="9">
        <v>1</v>
      </c>
      <c r="F39" s="9" t="str">
        <f>IFERROR(MID(VLOOKUP($B39,Seqs!$A:$B,2,0),G39,1),"")</f>
        <v>N</v>
      </c>
      <c r="G39" s="9">
        <v>34</v>
      </c>
      <c r="H39" s="9" t="str">
        <f>IFERROR(MID(VLOOKUP($B39,Seqs!$A:$B,2,0),I39,1),"")</f>
        <v>S</v>
      </c>
      <c r="I39" s="112">
        <v>35</v>
      </c>
      <c r="J39" s="9" t="str">
        <f>IFERROR(MID(VLOOKUP($B39,Seqs!$A:$B,2,0),K39,1),"")</f>
        <v>Q</v>
      </c>
      <c r="K39" s="112">
        <v>38</v>
      </c>
      <c r="L39" s="9" t="str">
        <f>IFERROR(MID(VLOOKUP($B39,Seqs!$A:$B,2,0),M39,1),"")</f>
        <v>N</v>
      </c>
      <c r="M39" s="9">
        <v>39</v>
      </c>
      <c r="N39" s="9" t="str">
        <f>IFERROR(MID(VLOOKUP($B39,Seqs!$A:$B,2,0),O39,1),"")</f>
        <v>G</v>
      </c>
      <c r="O39" s="9">
        <v>69</v>
      </c>
      <c r="P39" s="9" t="str">
        <f>IFERROR(MID(VLOOKUP($B39,Seqs!$A:$B,2,0),Q39,1),"")</f>
        <v>F</v>
      </c>
      <c r="Q39" s="9">
        <v>70</v>
      </c>
      <c r="R39" s="9" t="str">
        <f>IFERROR(MID(VLOOKUP($B39,Seqs!$A:$B,2,0),S39,1),"")</f>
        <v>A</v>
      </c>
      <c r="S39" s="9">
        <v>72</v>
      </c>
      <c r="T39" s="9" t="str">
        <f>IFERROR(MID(VLOOKUP($B39,Seqs!$A:$B,2,0),U39,1),"")</f>
        <v>A</v>
      </c>
      <c r="U39" s="9">
        <v>73</v>
      </c>
      <c r="V39" s="9" t="str">
        <f>IFERROR(MID(VLOOKUP($B39,Seqs!$A:$B,2,0),W39,1),"")</f>
        <v>I</v>
      </c>
      <c r="W39" s="9">
        <v>108</v>
      </c>
      <c r="X39" s="9" t="str">
        <f>IFERROR(MID(VLOOKUP($B39,Seqs!$A:$B,2,0),Y39,1),"")</f>
        <v>P</v>
      </c>
      <c r="Y39" s="9">
        <v>109</v>
      </c>
      <c r="Z39" s="9" t="str">
        <f>IFERROR(MID(VLOOKUP($B39,Seqs!$A:$B,2,0),AA39,1),"")</f>
        <v>V</v>
      </c>
      <c r="AA39" s="9">
        <v>116</v>
      </c>
      <c r="AB39" s="9" t="str">
        <f>IFERROR(MID(VLOOKUP($B39,Seqs!$A:$B,2,0),AC39,1),"")</f>
        <v>T</v>
      </c>
      <c r="AC39" s="9">
        <v>117</v>
      </c>
      <c r="AD39" s="9" t="str">
        <f>IFERROR(MID(VLOOKUP($B39,Seqs!$A:$B,2,0),AE39,1),"")</f>
        <v>G</v>
      </c>
      <c r="AE39" s="9">
        <v>142</v>
      </c>
      <c r="AF39" s="9" t="str">
        <f>IFERROR(MID(VLOOKUP($B39,Seqs!$A:$B,2,0),AG39,1),"")</f>
        <v>C</v>
      </c>
      <c r="AG39" s="9">
        <v>166</v>
      </c>
      <c r="AH39" s="9" t="str">
        <f>IFERROR(MID(VLOOKUP($B39,Seqs!$A:$B,2,0),AI39,1),"")</f>
        <v>F</v>
      </c>
      <c r="AI39" s="9">
        <v>168</v>
      </c>
      <c r="AJ39" s="9" t="str">
        <f>IFERROR(MID(VLOOKUP($B39,Seqs!$A:$B,2,0),AK39,1),"")</f>
        <v>P</v>
      </c>
      <c r="AK39" s="9">
        <v>173</v>
      </c>
      <c r="AL39" s="9" t="str">
        <f>IFERROR(MID(VLOOKUP($B39,Seqs!$A:$B,2,0),AM39,1),"")</f>
        <v>L</v>
      </c>
      <c r="AM39" s="9">
        <v>208</v>
      </c>
      <c r="AN39" s="9" t="str">
        <f>IFERROR(MID(VLOOKUP($B39,Seqs!$A:$B,2,0),AO39,1),"")</f>
        <v>E</v>
      </c>
      <c r="AO39" s="9">
        <v>219</v>
      </c>
      <c r="AP39" s="9" t="str">
        <f>IFERROR(MID(VLOOKUP($B39,Seqs!$A:$B,2,0),AQ39,1),"")</f>
        <v>C</v>
      </c>
      <c r="AQ39" s="9">
        <v>259</v>
      </c>
      <c r="AR39" s="9" t="str">
        <f>IFERROR(MID(VLOOKUP($B39,Seqs!$A:$B,2,0),AS39,1),"")</f>
        <v>P</v>
      </c>
      <c r="AS39" s="9">
        <v>266</v>
      </c>
      <c r="AT39" s="9" t="str">
        <f>IFERROR(MID(VLOOKUP($B39,Seqs!$A:$B,2,0),AU39,1),"")</f>
        <v>R</v>
      </c>
      <c r="AU39" s="9">
        <v>291</v>
      </c>
      <c r="AV39" s="9" t="str">
        <f>IFERROR(MID(VLOOKUP($B39,Seqs!$A:$B,2,0),AW39,1),"")</f>
        <v>I</v>
      </c>
      <c r="AW39" s="9">
        <v>292</v>
      </c>
      <c r="AX39" s="9" t="str">
        <f>IFERROR(MID(VLOOKUP($B39,Seqs!$A:$B,2,0),AY39,1),"")</f>
        <v>H</v>
      </c>
      <c r="AY39" s="9">
        <v>306</v>
      </c>
      <c r="AZ39" s="113" t="str">
        <f>VLOOKUP(B39,Classification!A:D,2,0)</f>
        <v>A</v>
      </c>
      <c r="BA39" s="101" t="str">
        <f>VLOOKUP(B39,Classification!A:D,4,0)</f>
        <v>Adenosine</v>
      </c>
      <c r="BB39" s="3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112">
        <f t="shared" ref="BC39" si="280">_xlfn.AGGREGATE(9,6,CH39:CS39)-_xlfn.AGGREGATE(9,6,BV39:CG39)+12</f>
        <v>263</v>
      </c>
      <c r="BD39" s="13" t="s">
        <v>23</v>
      </c>
      <c r="BE39" s="9" t="s">
        <v>1381</v>
      </c>
      <c r="BF39" s="125">
        <v>3.2</v>
      </c>
      <c r="BG39" s="52" t="s">
        <v>1</v>
      </c>
      <c r="BH39" s="52" t="s">
        <v>1</v>
      </c>
      <c r="BJ39" s="114" t="s">
        <v>1293</v>
      </c>
      <c r="BK39" s="115" t="s">
        <v>1293</v>
      </c>
      <c r="BL39" s="115" t="s">
        <v>1293</v>
      </c>
      <c r="BM39" s="115" t="s">
        <v>1293</v>
      </c>
      <c r="BN39" s="115" t="s">
        <v>1293</v>
      </c>
      <c r="BO39" s="115" t="s">
        <v>1293</v>
      </c>
      <c r="BP39" s="115" t="s">
        <v>1293</v>
      </c>
      <c r="BQ39" s="115" t="s">
        <v>1293</v>
      </c>
      <c r="BR39" s="115" t="s">
        <v>1293</v>
      </c>
      <c r="BS39" s="115" t="s">
        <v>1293</v>
      </c>
      <c r="BT39" s="115" t="s">
        <v>1293</v>
      </c>
      <c r="BU39" s="115" t="s">
        <v>1293</v>
      </c>
      <c r="BV39" s="114">
        <f t="shared" ref="BV39" si="281">E39</f>
        <v>1</v>
      </c>
      <c r="BW39" s="116">
        <f t="shared" ref="BW39" si="282">I39</f>
        <v>35</v>
      </c>
      <c r="BX39" s="117">
        <f t="shared" ref="BX39" si="283">M39</f>
        <v>39</v>
      </c>
      <c r="BY39" s="116">
        <f t="shared" ref="BY39" si="284">Q39</f>
        <v>70</v>
      </c>
      <c r="BZ39" s="117">
        <f t="shared" ref="BZ39" si="285">U39</f>
        <v>73</v>
      </c>
      <c r="CA39" s="116">
        <f t="shared" ref="CA39" si="286">Y39</f>
        <v>109</v>
      </c>
      <c r="CB39" s="117">
        <f t="shared" ref="CB39" si="287">AC39</f>
        <v>117</v>
      </c>
      <c r="CC39" s="116">
        <f t="shared" ref="CC39" si="288">AG39</f>
        <v>166</v>
      </c>
      <c r="CD39" s="117">
        <f t="shared" ref="CD39" si="289">AK39</f>
        <v>173</v>
      </c>
      <c r="CE39" s="116">
        <f t="shared" ref="CE39" si="290">AO39</f>
        <v>219</v>
      </c>
      <c r="CF39" s="117">
        <f t="shared" ref="CF39" si="291">AS39</f>
        <v>266</v>
      </c>
      <c r="CG39" s="116">
        <f t="shared" ref="CG39" si="292">AW39</f>
        <v>292</v>
      </c>
      <c r="CH39" s="114">
        <f t="shared" ref="CH39" si="293">G39</f>
        <v>34</v>
      </c>
      <c r="CI39" s="116">
        <f t="shared" ref="CI39" si="294">K39</f>
        <v>38</v>
      </c>
      <c r="CJ39" s="117">
        <f t="shared" ref="CJ39" si="295">O39</f>
        <v>69</v>
      </c>
      <c r="CK39" s="117">
        <f t="shared" ref="CK39" si="296">S39</f>
        <v>72</v>
      </c>
      <c r="CL39" s="117">
        <f t="shared" ref="CL39" si="297">W39</f>
        <v>108</v>
      </c>
      <c r="CM39" s="117">
        <f t="shared" ref="CM39" si="298">AA39</f>
        <v>116</v>
      </c>
      <c r="CN39" s="117">
        <f t="shared" ref="CN39" si="299">AE39</f>
        <v>142</v>
      </c>
      <c r="CO39" s="117">
        <f t="shared" ref="CO39" si="300">AI39</f>
        <v>168</v>
      </c>
      <c r="CP39" s="117">
        <f t="shared" ref="CP39" si="301">AM39</f>
        <v>208</v>
      </c>
      <c r="CQ39" s="117">
        <f t="shared" ref="CQ39" si="302">AQ39</f>
        <v>259</v>
      </c>
      <c r="CR39" s="117">
        <f t="shared" ref="CR39" si="303">AU39</f>
        <v>291</v>
      </c>
      <c r="CS39" s="117">
        <f t="shared" ref="CS39" si="304">AY39</f>
        <v>306</v>
      </c>
      <c r="CT39" s="112">
        <f t="shared" ref="CT39" si="305">M39-K39</f>
        <v>1</v>
      </c>
    </row>
    <row r="40" spans="1:1029" s="12" customFormat="1" x14ac:dyDescent="0.2">
      <c r="A40" s="9" t="str">
        <f t="shared" ref="A40" si="306">CONCATENATE(B40,"_",C40)</f>
        <v>aa2ar_human_5JTB</v>
      </c>
      <c r="B40" s="9" t="s">
        <v>139</v>
      </c>
      <c r="C40" s="9" t="s">
        <v>1422</v>
      </c>
      <c r="D40" s="9" t="str">
        <f>IFERROR(MID(VLOOKUP($B40,Seqs!$A:$B,2,0),E40,1),"")</f>
        <v>M</v>
      </c>
      <c r="E40" s="9">
        <v>1</v>
      </c>
      <c r="F40" s="9" t="str">
        <f>IFERROR(MID(VLOOKUP($B40,Seqs!$A:$B,2,0),G40,1),"")</f>
        <v>N</v>
      </c>
      <c r="G40" s="9">
        <v>34</v>
      </c>
      <c r="H40" s="9" t="str">
        <f>IFERROR(MID(VLOOKUP($B40,Seqs!$A:$B,2,0),I40,1),"")</f>
        <v>S</v>
      </c>
      <c r="I40" s="112">
        <v>35</v>
      </c>
      <c r="J40" s="9" t="str">
        <f>IFERROR(MID(VLOOKUP($B40,Seqs!$A:$B,2,0),K40,1),"")</f>
        <v>Q</v>
      </c>
      <c r="K40" s="112">
        <v>38</v>
      </c>
      <c r="L40" s="9" t="str">
        <f>IFERROR(MID(VLOOKUP($B40,Seqs!$A:$B,2,0),M40,1),"")</f>
        <v>N</v>
      </c>
      <c r="M40" s="9">
        <v>39</v>
      </c>
      <c r="N40" s="9" t="str">
        <f>IFERROR(MID(VLOOKUP($B40,Seqs!$A:$B,2,0),O40,1),"")</f>
        <v>G</v>
      </c>
      <c r="O40" s="9">
        <v>69</v>
      </c>
      <c r="P40" s="9" t="str">
        <f>IFERROR(MID(VLOOKUP($B40,Seqs!$A:$B,2,0),Q40,1),"")</f>
        <v>F</v>
      </c>
      <c r="Q40" s="9">
        <v>70</v>
      </c>
      <c r="R40" s="9" t="str">
        <f>IFERROR(MID(VLOOKUP($B40,Seqs!$A:$B,2,0),S40,1),"")</f>
        <v>A</v>
      </c>
      <c r="S40" s="9">
        <v>72</v>
      </c>
      <c r="T40" s="9" t="str">
        <f>IFERROR(MID(VLOOKUP($B40,Seqs!$A:$B,2,0),U40,1),"")</f>
        <v>A</v>
      </c>
      <c r="U40" s="9">
        <v>73</v>
      </c>
      <c r="V40" s="9" t="str">
        <f>IFERROR(MID(VLOOKUP($B40,Seqs!$A:$B,2,0),W40,1),"")</f>
        <v>I</v>
      </c>
      <c r="W40" s="9">
        <v>108</v>
      </c>
      <c r="X40" s="9" t="str">
        <f>IFERROR(MID(VLOOKUP($B40,Seqs!$A:$B,2,0),Y40,1),"")</f>
        <v>P</v>
      </c>
      <c r="Y40" s="9">
        <v>109</v>
      </c>
      <c r="Z40" s="9" t="str">
        <f>IFERROR(MID(VLOOKUP($B40,Seqs!$A:$B,2,0),AA40,1),"")</f>
        <v>V</v>
      </c>
      <c r="AA40" s="9">
        <v>116</v>
      </c>
      <c r="AB40" s="9" t="str">
        <f>IFERROR(MID(VLOOKUP($B40,Seqs!$A:$B,2,0),AC40,1),"")</f>
        <v>T</v>
      </c>
      <c r="AC40" s="9">
        <v>117</v>
      </c>
      <c r="AD40" s="9" t="str">
        <f>IFERROR(MID(VLOOKUP($B40,Seqs!$A:$B,2,0),AE40,1),"")</f>
        <v>G</v>
      </c>
      <c r="AE40" s="9">
        <v>142</v>
      </c>
      <c r="AF40" s="9" t="str">
        <f>IFERROR(MID(VLOOKUP($B40,Seqs!$A:$B,2,0),AG40,1),"")</f>
        <v>C</v>
      </c>
      <c r="AG40" s="9">
        <v>166</v>
      </c>
      <c r="AH40" s="9" t="str">
        <f>IFERROR(MID(VLOOKUP($B40,Seqs!$A:$B,2,0),AI40,1),"")</f>
        <v>F</v>
      </c>
      <c r="AI40" s="9">
        <v>168</v>
      </c>
      <c r="AJ40" s="9" t="str">
        <f>IFERROR(MID(VLOOKUP($B40,Seqs!$A:$B,2,0),AK40,1),"")</f>
        <v>P</v>
      </c>
      <c r="AK40" s="9">
        <v>173</v>
      </c>
      <c r="AL40" s="9" t="str">
        <f>IFERROR(MID(VLOOKUP($B40,Seqs!$A:$B,2,0),AM40,1),"")</f>
        <v>L</v>
      </c>
      <c r="AM40" s="9">
        <v>208</v>
      </c>
      <c r="AN40" s="9" t="str">
        <f>IFERROR(MID(VLOOKUP($B40,Seqs!$A:$B,2,0),AO40,1),"")</f>
        <v>E</v>
      </c>
      <c r="AO40" s="9">
        <v>219</v>
      </c>
      <c r="AP40" s="9" t="str">
        <f>IFERROR(MID(VLOOKUP($B40,Seqs!$A:$B,2,0),AQ40,1),"")</f>
        <v>C</v>
      </c>
      <c r="AQ40" s="9">
        <v>259</v>
      </c>
      <c r="AR40" s="9" t="str">
        <f>IFERROR(MID(VLOOKUP($B40,Seqs!$A:$B,2,0),AS40,1),"")</f>
        <v>P</v>
      </c>
      <c r="AS40" s="9">
        <v>266</v>
      </c>
      <c r="AT40" s="9" t="str">
        <f>IFERROR(MID(VLOOKUP($B40,Seqs!$A:$B,2,0),AU40,1),"")</f>
        <v>R</v>
      </c>
      <c r="AU40" s="9">
        <v>291</v>
      </c>
      <c r="AV40" s="9" t="str">
        <f>IFERROR(MID(VLOOKUP($B40,Seqs!$A:$B,2,0),AW40,1),"")</f>
        <v>I</v>
      </c>
      <c r="AW40" s="9">
        <v>292</v>
      </c>
      <c r="AX40" s="9" t="str">
        <f>IFERROR(MID(VLOOKUP($B40,Seqs!$A:$B,2,0),AY40,1),"")</f>
        <v>V</v>
      </c>
      <c r="AY40" s="9">
        <v>307</v>
      </c>
      <c r="AZ40" s="113" t="str">
        <f>VLOOKUP(B40,Classification!A:D,2,0)</f>
        <v>A</v>
      </c>
      <c r="BA40" s="101" t="str">
        <f>VLOOKUP(B40,Classification!A:D,4,0)</f>
        <v>Adenosine</v>
      </c>
      <c r="BB40" s="3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112">
        <f t="shared" ref="BC40" si="308">_xlfn.AGGREGATE(9,6,CH40:CS40)-_xlfn.AGGREGATE(9,6,BV40:CG40)+12</f>
        <v>264</v>
      </c>
      <c r="BD40" s="13" t="s">
        <v>23</v>
      </c>
      <c r="BE40" s="9" t="s">
        <v>1381</v>
      </c>
      <c r="BF40" s="125">
        <v>2.8</v>
      </c>
      <c r="BG40" s="52" t="s">
        <v>1</v>
      </c>
      <c r="BH40" s="52" t="s">
        <v>1</v>
      </c>
      <c r="BJ40" s="114" t="s">
        <v>1293</v>
      </c>
      <c r="BK40" s="115" t="s">
        <v>1293</v>
      </c>
      <c r="BL40" s="115" t="s">
        <v>1293</v>
      </c>
      <c r="BM40" s="115" t="s">
        <v>1293</v>
      </c>
      <c r="BN40" s="115" t="s">
        <v>1293</v>
      </c>
      <c r="BO40" s="115" t="s">
        <v>1293</v>
      </c>
      <c r="BP40" s="115" t="s">
        <v>1293</v>
      </c>
      <c r="BQ40" s="115" t="s">
        <v>1293</v>
      </c>
      <c r="BR40" s="115" t="s">
        <v>1293</v>
      </c>
      <c r="BS40" s="115" t="s">
        <v>1293</v>
      </c>
      <c r="BT40" s="115" t="s">
        <v>1293</v>
      </c>
      <c r="BU40" s="115" t="s">
        <v>1293</v>
      </c>
      <c r="BV40" s="114">
        <f t="shared" ref="BV40" si="309">E40</f>
        <v>1</v>
      </c>
      <c r="BW40" s="116">
        <f t="shared" ref="BW40" si="310">I40</f>
        <v>35</v>
      </c>
      <c r="BX40" s="117">
        <f t="shared" ref="BX40" si="311">M40</f>
        <v>39</v>
      </c>
      <c r="BY40" s="116">
        <f t="shared" ref="BY40" si="312">Q40</f>
        <v>70</v>
      </c>
      <c r="BZ40" s="117">
        <f t="shared" ref="BZ40" si="313">U40</f>
        <v>73</v>
      </c>
      <c r="CA40" s="116">
        <f t="shared" ref="CA40" si="314">Y40</f>
        <v>109</v>
      </c>
      <c r="CB40" s="117">
        <f t="shared" ref="CB40" si="315">AC40</f>
        <v>117</v>
      </c>
      <c r="CC40" s="116">
        <f t="shared" ref="CC40" si="316">AG40</f>
        <v>166</v>
      </c>
      <c r="CD40" s="117">
        <f t="shared" ref="CD40" si="317">AK40</f>
        <v>173</v>
      </c>
      <c r="CE40" s="116">
        <f t="shared" ref="CE40" si="318">AO40</f>
        <v>219</v>
      </c>
      <c r="CF40" s="117">
        <f t="shared" ref="CF40" si="319">AS40</f>
        <v>266</v>
      </c>
      <c r="CG40" s="116">
        <f t="shared" ref="CG40" si="320">AW40</f>
        <v>292</v>
      </c>
      <c r="CH40" s="114">
        <f t="shared" ref="CH40" si="321">G40</f>
        <v>34</v>
      </c>
      <c r="CI40" s="116">
        <f t="shared" ref="CI40" si="322">K40</f>
        <v>38</v>
      </c>
      <c r="CJ40" s="117">
        <f t="shared" ref="CJ40" si="323">O40</f>
        <v>69</v>
      </c>
      <c r="CK40" s="117">
        <f t="shared" ref="CK40" si="324">S40</f>
        <v>72</v>
      </c>
      <c r="CL40" s="117">
        <f t="shared" ref="CL40" si="325">W40</f>
        <v>108</v>
      </c>
      <c r="CM40" s="117">
        <f t="shared" ref="CM40" si="326">AA40</f>
        <v>116</v>
      </c>
      <c r="CN40" s="117">
        <f t="shared" ref="CN40" si="327">AE40</f>
        <v>142</v>
      </c>
      <c r="CO40" s="117">
        <f t="shared" ref="CO40" si="328">AI40</f>
        <v>168</v>
      </c>
      <c r="CP40" s="117">
        <f t="shared" ref="CP40" si="329">AM40</f>
        <v>208</v>
      </c>
      <c r="CQ40" s="117">
        <f t="shared" ref="CQ40" si="330">AQ40</f>
        <v>259</v>
      </c>
      <c r="CR40" s="117">
        <f t="shared" ref="CR40" si="331">AU40</f>
        <v>291</v>
      </c>
      <c r="CS40" s="117">
        <f t="shared" ref="CS40" si="332">AY40</f>
        <v>307</v>
      </c>
      <c r="CT40" s="112">
        <f t="shared" ref="CT40" si="333">M40-K40</f>
        <v>1</v>
      </c>
    </row>
    <row r="41" spans="1:1029" x14ac:dyDescent="0.2">
      <c r="A41" s="3" t="str">
        <f t="shared" si="0"/>
        <v>acm1_human__wt</v>
      </c>
      <c r="B41" s="3" t="s">
        <v>146</v>
      </c>
      <c r="C41" s="3" t="s">
        <v>100</v>
      </c>
      <c r="D41" s="3" t="str">
        <f>IFERROR(MID(VLOOKUP($B41,Seqs!$A:$B,2,0),E41,1),"")</f>
        <v>P</v>
      </c>
      <c r="E41" s="3">
        <v>22</v>
      </c>
      <c r="F41" s="3" t="str">
        <f>IFERROR(MID(VLOOKUP($B41,Seqs!$A:$B,2,0),G41,1),"")</f>
        <v>N</v>
      </c>
      <c r="G41" s="3">
        <v>53</v>
      </c>
      <c r="H41" s="3" t="str">
        <f>IFERROR(MID(VLOOKUP($B41,Seqs!$A:$B,2,0),I41,1),"")</f>
        <v>T</v>
      </c>
      <c r="I41" s="23">
        <v>54</v>
      </c>
      <c r="J41" s="3" t="str">
        <f>IFERROR(MID(VLOOKUP($B41,Seqs!$A:$B,2,0),K41,1),"")</f>
        <v>K</v>
      </c>
      <c r="K41" s="23">
        <v>57</v>
      </c>
      <c r="L41" s="3" t="str">
        <f>IFERROR(MID(VLOOKUP($B41,Seqs!$A:$B,2,0),M41,1),"")</f>
        <v>T</v>
      </c>
      <c r="M41" s="3">
        <v>58</v>
      </c>
      <c r="N41" s="3" t="str">
        <f>IFERROR(MID(VLOOKUP($B41,Seqs!$A:$B,2,0),O41,1),"")</f>
        <v>M</v>
      </c>
      <c r="O41" s="3">
        <v>88</v>
      </c>
      <c r="P41" s="3" t="str">
        <f>IFERROR(MID(VLOOKUP($B41,Seqs!$A:$B,2,0),Q41,1),"")</f>
        <v>H</v>
      </c>
      <c r="Q41" s="3">
        <v>90</v>
      </c>
      <c r="R41" s="3" t="str">
        <f>IFERROR(MID(VLOOKUP($B41,Seqs!$A:$B,2,0),S41,1),"")</f>
        <v>L</v>
      </c>
      <c r="S41" s="3">
        <v>93</v>
      </c>
      <c r="T41" s="3" t="str">
        <f>IFERROR(MID(VLOOKUP($B41,Seqs!$A:$B,2,0),U41,1),"")</f>
        <v>G</v>
      </c>
      <c r="U41" s="3">
        <v>94</v>
      </c>
      <c r="V41" s="3" t="str">
        <f>IFERROR(MID(VLOOKUP($B41,Seqs!$A:$B,2,0),W41,1),"")</f>
        <v>R</v>
      </c>
      <c r="W41" s="3">
        <v>129</v>
      </c>
      <c r="X41" s="3" t="str">
        <f>IFERROR(MID(VLOOKUP($B41,Seqs!$A:$B,2,0),Y41,1),"")</f>
        <v>P</v>
      </c>
      <c r="Y41" s="3">
        <v>130</v>
      </c>
      <c r="Z41" s="3" t="str">
        <f>IFERROR(MID(VLOOKUP($B41,Seqs!$A:$B,2,0),AA41,1),"")</f>
        <v>R</v>
      </c>
      <c r="AA41" s="3">
        <v>137</v>
      </c>
      <c r="AB41" s="3" t="str">
        <f>IFERROR(MID(VLOOKUP($B41,Seqs!$A:$B,2,0),AC41,1),"")</f>
        <v>T</v>
      </c>
      <c r="AC41" s="9">
        <v>138</v>
      </c>
      <c r="AD41" s="3" t="str">
        <f>IFERROR(MID(VLOOKUP($B41,Seqs!$A:$B,2,0),AE41,1),"")</f>
        <v>G</v>
      </c>
      <c r="AE41" s="3">
        <v>169</v>
      </c>
      <c r="AF41" s="3" t="str">
        <f>IFERROR(MID(VLOOKUP($B41,Seqs!$A:$B,2,0),AG41,1),"")</f>
        <v>C</v>
      </c>
      <c r="AG41" s="3">
        <v>178</v>
      </c>
      <c r="AH41" s="3" t="str">
        <f>IFERROR(MID(VLOOKUP($B41,Seqs!$A:$B,2,0),AI41,1),"")</f>
        <v>I</v>
      </c>
      <c r="AI41" s="3">
        <v>180</v>
      </c>
      <c r="AJ41" s="3" t="str">
        <f>IFERROR(MID(VLOOKUP($B41,Seqs!$A:$B,2,0),AK41,1),"")</f>
        <v>Q</v>
      </c>
      <c r="AK41" s="3">
        <v>185</v>
      </c>
      <c r="AL41" s="3" t="str">
        <f>IFERROR(MID(VLOOKUP($B41,Seqs!$A:$B,2,0),AM41,1),"")</f>
        <v>L</v>
      </c>
      <c r="AM41" s="3">
        <v>225</v>
      </c>
      <c r="AN41" s="3" t="str">
        <f>IFERROR(MID(VLOOKUP($B41,Seqs!$A:$B,2,0),AO41,1),"")</f>
        <v>T</v>
      </c>
      <c r="AO41" s="3">
        <v>354</v>
      </c>
      <c r="AP41" s="3" t="str">
        <f>IFERROR(MID(VLOOKUP($B41,Seqs!$A:$B,2,0),AQ41,1),"")</f>
        <v>C</v>
      </c>
      <c r="AQ41" s="3">
        <v>391</v>
      </c>
      <c r="AR41" s="3" t="str">
        <f>IFERROR(MID(VLOOKUP($B41,Seqs!$A:$B,2,0),AS41,1),"")</f>
        <v>P</v>
      </c>
      <c r="AS41" s="3">
        <v>396</v>
      </c>
      <c r="AT41" s="3" t="str">
        <f>IFERROR(MID(VLOOKUP($B41,Seqs!$A:$B,2,0),AU41,1),"")</f>
        <v>C</v>
      </c>
      <c r="AU41" s="3">
        <v>421</v>
      </c>
      <c r="AV41" s="3" t="str">
        <f>IFERROR(MID(VLOOKUP($B41,Seqs!$A:$B,2,0),AW41,1),"")</f>
        <v>N</v>
      </c>
      <c r="AW41" s="3">
        <v>422</v>
      </c>
      <c r="AX41" s="3" t="str">
        <f>IFERROR(MID(VLOOKUP($B41,Seqs!$A:$B,2,0),AY41,1),"")</f>
        <v>L</v>
      </c>
      <c r="AY41" s="3">
        <v>434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"/>
        <v>1</v>
      </c>
      <c r="BC41" s="23">
        <f t="shared" si="140"/>
        <v>268</v>
      </c>
      <c r="BD41" s="57" t="s">
        <v>1379</v>
      </c>
      <c r="BE41" s="3" t="s">
        <v>23</v>
      </c>
      <c r="BF41" s="124" t="s">
        <v>23</v>
      </c>
      <c r="BG41" s="50" t="s">
        <v>1379</v>
      </c>
      <c r="BH41" s="50" t="s">
        <v>1384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si="141"/>
        <v>22</v>
      </c>
      <c r="BW41" s="73">
        <f t="shared" si="142"/>
        <v>54</v>
      </c>
      <c r="BX41" s="74">
        <f t="shared" si="143"/>
        <v>58</v>
      </c>
      <c r="BY41" s="73">
        <f t="shared" si="144"/>
        <v>90</v>
      </c>
      <c r="BZ41" s="74">
        <f t="shared" si="145"/>
        <v>94</v>
      </c>
      <c r="CA41" s="73">
        <f t="shared" si="146"/>
        <v>130</v>
      </c>
      <c r="CB41" s="74">
        <f t="shared" si="147"/>
        <v>138</v>
      </c>
      <c r="CC41" s="73">
        <f t="shared" si="148"/>
        <v>178</v>
      </c>
      <c r="CD41" s="74">
        <f t="shared" si="149"/>
        <v>185</v>
      </c>
      <c r="CE41" s="73">
        <f t="shared" si="150"/>
        <v>354</v>
      </c>
      <c r="CF41" s="74">
        <f t="shared" si="151"/>
        <v>396</v>
      </c>
      <c r="CG41" s="73">
        <f t="shared" si="152"/>
        <v>422</v>
      </c>
      <c r="CH41" s="72">
        <f t="shared" si="153"/>
        <v>53</v>
      </c>
      <c r="CI41" s="73">
        <f t="shared" si="154"/>
        <v>57</v>
      </c>
      <c r="CJ41" s="74">
        <f t="shared" si="155"/>
        <v>88</v>
      </c>
      <c r="CK41" s="74">
        <f t="shared" si="156"/>
        <v>93</v>
      </c>
      <c r="CL41" s="74">
        <f t="shared" si="157"/>
        <v>129</v>
      </c>
      <c r="CM41" s="74">
        <f t="shared" si="158"/>
        <v>137</v>
      </c>
      <c r="CN41" s="74">
        <f t="shared" si="159"/>
        <v>169</v>
      </c>
      <c r="CO41" s="74">
        <f t="shared" si="160"/>
        <v>180</v>
      </c>
      <c r="CP41" s="74">
        <f t="shared" si="161"/>
        <v>225</v>
      </c>
      <c r="CQ41" s="74">
        <f t="shared" si="162"/>
        <v>391</v>
      </c>
      <c r="CR41" s="74">
        <f t="shared" si="163"/>
        <v>421</v>
      </c>
      <c r="CS41" s="74">
        <f t="shared" si="164"/>
        <v>434</v>
      </c>
      <c r="CT41" s="23">
        <f t="shared" si="165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acm1_human_5CXV</v>
      </c>
      <c r="B42" s="3" t="s">
        <v>146</v>
      </c>
      <c r="C42" s="3" t="s">
        <v>62</v>
      </c>
      <c r="D42" s="3" t="str">
        <f>IFERROR(MID(VLOOKUP($B42,Seqs!$A:$B,2,0),E42,1),"")</f>
        <v>P</v>
      </c>
      <c r="E42" s="3">
        <v>22</v>
      </c>
      <c r="F42" s="3" t="str">
        <f>IFERROR(MID(VLOOKUP($B42,Seqs!$A:$B,2,0),G42,1),"")</f>
        <v>N</v>
      </c>
      <c r="G42" s="3">
        <v>53</v>
      </c>
      <c r="H42" s="3" t="str">
        <f>IFERROR(MID(VLOOKUP($B42,Seqs!$A:$B,2,0),I42,1),"")</f>
        <v>T</v>
      </c>
      <c r="I42" s="23">
        <v>54</v>
      </c>
      <c r="J42" s="3" t="str">
        <f>IFERROR(MID(VLOOKUP($B42,Seqs!$A:$B,2,0),K42,1),"")</f>
        <v>K</v>
      </c>
      <c r="K42" s="23">
        <v>57</v>
      </c>
      <c r="L42" s="3" t="str">
        <f>IFERROR(MID(VLOOKUP($B42,Seqs!$A:$B,2,0),M42,1),"")</f>
        <v>T</v>
      </c>
      <c r="M42" s="3">
        <v>58</v>
      </c>
      <c r="N42" s="3" t="str">
        <f>IFERROR(MID(VLOOKUP($B42,Seqs!$A:$B,2,0),O42,1),"")</f>
        <v>M</v>
      </c>
      <c r="O42" s="3">
        <v>88</v>
      </c>
      <c r="P42" s="3" t="str">
        <f>IFERROR(MID(VLOOKUP($B42,Seqs!$A:$B,2,0),Q42,1),"")</f>
        <v>H</v>
      </c>
      <c r="Q42" s="3">
        <v>90</v>
      </c>
      <c r="R42" s="3" t="str">
        <f>IFERROR(MID(VLOOKUP($B42,Seqs!$A:$B,2,0),S42,1),"")</f>
        <v>L</v>
      </c>
      <c r="S42" s="3">
        <v>93</v>
      </c>
      <c r="T42" s="3" t="str">
        <f>IFERROR(MID(VLOOKUP($B42,Seqs!$A:$B,2,0),U42,1),"")</f>
        <v>G</v>
      </c>
      <c r="U42" s="3">
        <v>94</v>
      </c>
      <c r="V42" s="3" t="str">
        <f>IFERROR(MID(VLOOKUP($B42,Seqs!$A:$B,2,0),W42,1),"")</f>
        <v>R</v>
      </c>
      <c r="W42" s="3">
        <v>129</v>
      </c>
      <c r="X42" s="3" t="str">
        <f>IFERROR(MID(VLOOKUP($B42,Seqs!$A:$B,2,0),Y42,1),"")</f>
        <v>P</v>
      </c>
      <c r="Y42" s="3">
        <v>130</v>
      </c>
      <c r="Z42" s="3" t="str">
        <f>IFERROR(MID(VLOOKUP($B42,Seqs!$A:$B,2,0),AA42,1),"")</f>
        <v>R</v>
      </c>
      <c r="AA42" s="3">
        <v>137</v>
      </c>
      <c r="AB42" s="3" t="str">
        <f>IFERROR(MID(VLOOKUP($B42,Seqs!$A:$B,2,0),AC42,1),"")</f>
        <v>T</v>
      </c>
      <c r="AC42" s="9">
        <v>138</v>
      </c>
      <c r="AD42" s="3" t="str">
        <f>IFERROR(MID(VLOOKUP($B42,Seqs!$A:$B,2,0),AE42,1),"")</f>
        <v>G</v>
      </c>
      <c r="AE42" s="3">
        <v>169</v>
      </c>
      <c r="AF42" s="3" t="str">
        <f>IFERROR(MID(VLOOKUP($B42,Seqs!$A:$B,2,0),AG42,1),"")</f>
        <v>C</v>
      </c>
      <c r="AG42" s="3">
        <v>178</v>
      </c>
      <c r="AH42" s="3" t="str">
        <f>IFERROR(MID(VLOOKUP($B42,Seqs!$A:$B,2,0),AI42,1),"")</f>
        <v>I</v>
      </c>
      <c r="AI42" s="3">
        <v>180</v>
      </c>
      <c r="AJ42" s="3" t="str">
        <f>IFERROR(MID(VLOOKUP($B42,Seqs!$A:$B,2,0),AK42,1),"")</f>
        <v>Q</v>
      </c>
      <c r="AK42" s="3">
        <v>185</v>
      </c>
      <c r="AL42" s="3" t="str">
        <f>IFERROR(MID(VLOOKUP($B42,Seqs!$A:$B,2,0),AM42,1),"")</f>
        <v>R</v>
      </c>
      <c r="AM42" s="3">
        <v>213</v>
      </c>
      <c r="AN42" s="3" t="str">
        <f>IFERROR(MID(VLOOKUP($B42,Seqs!$A:$B,2,0),AO42,1),"")</f>
        <v>L</v>
      </c>
      <c r="AO42" s="3">
        <v>357</v>
      </c>
      <c r="AP42" s="3" t="str">
        <f>IFERROR(MID(VLOOKUP($B42,Seqs!$A:$B,2,0),AQ42,1),"")</f>
        <v>C</v>
      </c>
      <c r="AQ42" s="3">
        <v>391</v>
      </c>
      <c r="AR42" s="3" t="str">
        <f>IFERROR(MID(VLOOKUP($B42,Seqs!$A:$B,2,0),AS42,1),"")</f>
        <v>P</v>
      </c>
      <c r="AS42" s="3">
        <v>396</v>
      </c>
      <c r="AT42" s="3" t="str">
        <f>IFERROR(MID(VLOOKUP($B42,Seqs!$A:$B,2,0),AU42,1),"")</f>
        <v>C</v>
      </c>
      <c r="AU42" s="3">
        <v>421</v>
      </c>
      <c r="AV42" s="3" t="str">
        <f>IFERROR(MID(VLOOKUP($B42,Seqs!$A:$B,2,0),AW42,1),"")</f>
        <v>N</v>
      </c>
      <c r="AW42" s="3">
        <v>422</v>
      </c>
      <c r="AX42" s="3" t="str">
        <f>IFERROR(MID(VLOOKUP($B42,Seqs!$A:$B,2,0),AY42,1),"")</f>
        <v>L</v>
      </c>
      <c r="AY42" s="3">
        <v>434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"/>
        <v>1</v>
      </c>
      <c r="BC42" s="23">
        <f t="shared" si="140"/>
        <v>253</v>
      </c>
      <c r="BD42" s="16" t="s">
        <v>1383</v>
      </c>
      <c r="BE42" s="3" t="s">
        <v>1381</v>
      </c>
      <c r="BF42" s="124">
        <v>2.7</v>
      </c>
      <c r="BG42" s="50" t="s">
        <v>1384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si="141"/>
        <v>22</v>
      </c>
      <c r="BW42" s="73">
        <f t="shared" si="142"/>
        <v>54</v>
      </c>
      <c r="BX42" s="74">
        <f t="shared" si="143"/>
        <v>58</v>
      </c>
      <c r="BY42" s="73">
        <f t="shared" si="144"/>
        <v>90</v>
      </c>
      <c r="BZ42" s="74">
        <f t="shared" si="145"/>
        <v>94</v>
      </c>
      <c r="CA42" s="73">
        <f t="shared" si="146"/>
        <v>130</v>
      </c>
      <c r="CB42" s="74">
        <f t="shared" si="147"/>
        <v>138</v>
      </c>
      <c r="CC42" s="73">
        <f t="shared" si="148"/>
        <v>178</v>
      </c>
      <c r="CD42" s="74">
        <f t="shared" si="149"/>
        <v>185</v>
      </c>
      <c r="CE42" s="73">
        <f t="shared" si="150"/>
        <v>357</v>
      </c>
      <c r="CF42" s="74">
        <f t="shared" si="151"/>
        <v>396</v>
      </c>
      <c r="CG42" s="73">
        <f t="shared" si="152"/>
        <v>422</v>
      </c>
      <c r="CH42" s="72">
        <f t="shared" si="153"/>
        <v>53</v>
      </c>
      <c r="CI42" s="73">
        <f t="shared" si="154"/>
        <v>57</v>
      </c>
      <c r="CJ42" s="74">
        <f t="shared" si="155"/>
        <v>88</v>
      </c>
      <c r="CK42" s="74">
        <f t="shared" si="156"/>
        <v>93</v>
      </c>
      <c r="CL42" s="74">
        <f t="shared" si="157"/>
        <v>129</v>
      </c>
      <c r="CM42" s="74">
        <f t="shared" si="158"/>
        <v>137</v>
      </c>
      <c r="CN42" s="74">
        <f t="shared" si="159"/>
        <v>169</v>
      </c>
      <c r="CO42" s="74">
        <f t="shared" si="160"/>
        <v>180</v>
      </c>
      <c r="CP42" s="74">
        <f t="shared" si="161"/>
        <v>213</v>
      </c>
      <c r="CQ42" s="74">
        <f t="shared" si="162"/>
        <v>391</v>
      </c>
      <c r="CR42" s="74">
        <f t="shared" si="163"/>
        <v>421</v>
      </c>
      <c r="CS42" s="74">
        <f t="shared" si="164"/>
        <v>434</v>
      </c>
      <c r="CT42" s="23">
        <f t="shared" si="165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acm2_human__wt</v>
      </c>
      <c r="B43" s="3" t="s">
        <v>147</v>
      </c>
      <c r="C43" s="3" t="s">
        <v>100</v>
      </c>
      <c r="D43" s="3" t="str">
        <f>IFERROR(MID(VLOOKUP($B43,Seqs!$A:$B,2,0),E43,1),"")</f>
        <v>K</v>
      </c>
      <c r="E43" s="3">
        <v>19</v>
      </c>
      <c r="F43" s="3" t="str">
        <f>IFERROR(MID(VLOOKUP($B43,Seqs!$A:$B,2,0),G43,1),"")</f>
        <v>N</v>
      </c>
      <c r="G43" s="3">
        <v>51</v>
      </c>
      <c r="H43" s="3" t="str">
        <f>IFERROR(MID(VLOOKUP($B43,Seqs!$A:$B,2,0),I43,1),"")</f>
        <v>R</v>
      </c>
      <c r="I43" s="23">
        <v>52</v>
      </c>
      <c r="J43" s="3" t="str">
        <f>IFERROR(MID(VLOOKUP($B43,Seqs!$A:$B,2,0),K43,1),"")</f>
        <v>Q</v>
      </c>
      <c r="K43" s="23">
        <v>55</v>
      </c>
      <c r="L43" s="3" t="str">
        <f>IFERROR(MID(VLOOKUP($B43,Seqs!$A:$B,2,0),M43,1),"")</f>
        <v>T</v>
      </c>
      <c r="M43" s="3">
        <v>56</v>
      </c>
      <c r="N43" s="3" t="str">
        <f>IFERROR(MID(VLOOKUP($B43,Seqs!$A:$B,2,0),O43,1),"")</f>
        <v>I</v>
      </c>
      <c r="O43" s="3">
        <v>86</v>
      </c>
      <c r="P43" s="3" t="str">
        <f>IFERROR(MID(VLOOKUP($B43,Seqs!$A:$B,2,0),Q43,1),"")</f>
        <v>Y</v>
      </c>
      <c r="Q43" s="3">
        <v>88</v>
      </c>
      <c r="R43" s="3" t="str">
        <f>IFERROR(MID(VLOOKUP($B43,Seqs!$A:$B,2,0),S43,1),"")</f>
        <v>L</v>
      </c>
      <c r="S43" s="3">
        <v>91</v>
      </c>
      <c r="T43" s="3" t="str">
        <f>IFERROR(MID(VLOOKUP($B43,Seqs!$A:$B,2,0),U43,1),"")</f>
        <v>G</v>
      </c>
      <c r="U43" s="3">
        <v>92</v>
      </c>
      <c r="V43" s="3" t="str">
        <f>IFERROR(MID(VLOOKUP($B43,Seqs!$A:$B,2,0),W43,1),"")</f>
        <v>K</v>
      </c>
      <c r="W43" s="3">
        <v>127</v>
      </c>
      <c r="X43" s="3" t="str">
        <f>IFERROR(MID(VLOOKUP($B43,Seqs!$A:$B,2,0),Y43,1),"")</f>
        <v>P</v>
      </c>
      <c r="Y43" s="3">
        <v>128</v>
      </c>
      <c r="Z43" s="3" t="str">
        <f>IFERROR(MID(VLOOKUP($B43,Seqs!$A:$B,2,0),AA43,1),"")</f>
        <v>R</v>
      </c>
      <c r="AA43" s="3">
        <v>135</v>
      </c>
      <c r="AB43" s="3" t="str">
        <f>IFERROR(MID(VLOOKUP($B43,Seqs!$A:$B,2,0),AC43,1),"")</f>
        <v>T</v>
      </c>
      <c r="AC43" s="9">
        <v>136</v>
      </c>
      <c r="AD43" s="3" t="str">
        <f>IFERROR(MID(VLOOKUP($B43,Seqs!$A:$B,2,0),AE43,1),"")</f>
        <v>G</v>
      </c>
      <c r="AE43" s="3">
        <v>167</v>
      </c>
      <c r="AF43" s="3" t="str">
        <f>IFERROR(MID(VLOOKUP($B43,Seqs!$A:$B,2,0),AG43,1),"")</f>
        <v>C</v>
      </c>
      <c r="AG43" s="3">
        <v>176</v>
      </c>
      <c r="AH43" s="3" t="str">
        <f>IFERROR(MID(VLOOKUP($B43,Seqs!$A:$B,2,0),AI43,1),"")</f>
        <v>I</v>
      </c>
      <c r="AI43" s="3">
        <v>178</v>
      </c>
      <c r="AJ43" s="3" t="str">
        <f>IFERROR(MID(VLOOKUP($B43,Seqs!$A:$B,2,0),AK43,1),"")</f>
        <v>N</v>
      </c>
      <c r="AK43" s="3">
        <v>183</v>
      </c>
      <c r="AL43" s="3" t="str">
        <f>IFERROR(MID(VLOOKUP($B43,Seqs!$A:$B,2,0),AM43,1),"")</f>
        <v>E</v>
      </c>
      <c r="AM43" s="3">
        <v>223</v>
      </c>
      <c r="AN43" s="3" t="str">
        <f>IFERROR(MID(VLOOKUP($B43,Seqs!$A:$B,2,0),AO43,1),"")</f>
        <v>K</v>
      </c>
      <c r="AO43" s="3">
        <v>376</v>
      </c>
      <c r="AP43" s="3" t="str">
        <f>IFERROR(MID(VLOOKUP($B43,Seqs!$A:$B,2,0),AQ43,1),"")</f>
        <v>C</v>
      </c>
      <c r="AQ43" s="3">
        <v>413</v>
      </c>
      <c r="AR43" s="3" t="str">
        <f>IFERROR(MID(VLOOKUP($B43,Seqs!$A:$B,2,0),AS43,1),"")</f>
        <v>P</v>
      </c>
      <c r="AS43" s="3">
        <v>418</v>
      </c>
      <c r="AT43" s="3" t="str">
        <f>IFERROR(MID(VLOOKUP($B43,Seqs!$A:$B,2,0),AU43,1),"")</f>
        <v>C</v>
      </c>
      <c r="AU43" s="3">
        <v>443</v>
      </c>
      <c r="AV43" s="3" t="str">
        <f>IFERROR(MID(VLOOKUP($B43,Seqs!$A:$B,2,0),AW43,1),"")</f>
        <v>N</v>
      </c>
      <c r="AW43" s="3">
        <v>444</v>
      </c>
      <c r="AX43" s="3" t="str">
        <f>IFERROR(MID(VLOOKUP($B43,Seqs!$A:$B,2,0),AY43,1),"")</f>
        <v>M</v>
      </c>
      <c r="AY43" s="3">
        <v>456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"/>
        <v>1</v>
      </c>
      <c r="BC43" s="23">
        <f t="shared" si="140"/>
        <v>269</v>
      </c>
      <c r="BD43" s="57" t="s">
        <v>1379</v>
      </c>
      <c r="BE43" s="3" t="s">
        <v>23</v>
      </c>
      <c r="BF43" s="124" t="s">
        <v>23</v>
      </c>
      <c r="BG43" s="50" t="s">
        <v>1379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141"/>
        <v>19</v>
      </c>
      <c r="BW43" s="73">
        <f t="shared" si="142"/>
        <v>52</v>
      </c>
      <c r="BX43" s="74">
        <f t="shared" si="143"/>
        <v>56</v>
      </c>
      <c r="BY43" s="73">
        <f t="shared" si="144"/>
        <v>88</v>
      </c>
      <c r="BZ43" s="74">
        <f t="shared" si="145"/>
        <v>92</v>
      </c>
      <c r="CA43" s="73">
        <f t="shared" si="146"/>
        <v>128</v>
      </c>
      <c r="CB43" s="74">
        <f t="shared" si="147"/>
        <v>136</v>
      </c>
      <c r="CC43" s="73">
        <f t="shared" si="148"/>
        <v>176</v>
      </c>
      <c r="CD43" s="74">
        <f t="shared" si="149"/>
        <v>183</v>
      </c>
      <c r="CE43" s="73">
        <f t="shared" si="150"/>
        <v>376</v>
      </c>
      <c r="CF43" s="74">
        <f t="shared" si="151"/>
        <v>418</v>
      </c>
      <c r="CG43" s="73">
        <f t="shared" si="152"/>
        <v>444</v>
      </c>
      <c r="CH43" s="72">
        <f t="shared" si="153"/>
        <v>51</v>
      </c>
      <c r="CI43" s="73">
        <f t="shared" si="154"/>
        <v>55</v>
      </c>
      <c r="CJ43" s="74">
        <f t="shared" si="155"/>
        <v>86</v>
      </c>
      <c r="CK43" s="74">
        <f t="shared" si="156"/>
        <v>91</v>
      </c>
      <c r="CL43" s="74">
        <f t="shared" si="157"/>
        <v>127</v>
      </c>
      <c r="CM43" s="74">
        <f t="shared" si="158"/>
        <v>135</v>
      </c>
      <c r="CN43" s="74">
        <f t="shared" si="159"/>
        <v>167</v>
      </c>
      <c r="CO43" s="74">
        <f t="shared" si="160"/>
        <v>178</v>
      </c>
      <c r="CP43" s="74">
        <f t="shared" si="161"/>
        <v>223</v>
      </c>
      <c r="CQ43" s="74">
        <f t="shared" si="162"/>
        <v>413</v>
      </c>
      <c r="CR43" s="74">
        <f t="shared" si="163"/>
        <v>443</v>
      </c>
      <c r="CS43" s="74">
        <f t="shared" si="164"/>
        <v>456</v>
      </c>
      <c r="CT43" s="23">
        <f t="shared" si="165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:A75" si="334">CONCATENATE(B44,"_",C44)</f>
        <v>acm2_human_3UON</v>
      </c>
      <c r="B44" s="3" t="s">
        <v>147</v>
      </c>
      <c r="C44" s="3" t="s">
        <v>79</v>
      </c>
      <c r="D44" s="3" t="str">
        <f>IFERROR(MID(VLOOKUP($B44,Seqs!$A:$B,2,0),E44,1),"")</f>
        <v>V</v>
      </c>
      <c r="E44" s="3">
        <v>23</v>
      </c>
      <c r="F44" s="3" t="str">
        <f>IFERROR(MID(VLOOKUP($B44,Seqs!$A:$B,2,0),G44,1),"")</f>
        <v>N</v>
      </c>
      <c r="G44" s="3">
        <v>51</v>
      </c>
      <c r="H44" s="3" t="str">
        <f>IFERROR(MID(VLOOKUP($B44,Seqs!$A:$B,2,0),I44,1),"")</f>
        <v>R</v>
      </c>
      <c r="I44" s="23">
        <v>52</v>
      </c>
      <c r="J44" s="3" t="str">
        <f>IFERROR(MID(VLOOKUP($B44,Seqs!$A:$B,2,0),K44,1),"")</f>
        <v>Q</v>
      </c>
      <c r="K44" s="23">
        <v>55</v>
      </c>
      <c r="L44" s="3" t="str">
        <f>IFERROR(MID(VLOOKUP($B44,Seqs!$A:$B,2,0),M44,1),"")</f>
        <v>T</v>
      </c>
      <c r="M44" s="3">
        <v>56</v>
      </c>
      <c r="N44" s="3" t="str">
        <f>IFERROR(MID(VLOOKUP($B44,Seqs!$A:$B,2,0),O44,1),"")</f>
        <v>I</v>
      </c>
      <c r="O44" s="3">
        <v>86</v>
      </c>
      <c r="P44" s="3" t="str">
        <f>IFERROR(MID(VLOOKUP($B44,Seqs!$A:$B,2,0),Q44,1),"")</f>
        <v>Y</v>
      </c>
      <c r="Q44" s="3">
        <v>88</v>
      </c>
      <c r="R44" s="3" t="str">
        <f>IFERROR(MID(VLOOKUP($B44,Seqs!$A:$B,2,0),S44,1),"")</f>
        <v>L</v>
      </c>
      <c r="S44" s="3">
        <v>91</v>
      </c>
      <c r="T44" s="3" t="str">
        <f>IFERROR(MID(VLOOKUP($B44,Seqs!$A:$B,2,0),U44,1),"")</f>
        <v>G</v>
      </c>
      <c r="U44" s="3">
        <v>92</v>
      </c>
      <c r="V44" s="3" t="str">
        <f>IFERROR(MID(VLOOKUP($B44,Seqs!$A:$B,2,0),W44,1),"")</f>
        <v>K</v>
      </c>
      <c r="W44" s="3">
        <v>127</v>
      </c>
      <c r="X44" s="3" t="str">
        <f>IFERROR(MID(VLOOKUP($B44,Seqs!$A:$B,2,0),Y44,1),"")</f>
        <v>P</v>
      </c>
      <c r="Y44" s="3">
        <v>128</v>
      </c>
      <c r="Z44" s="3" t="str">
        <f>IFERROR(MID(VLOOKUP($B44,Seqs!$A:$B,2,0),AA44,1),"")</f>
        <v>R</v>
      </c>
      <c r="AA44" s="3">
        <v>135</v>
      </c>
      <c r="AB44" s="3" t="str">
        <f>IFERROR(MID(VLOOKUP($B44,Seqs!$A:$B,2,0),AC44,1),"")</f>
        <v>T</v>
      </c>
      <c r="AC44" s="9">
        <v>136</v>
      </c>
      <c r="AD44" s="3" t="str">
        <f>IFERROR(MID(VLOOKUP($B44,Seqs!$A:$B,2,0),AE44,1),"")</f>
        <v>G</v>
      </c>
      <c r="AE44" s="3">
        <v>167</v>
      </c>
      <c r="AF44" s="3" t="str">
        <f>IFERROR(MID(VLOOKUP($B44,Seqs!$A:$B,2,0),AG44,1),"")</f>
        <v>C</v>
      </c>
      <c r="AG44" s="3">
        <v>176</v>
      </c>
      <c r="AH44" s="3" t="str">
        <f>IFERROR(MID(VLOOKUP($B44,Seqs!$A:$B,2,0),AI44,1),"")</f>
        <v>I</v>
      </c>
      <c r="AI44" s="3">
        <v>178</v>
      </c>
      <c r="AJ44" s="3" t="str">
        <f>IFERROR(MID(VLOOKUP($B44,Seqs!$A:$B,2,0),AK44,1),"")</f>
        <v>N</v>
      </c>
      <c r="AK44" s="3">
        <v>183</v>
      </c>
      <c r="AL44" s="3" t="str">
        <f>IFERROR(MID(VLOOKUP($B44,Seqs!$A:$B,2,0),AM44,1),"")</f>
        <v>S</v>
      </c>
      <c r="AM44" s="3">
        <v>213</v>
      </c>
      <c r="AN44" s="3" t="str">
        <f>IFERROR(MID(VLOOKUP($B44,Seqs!$A:$B,2,0),AO44,1),"")</f>
        <v>K</v>
      </c>
      <c r="AO44" s="3">
        <v>384</v>
      </c>
      <c r="AP44" s="3" t="str">
        <f>IFERROR(MID(VLOOKUP($B44,Seqs!$A:$B,2,0),AQ44,1),"")</f>
        <v>C</v>
      </c>
      <c r="AQ44" s="3">
        <v>413</v>
      </c>
      <c r="AR44" s="3" t="str">
        <f>IFERROR(MID(VLOOKUP($B44,Seqs!$A:$B,2,0),AS44,1),"")</f>
        <v>P</v>
      </c>
      <c r="AS44" s="3">
        <v>418</v>
      </c>
      <c r="AT44" s="3" t="str">
        <f>IFERROR(MID(VLOOKUP($B44,Seqs!$A:$B,2,0),AU44,1),"")</f>
        <v>C</v>
      </c>
      <c r="AU44" s="3">
        <v>443</v>
      </c>
      <c r="AV44" s="3" t="str">
        <f>IFERROR(MID(VLOOKUP($B44,Seqs!$A:$B,2,0),AW44,1),"")</f>
        <v>N</v>
      </c>
      <c r="AW44" s="3">
        <v>444</v>
      </c>
      <c r="AX44" s="3" t="str">
        <f>IFERROR(MID(VLOOKUP($B44,Seqs!$A:$B,2,0),AY44,1),"")</f>
        <v>M</v>
      </c>
      <c r="AY44" s="3">
        <v>456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ref="BB44:BB75" si="335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si="140"/>
        <v>247</v>
      </c>
      <c r="BD44" s="16" t="s">
        <v>1383</v>
      </c>
      <c r="BE44" s="3" t="s">
        <v>1381</v>
      </c>
      <c r="BF44" s="124">
        <v>3</v>
      </c>
      <c r="BG44" s="50" t="s">
        <v>1384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141"/>
        <v>23</v>
      </c>
      <c r="BW44" s="73">
        <f t="shared" si="142"/>
        <v>52</v>
      </c>
      <c r="BX44" s="74">
        <f t="shared" si="143"/>
        <v>56</v>
      </c>
      <c r="BY44" s="73">
        <f t="shared" si="144"/>
        <v>88</v>
      </c>
      <c r="BZ44" s="74">
        <f t="shared" si="145"/>
        <v>92</v>
      </c>
      <c r="CA44" s="73">
        <f t="shared" si="146"/>
        <v>128</v>
      </c>
      <c r="CB44" s="74">
        <f t="shared" si="147"/>
        <v>136</v>
      </c>
      <c r="CC44" s="73">
        <f t="shared" si="148"/>
        <v>176</v>
      </c>
      <c r="CD44" s="74">
        <f t="shared" si="149"/>
        <v>183</v>
      </c>
      <c r="CE44" s="73">
        <f t="shared" si="150"/>
        <v>384</v>
      </c>
      <c r="CF44" s="74">
        <f t="shared" si="151"/>
        <v>418</v>
      </c>
      <c r="CG44" s="73">
        <f t="shared" si="152"/>
        <v>444</v>
      </c>
      <c r="CH44" s="72">
        <f t="shared" si="153"/>
        <v>51</v>
      </c>
      <c r="CI44" s="73">
        <f t="shared" si="154"/>
        <v>55</v>
      </c>
      <c r="CJ44" s="74">
        <f t="shared" si="155"/>
        <v>86</v>
      </c>
      <c r="CK44" s="74">
        <f t="shared" si="156"/>
        <v>91</v>
      </c>
      <c r="CL44" s="74">
        <f t="shared" si="157"/>
        <v>127</v>
      </c>
      <c r="CM44" s="74">
        <f t="shared" si="158"/>
        <v>135</v>
      </c>
      <c r="CN44" s="74">
        <f t="shared" si="159"/>
        <v>167</v>
      </c>
      <c r="CO44" s="74">
        <f t="shared" si="160"/>
        <v>178</v>
      </c>
      <c r="CP44" s="74">
        <f t="shared" si="161"/>
        <v>213</v>
      </c>
      <c r="CQ44" s="74">
        <f t="shared" si="162"/>
        <v>413</v>
      </c>
      <c r="CR44" s="74">
        <f t="shared" si="163"/>
        <v>443</v>
      </c>
      <c r="CS44" s="74">
        <f t="shared" si="164"/>
        <v>456</v>
      </c>
      <c r="CT44" s="23">
        <f t="shared" si="165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334"/>
        <v>acm2_human_4MQS</v>
      </c>
      <c r="B45" s="3" t="s">
        <v>147</v>
      </c>
      <c r="C45" s="3" t="s">
        <v>68</v>
      </c>
      <c r="D45" s="3" t="str">
        <f>IFERROR(MID(VLOOKUP($B45,Seqs!$A:$B,2,0),E45,1),"")</f>
        <v>K</v>
      </c>
      <c r="E45" s="3">
        <v>19</v>
      </c>
      <c r="F45" s="3" t="str">
        <f>IFERROR(MID(VLOOKUP($B45,Seqs!$A:$B,2,0),G45,1),"")</f>
        <v>N</v>
      </c>
      <c r="G45" s="3">
        <v>51</v>
      </c>
      <c r="H45" s="3" t="str">
        <f>IFERROR(MID(VLOOKUP($B45,Seqs!$A:$B,2,0),I45,1),"")</f>
        <v>R</v>
      </c>
      <c r="I45" s="23">
        <v>52</v>
      </c>
      <c r="J45" s="3" t="str">
        <f>IFERROR(MID(VLOOKUP($B45,Seqs!$A:$B,2,0),K45,1),"")</f>
        <v>Q</v>
      </c>
      <c r="K45" s="23">
        <v>55</v>
      </c>
      <c r="L45" s="3" t="str">
        <f>IFERROR(MID(VLOOKUP($B45,Seqs!$A:$B,2,0),M45,1),"")</f>
        <v>T</v>
      </c>
      <c r="M45" s="3">
        <v>56</v>
      </c>
      <c r="N45" s="3" t="str">
        <f>IFERROR(MID(VLOOKUP($B45,Seqs!$A:$B,2,0),O45,1),"")</f>
        <v>I</v>
      </c>
      <c r="O45" s="3">
        <v>86</v>
      </c>
      <c r="P45" s="3" t="str">
        <f>IFERROR(MID(VLOOKUP($B45,Seqs!$A:$B,2,0),Q45,1),"")</f>
        <v>Y</v>
      </c>
      <c r="Q45" s="3">
        <v>88</v>
      </c>
      <c r="R45" s="3" t="str">
        <f>IFERROR(MID(VLOOKUP($B45,Seqs!$A:$B,2,0),S45,1),"")</f>
        <v>L</v>
      </c>
      <c r="S45" s="3">
        <v>91</v>
      </c>
      <c r="T45" s="3" t="str">
        <f>IFERROR(MID(VLOOKUP($B45,Seqs!$A:$B,2,0),U45,1),"")</f>
        <v>G</v>
      </c>
      <c r="U45" s="3">
        <v>92</v>
      </c>
      <c r="V45" s="3" t="str">
        <f>IFERROR(MID(VLOOKUP($B45,Seqs!$A:$B,2,0),W45,1),"")</f>
        <v>K</v>
      </c>
      <c r="W45" s="3">
        <v>127</v>
      </c>
      <c r="X45" s="3" t="str">
        <f>IFERROR(MID(VLOOKUP($B45,Seqs!$A:$B,2,0),Y45,1),"")</f>
        <v>P</v>
      </c>
      <c r="Y45" s="3">
        <v>128</v>
      </c>
      <c r="Z45" s="3" t="str">
        <f>IFERROR(MID(VLOOKUP($B45,Seqs!$A:$B,2,0),AA45,1),"")</f>
        <v>R</v>
      </c>
      <c r="AA45" s="3">
        <v>135</v>
      </c>
      <c r="AB45" s="3" t="str">
        <f>IFERROR(MID(VLOOKUP($B45,Seqs!$A:$B,2,0),AC45,1),"")</f>
        <v>T</v>
      </c>
      <c r="AC45" s="9">
        <v>136</v>
      </c>
      <c r="AD45" s="3" t="str">
        <f>IFERROR(MID(VLOOKUP($B45,Seqs!$A:$B,2,0),AE45,1),"")</f>
        <v>G</v>
      </c>
      <c r="AE45" s="3">
        <v>167</v>
      </c>
      <c r="AF45" s="3" t="str">
        <f>IFERROR(MID(VLOOKUP($B45,Seqs!$A:$B,2,0),AG45,1),"")</f>
        <v>C</v>
      </c>
      <c r="AG45" s="3">
        <v>176</v>
      </c>
      <c r="AH45" s="3" t="str">
        <f>IFERROR(MID(VLOOKUP($B45,Seqs!$A:$B,2,0),AI45,1),"")</f>
        <v>I</v>
      </c>
      <c r="AI45" s="3">
        <v>178</v>
      </c>
      <c r="AJ45" s="3" t="str">
        <f>IFERROR(MID(VLOOKUP($B45,Seqs!$A:$B,2,0),AK45,1),"")</f>
        <v>N</v>
      </c>
      <c r="AK45" s="3">
        <v>183</v>
      </c>
      <c r="AL45" s="3" t="str">
        <f>IFERROR(MID(VLOOKUP($B45,Seqs!$A:$B,2,0),AM45,1),"")</f>
        <v>K</v>
      </c>
      <c r="AM45" s="3">
        <v>214</v>
      </c>
      <c r="AN45" s="3" t="str">
        <f>IFERROR(MID(VLOOKUP($B45,Seqs!$A:$B,2,0),AO45,1),"")</f>
        <v>S</v>
      </c>
      <c r="AO45" s="3">
        <v>380</v>
      </c>
      <c r="AP45" s="3" t="str">
        <f>IFERROR(MID(VLOOKUP($B45,Seqs!$A:$B,2,0),AQ45,1),"")</f>
        <v>C</v>
      </c>
      <c r="AQ45" s="3">
        <v>413</v>
      </c>
      <c r="AR45" s="3" t="str">
        <f>IFERROR(MID(VLOOKUP($B45,Seqs!$A:$B,2,0),AS45,1),"")</f>
        <v>P</v>
      </c>
      <c r="AS45" s="3">
        <v>418</v>
      </c>
      <c r="AT45" s="3" t="str">
        <f>IFERROR(MID(VLOOKUP($B45,Seqs!$A:$B,2,0),AU45,1),"")</f>
        <v>C</v>
      </c>
      <c r="AU45" s="3">
        <v>443</v>
      </c>
      <c r="AV45" s="3" t="str">
        <f>IFERROR(MID(VLOOKUP($B45,Seqs!$A:$B,2,0),AW45,1),"")</f>
        <v>N</v>
      </c>
      <c r="AW45" s="3">
        <v>444</v>
      </c>
      <c r="AX45" s="3" t="str">
        <f>IFERROR(MID(VLOOKUP($B45,Seqs!$A:$B,2,0),AY45,1),"")</f>
        <v>M</v>
      </c>
      <c r="AY45" s="3">
        <v>456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335"/>
        <v>1</v>
      </c>
      <c r="BC45" s="23">
        <f t="shared" si="140"/>
        <v>256</v>
      </c>
      <c r="BD45" s="4" t="s">
        <v>23</v>
      </c>
      <c r="BE45" s="3" t="s">
        <v>1297</v>
      </c>
      <c r="BF45" s="124">
        <v>3.5</v>
      </c>
      <c r="BG45" s="50" t="s">
        <v>1384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141"/>
        <v>19</v>
      </c>
      <c r="BW45" s="73">
        <f t="shared" si="142"/>
        <v>52</v>
      </c>
      <c r="BX45" s="74">
        <f t="shared" si="143"/>
        <v>56</v>
      </c>
      <c r="BY45" s="73">
        <f t="shared" si="144"/>
        <v>88</v>
      </c>
      <c r="BZ45" s="74">
        <f t="shared" si="145"/>
        <v>92</v>
      </c>
      <c r="CA45" s="73">
        <f t="shared" si="146"/>
        <v>128</v>
      </c>
      <c r="CB45" s="74">
        <f t="shared" si="147"/>
        <v>136</v>
      </c>
      <c r="CC45" s="73">
        <f t="shared" si="148"/>
        <v>176</v>
      </c>
      <c r="CD45" s="74">
        <f t="shared" si="149"/>
        <v>183</v>
      </c>
      <c r="CE45" s="73">
        <f t="shared" si="150"/>
        <v>380</v>
      </c>
      <c r="CF45" s="74">
        <f t="shared" si="151"/>
        <v>418</v>
      </c>
      <c r="CG45" s="73">
        <f t="shared" si="152"/>
        <v>444</v>
      </c>
      <c r="CH45" s="72">
        <f t="shared" si="153"/>
        <v>51</v>
      </c>
      <c r="CI45" s="73">
        <f t="shared" si="154"/>
        <v>55</v>
      </c>
      <c r="CJ45" s="74">
        <f t="shared" si="155"/>
        <v>86</v>
      </c>
      <c r="CK45" s="74">
        <f t="shared" si="156"/>
        <v>91</v>
      </c>
      <c r="CL45" s="74">
        <f t="shared" si="157"/>
        <v>127</v>
      </c>
      <c r="CM45" s="74">
        <f t="shared" si="158"/>
        <v>135</v>
      </c>
      <c r="CN45" s="74">
        <f t="shared" si="159"/>
        <v>167</v>
      </c>
      <c r="CO45" s="74">
        <f t="shared" si="160"/>
        <v>178</v>
      </c>
      <c r="CP45" s="74">
        <f t="shared" si="161"/>
        <v>214</v>
      </c>
      <c r="CQ45" s="74">
        <f t="shared" si="162"/>
        <v>413</v>
      </c>
      <c r="CR45" s="74">
        <f t="shared" si="163"/>
        <v>443</v>
      </c>
      <c r="CS45" s="74">
        <f t="shared" si="164"/>
        <v>456</v>
      </c>
      <c r="CT45" s="23">
        <f t="shared" si="165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334"/>
        <v>acm2_human_4MQT</v>
      </c>
      <c r="B46" s="3" t="s">
        <v>147</v>
      </c>
      <c r="C46" s="3" t="s">
        <v>1047</v>
      </c>
      <c r="D46" s="3" t="str">
        <f>IFERROR(MID(VLOOKUP($B46,Seqs!$A:$B,2,0),E46,1),"")</f>
        <v>K</v>
      </c>
      <c r="E46" s="3">
        <v>19</v>
      </c>
      <c r="F46" s="3" t="str">
        <f>IFERROR(MID(VLOOKUP($B46,Seqs!$A:$B,2,0),G46,1),"")</f>
        <v>N</v>
      </c>
      <c r="G46" s="3">
        <v>51</v>
      </c>
      <c r="H46" s="3" t="str">
        <f>IFERROR(MID(VLOOKUP($B46,Seqs!$A:$B,2,0),I46,1),"")</f>
        <v>R</v>
      </c>
      <c r="I46" s="23">
        <v>52</v>
      </c>
      <c r="J46" s="3" t="str">
        <f>IFERROR(MID(VLOOKUP($B46,Seqs!$A:$B,2,0),K46,1),"")</f>
        <v>Q</v>
      </c>
      <c r="K46" s="23">
        <v>55</v>
      </c>
      <c r="L46" s="3" t="str">
        <f>IFERROR(MID(VLOOKUP($B46,Seqs!$A:$B,2,0),M46,1),"")</f>
        <v>T</v>
      </c>
      <c r="M46" s="3">
        <v>56</v>
      </c>
      <c r="N46" s="3" t="str">
        <f>IFERROR(MID(VLOOKUP($B46,Seqs!$A:$B,2,0),O46,1),"")</f>
        <v>I</v>
      </c>
      <c r="O46" s="3">
        <v>86</v>
      </c>
      <c r="P46" s="3" t="str">
        <f>IFERROR(MID(VLOOKUP($B46,Seqs!$A:$B,2,0),Q46,1),"")</f>
        <v>Y</v>
      </c>
      <c r="Q46" s="3">
        <v>88</v>
      </c>
      <c r="R46" s="3" t="str">
        <f>IFERROR(MID(VLOOKUP($B46,Seqs!$A:$B,2,0),S46,1),"")</f>
        <v>L</v>
      </c>
      <c r="S46" s="3">
        <v>91</v>
      </c>
      <c r="T46" s="3" t="str">
        <f>IFERROR(MID(VLOOKUP($B46,Seqs!$A:$B,2,0),U46,1),"")</f>
        <v>G</v>
      </c>
      <c r="U46" s="3">
        <v>92</v>
      </c>
      <c r="V46" s="3" t="str">
        <f>IFERROR(MID(VLOOKUP($B46,Seqs!$A:$B,2,0),W46,1),"")</f>
        <v>K</v>
      </c>
      <c r="W46" s="3">
        <v>127</v>
      </c>
      <c r="X46" s="3" t="str">
        <f>IFERROR(MID(VLOOKUP($B46,Seqs!$A:$B,2,0),Y46,1),"")</f>
        <v>P</v>
      </c>
      <c r="Y46" s="3">
        <v>128</v>
      </c>
      <c r="Z46" s="3" t="str">
        <f>IFERROR(MID(VLOOKUP($B46,Seqs!$A:$B,2,0),AA46,1),"")</f>
        <v>R</v>
      </c>
      <c r="AA46" s="3">
        <v>135</v>
      </c>
      <c r="AB46" s="3" t="str">
        <f>IFERROR(MID(VLOOKUP($B46,Seqs!$A:$B,2,0),AC46,1),"")</f>
        <v>T</v>
      </c>
      <c r="AC46" s="9">
        <v>136</v>
      </c>
      <c r="AD46" s="3" t="str">
        <f>IFERROR(MID(VLOOKUP($B46,Seqs!$A:$B,2,0),AE46,1),"")</f>
        <v>G</v>
      </c>
      <c r="AE46" s="3">
        <v>167</v>
      </c>
      <c r="AF46" s="3" t="str">
        <f>IFERROR(MID(VLOOKUP($B46,Seqs!$A:$B,2,0),AG46,1),"")</f>
        <v>C</v>
      </c>
      <c r="AG46" s="3">
        <v>176</v>
      </c>
      <c r="AH46" s="3" t="str">
        <f>IFERROR(MID(VLOOKUP($B46,Seqs!$A:$B,2,0),AI46,1),"")</f>
        <v>I</v>
      </c>
      <c r="AI46" s="3">
        <v>178</v>
      </c>
      <c r="AJ46" s="3" t="str">
        <f>IFERROR(MID(VLOOKUP($B46,Seqs!$A:$B,2,0),AK46,1),"")</f>
        <v>N</v>
      </c>
      <c r="AK46" s="3">
        <v>183</v>
      </c>
      <c r="AL46" s="3" t="str">
        <f>IFERROR(MID(VLOOKUP($B46,Seqs!$A:$B,2,0),AM46,1),"")</f>
        <v>S</v>
      </c>
      <c r="AM46" s="3">
        <v>215</v>
      </c>
      <c r="AN46" s="3" t="str">
        <f>IFERROR(MID(VLOOKUP($B46,Seqs!$A:$B,2,0),AO46,1),"")</f>
        <v>P</v>
      </c>
      <c r="AO46" s="3">
        <v>379</v>
      </c>
      <c r="AP46" s="3" t="str">
        <f>IFERROR(MID(VLOOKUP($B46,Seqs!$A:$B,2,0),AQ46,1),"")</f>
        <v>C</v>
      </c>
      <c r="AQ46" s="3">
        <v>413</v>
      </c>
      <c r="AR46" s="3" t="str">
        <f>IFERROR(MID(VLOOKUP($B46,Seqs!$A:$B,2,0),AS46,1),"")</f>
        <v>P</v>
      </c>
      <c r="AS46" s="3">
        <v>418</v>
      </c>
      <c r="AT46" s="3" t="str">
        <f>IFERROR(MID(VLOOKUP($B46,Seqs!$A:$B,2,0),AU46,1),"")</f>
        <v>C</v>
      </c>
      <c r="AU46" s="3">
        <v>443</v>
      </c>
      <c r="AV46" s="3" t="str">
        <f>IFERROR(MID(VLOOKUP($B46,Seqs!$A:$B,2,0),AW46,1),"")</f>
        <v>N</v>
      </c>
      <c r="AW46" s="3">
        <v>444</v>
      </c>
      <c r="AX46" s="3" t="str">
        <f>IFERROR(MID(VLOOKUP($B46,Seqs!$A:$B,2,0),AY46,1),"")</f>
        <v>C</v>
      </c>
      <c r="AY46" s="3">
        <v>457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335"/>
        <v>1</v>
      </c>
      <c r="BC46" s="23">
        <f t="shared" si="140"/>
        <v>259</v>
      </c>
      <c r="BD46" s="4" t="s">
        <v>1382</v>
      </c>
      <c r="BE46" s="3" t="s">
        <v>1297</v>
      </c>
      <c r="BF46" s="124">
        <v>3.7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141"/>
        <v>19</v>
      </c>
      <c r="BW46" s="73">
        <f t="shared" si="142"/>
        <v>52</v>
      </c>
      <c r="BX46" s="74">
        <f t="shared" si="143"/>
        <v>56</v>
      </c>
      <c r="BY46" s="73">
        <f t="shared" si="144"/>
        <v>88</v>
      </c>
      <c r="BZ46" s="74">
        <f t="shared" si="145"/>
        <v>92</v>
      </c>
      <c r="CA46" s="73">
        <f t="shared" si="146"/>
        <v>128</v>
      </c>
      <c r="CB46" s="74">
        <f t="shared" si="147"/>
        <v>136</v>
      </c>
      <c r="CC46" s="73">
        <f t="shared" si="148"/>
        <v>176</v>
      </c>
      <c r="CD46" s="74">
        <f t="shared" si="149"/>
        <v>183</v>
      </c>
      <c r="CE46" s="73">
        <f t="shared" si="150"/>
        <v>379</v>
      </c>
      <c r="CF46" s="74">
        <f t="shared" si="151"/>
        <v>418</v>
      </c>
      <c r="CG46" s="73">
        <f t="shared" si="152"/>
        <v>444</v>
      </c>
      <c r="CH46" s="72">
        <f t="shared" si="153"/>
        <v>51</v>
      </c>
      <c r="CI46" s="73">
        <f t="shared" si="154"/>
        <v>55</v>
      </c>
      <c r="CJ46" s="74">
        <f t="shared" si="155"/>
        <v>86</v>
      </c>
      <c r="CK46" s="74">
        <f t="shared" si="156"/>
        <v>91</v>
      </c>
      <c r="CL46" s="74">
        <f t="shared" si="157"/>
        <v>127</v>
      </c>
      <c r="CM46" s="74">
        <f t="shared" si="158"/>
        <v>135</v>
      </c>
      <c r="CN46" s="74">
        <f t="shared" si="159"/>
        <v>167</v>
      </c>
      <c r="CO46" s="74">
        <f t="shared" si="160"/>
        <v>178</v>
      </c>
      <c r="CP46" s="74">
        <f t="shared" si="161"/>
        <v>215</v>
      </c>
      <c r="CQ46" s="74">
        <f t="shared" si="162"/>
        <v>413</v>
      </c>
      <c r="CR46" s="74">
        <f t="shared" si="163"/>
        <v>443</v>
      </c>
      <c r="CS46" s="74">
        <f t="shared" si="164"/>
        <v>457</v>
      </c>
      <c r="CT46" s="23">
        <f t="shared" si="165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334"/>
        <v>acm3_rat__wt</v>
      </c>
      <c r="B47" s="3" t="s">
        <v>910</v>
      </c>
      <c r="C47" s="3" t="s">
        <v>100</v>
      </c>
      <c r="D47" s="3" t="str">
        <f>IFERROR(MID(VLOOKUP($B47,Seqs!$A:$B,2,0),E47,1),"")</f>
        <v>I</v>
      </c>
      <c r="E47" s="3">
        <v>64</v>
      </c>
      <c r="F47" s="3" t="str">
        <f>IFERROR(MID(VLOOKUP($B47,Seqs!$A:$B,2,0),G47,1),"")</f>
        <v>N</v>
      </c>
      <c r="G47" s="3">
        <v>95</v>
      </c>
      <c r="H47" s="3" t="str">
        <f>IFERROR(MID(VLOOKUP($B47,Seqs!$A:$B,2,0),I47,1),"")</f>
        <v>K</v>
      </c>
      <c r="I47" s="23">
        <v>96</v>
      </c>
      <c r="J47" s="3" t="str">
        <f>IFERROR(MID(VLOOKUP($B47,Seqs!$A:$B,2,0),K47,1),"")</f>
        <v>K</v>
      </c>
      <c r="K47" s="23">
        <v>99</v>
      </c>
      <c r="L47" s="3" t="str">
        <f>IFERROR(MID(VLOOKUP($B47,Seqs!$A:$B,2,0),M47,1),"")</f>
        <v>T</v>
      </c>
      <c r="M47" s="3">
        <v>100</v>
      </c>
      <c r="N47" s="3" t="str">
        <f>IFERROR(MID(VLOOKUP($B47,Seqs!$A:$B,2,0),O47,1),"")</f>
        <v>M</v>
      </c>
      <c r="O47" s="3">
        <v>130</v>
      </c>
      <c r="P47" s="3" t="str">
        <f>IFERROR(MID(VLOOKUP($B47,Seqs!$A:$B,2,0),Q47,1),"")</f>
        <v>R</v>
      </c>
      <c r="Q47" s="3">
        <v>132</v>
      </c>
      <c r="R47" s="3" t="str">
        <f>IFERROR(MID(VLOOKUP($B47,Seqs!$A:$B,2,0),S47,1),"")</f>
        <v>L</v>
      </c>
      <c r="S47" s="3">
        <v>135</v>
      </c>
      <c r="T47" s="3" t="str">
        <f>IFERROR(MID(VLOOKUP($B47,Seqs!$A:$B,2,0),U47,1),"")</f>
        <v>G</v>
      </c>
      <c r="U47" s="3">
        <v>136</v>
      </c>
      <c r="V47" s="3" t="str">
        <f>IFERROR(MID(VLOOKUP($B47,Seqs!$A:$B,2,0),W47,1),"")</f>
        <v>R</v>
      </c>
      <c r="W47" s="3">
        <v>171</v>
      </c>
      <c r="X47" s="3" t="str">
        <f>IFERROR(MID(VLOOKUP($B47,Seqs!$A:$B,2,0),Y47,1),"")</f>
        <v>P</v>
      </c>
      <c r="Y47" s="3">
        <v>172</v>
      </c>
      <c r="Z47" s="3" t="str">
        <f>IFERROR(MID(VLOOKUP($B47,Seqs!$A:$B,2,0),AA47,1),"")</f>
        <v>R</v>
      </c>
      <c r="AA47" s="3">
        <v>179</v>
      </c>
      <c r="AB47" s="3" t="str">
        <f>IFERROR(MID(VLOOKUP($B47,Seqs!$A:$B,2,0),AC47,1),"")</f>
        <v>T</v>
      </c>
      <c r="AC47" s="9">
        <v>180</v>
      </c>
      <c r="AD47" s="3" t="str">
        <f>IFERROR(MID(VLOOKUP($B47,Seqs!$A:$B,2,0),AE47,1),"")</f>
        <v>G</v>
      </c>
      <c r="AE47" s="3">
        <v>211</v>
      </c>
      <c r="AF47" s="3" t="str">
        <f>IFERROR(MID(VLOOKUP($B47,Seqs!$A:$B,2,0),AG47,1),"")</f>
        <v>C</v>
      </c>
      <c r="AG47" s="3">
        <v>220</v>
      </c>
      <c r="AH47" s="3" t="str">
        <f>IFERROR(MID(VLOOKUP($B47,Seqs!$A:$B,2,0),AI47,1),"")</f>
        <v>I</v>
      </c>
      <c r="AI47" s="3">
        <v>222</v>
      </c>
      <c r="AJ47" s="3" t="str">
        <f>IFERROR(MID(VLOOKUP($B47,Seqs!$A:$B,2,0),AK47,1),"")</f>
        <v>E</v>
      </c>
      <c r="AK47" s="3">
        <v>227</v>
      </c>
      <c r="AL47" s="3" t="str">
        <f>IFERROR(MID(VLOOKUP($B47,Seqs!$A:$B,2,0),AM47,1),"")</f>
        <v>L</v>
      </c>
      <c r="AM47" s="3">
        <v>267</v>
      </c>
      <c r="AN47" s="3" t="str">
        <f>IFERROR(MID(VLOOKUP($B47,Seqs!$A:$B,2,0),AO47,1),"")</f>
        <v>R</v>
      </c>
      <c r="AO47" s="3">
        <v>479</v>
      </c>
      <c r="AP47" s="3" t="str">
        <f>IFERROR(MID(VLOOKUP($B47,Seqs!$A:$B,2,0),AQ47,1),"")</f>
        <v>C</v>
      </c>
      <c r="AQ47" s="3">
        <v>516</v>
      </c>
      <c r="AR47" s="3" t="str">
        <f>IFERROR(MID(VLOOKUP($B47,Seqs!$A:$B,2,0),AS47,1),"")</f>
        <v>P</v>
      </c>
      <c r="AS47" s="3">
        <v>521</v>
      </c>
      <c r="AT47" s="3" t="str">
        <f>IFERROR(MID(VLOOKUP($B47,Seqs!$A:$B,2,0),AU47,1),"")</f>
        <v>C</v>
      </c>
      <c r="AU47" s="3">
        <v>546</v>
      </c>
      <c r="AV47" s="3" t="str">
        <f>IFERROR(MID(VLOOKUP($B47,Seqs!$A:$B,2,0),AW47,1),"")</f>
        <v>N</v>
      </c>
      <c r="AW47" s="3">
        <v>547</v>
      </c>
      <c r="AX47" s="3" t="str">
        <f>IFERROR(MID(VLOOKUP($B47,Seqs!$A:$B,2,0),AY47,1),"")</f>
        <v>L</v>
      </c>
      <c r="AY47" s="3">
        <v>558</v>
      </c>
      <c r="AZ47" s="79" t="str">
        <f>VLOOKUP(B47,Classification!A:D,2,0)</f>
        <v>A</v>
      </c>
      <c r="BA47" s="97" t="str">
        <f>VLOOKUP(B47,Classification!A:D,4,0)</f>
        <v>Acetylcholine(muscarinic)</v>
      </c>
      <c r="BB47" s="27" t="b">
        <f t="shared" si="335"/>
        <v>1</v>
      </c>
      <c r="BC47" s="23">
        <f t="shared" si="140"/>
        <v>267</v>
      </c>
      <c r="BD47" s="57" t="s">
        <v>1379</v>
      </c>
      <c r="BE47" s="3" t="s">
        <v>23</v>
      </c>
      <c r="BF47" s="124" t="s">
        <v>23</v>
      </c>
      <c r="BG47" s="50" t="s">
        <v>1379</v>
      </c>
      <c r="BH47" s="50" t="s">
        <v>1384</v>
      </c>
      <c r="BI47" s="1"/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141"/>
        <v>64</v>
      </c>
      <c r="BW47" s="73">
        <f t="shared" si="142"/>
        <v>96</v>
      </c>
      <c r="BX47" s="74">
        <f t="shared" si="143"/>
        <v>100</v>
      </c>
      <c r="BY47" s="73">
        <f t="shared" si="144"/>
        <v>132</v>
      </c>
      <c r="BZ47" s="74">
        <f t="shared" si="145"/>
        <v>136</v>
      </c>
      <c r="CA47" s="73">
        <f t="shared" si="146"/>
        <v>172</v>
      </c>
      <c r="CB47" s="74">
        <f t="shared" si="147"/>
        <v>180</v>
      </c>
      <c r="CC47" s="73">
        <f t="shared" si="148"/>
        <v>220</v>
      </c>
      <c r="CD47" s="74">
        <f t="shared" si="149"/>
        <v>227</v>
      </c>
      <c r="CE47" s="73">
        <f t="shared" si="150"/>
        <v>479</v>
      </c>
      <c r="CF47" s="74">
        <f t="shared" si="151"/>
        <v>521</v>
      </c>
      <c r="CG47" s="73">
        <f t="shared" si="152"/>
        <v>547</v>
      </c>
      <c r="CH47" s="72">
        <f t="shared" si="153"/>
        <v>95</v>
      </c>
      <c r="CI47" s="73">
        <f t="shared" si="154"/>
        <v>99</v>
      </c>
      <c r="CJ47" s="74">
        <f t="shared" si="155"/>
        <v>130</v>
      </c>
      <c r="CK47" s="74">
        <f t="shared" si="156"/>
        <v>135</v>
      </c>
      <c r="CL47" s="74">
        <f t="shared" si="157"/>
        <v>171</v>
      </c>
      <c r="CM47" s="74">
        <f t="shared" si="158"/>
        <v>179</v>
      </c>
      <c r="CN47" s="74">
        <f t="shared" si="159"/>
        <v>211</v>
      </c>
      <c r="CO47" s="74">
        <f t="shared" si="160"/>
        <v>222</v>
      </c>
      <c r="CP47" s="74">
        <f t="shared" si="161"/>
        <v>267</v>
      </c>
      <c r="CQ47" s="74">
        <f t="shared" si="162"/>
        <v>516</v>
      </c>
      <c r="CR47" s="74">
        <f t="shared" si="163"/>
        <v>546</v>
      </c>
      <c r="CS47" s="74">
        <f t="shared" si="164"/>
        <v>558</v>
      </c>
      <c r="CT47" s="23">
        <f t="shared" si="165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334"/>
        <v>acm3_rat_4U15</v>
      </c>
      <c r="B48" s="3" t="s">
        <v>910</v>
      </c>
      <c r="C48" s="3" t="s">
        <v>71</v>
      </c>
      <c r="D48" s="3" t="str">
        <f>IFERROR(MID(VLOOKUP($B48,Seqs!$A:$B,2,0),E48,1),"")</f>
        <v>I</v>
      </c>
      <c r="E48" s="3">
        <v>64</v>
      </c>
      <c r="F48" s="3" t="str">
        <f>IFERROR(MID(VLOOKUP($B48,Seqs!$A:$B,2,0),G48,1),"")</f>
        <v>N</v>
      </c>
      <c r="G48" s="3">
        <v>95</v>
      </c>
      <c r="H48" s="3" t="str">
        <f>IFERROR(MID(VLOOKUP($B48,Seqs!$A:$B,2,0),I48,1),"")</f>
        <v>K</v>
      </c>
      <c r="I48" s="23">
        <v>96</v>
      </c>
      <c r="J48" s="3" t="str">
        <f>IFERROR(MID(VLOOKUP($B48,Seqs!$A:$B,2,0),K48,1),"")</f>
        <v>K</v>
      </c>
      <c r="K48" s="23">
        <v>99</v>
      </c>
      <c r="L48" s="3" t="str">
        <f>IFERROR(MID(VLOOKUP($B48,Seqs!$A:$B,2,0),M48,1),"")</f>
        <v>T</v>
      </c>
      <c r="M48" s="3">
        <v>100</v>
      </c>
      <c r="N48" s="3" t="str">
        <f>IFERROR(MID(VLOOKUP($B48,Seqs!$A:$B,2,0),O48,1),"")</f>
        <v>M</v>
      </c>
      <c r="O48" s="3">
        <v>130</v>
      </c>
      <c r="P48" s="3" t="str">
        <f>IFERROR(MID(VLOOKUP($B48,Seqs!$A:$B,2,0),Q48,1),"")</f>
        <v>R</v>
      </c>
      <c r="Q48" s="3">
        <v>132</v>
      </c>
      <c r="R48" s="3" t="str">
        <f>IFERROR(MID(VLOOKUP($B48,Seqs!$A:$B,2,0),S48,1),"")</f>
        <v>L</v>
      </c>
      <c r="S48" s="3">
        <v>135</v>
      </c>
      <c r="T48" s="3" t="str">
        <f>IFERROR(MID(VLOOKUP($B48,Seqs!$A:$B,2,0),U48,1),"")</f>
        <v>G</v>
      </c>
      <c r="U48" s="3">
        <v>136</v>
      </c>
      <c r="V48" s="3" t="str">
        <f>IFERROR(MID(VLOOKUP($B48,Seqs!$A:$B,2,0),W48,1),"")</f>
        <v>R</v>
      </c>
      <c r="W48" s="3">
        <v>171</v>
      </c>
      <c r="X48" s="3" t="str">
        <f>IFERROR(MID(VLOOKUP($B48,Seqs!$A:$B,2,0),Y48,1),"")</f>
        <v>P</v>
      </c>
      <c r="Y48" s="3">
        <v>172</v>
      </c>
      <c r="Z48" s="3" t="str">
        <f>IFERROR(MID(VLOOKUP($B48,Seqs!$A:$B,2,0),AA48,1),"")</f>
        <v>R</v>
      </c>
      <c r="AA48" s="3">
        <v>179</v>
      </c>
      <c r="AB48" s="3" t="str">
        <f>IFERROR(MID(VLOOKUP($B48,Seqs!$A:$B,2,0),AC48,1),"")</f>
        <v>T</v>
      </c>
      <c r="AC48" s="9">
        <v>180</v>
      </c>
      <c r="AD48" s="3" t="str">
        <f>IFERROR(MID(VLOOKUP($B48,Seqs!$A:$B,2,0),AE48,1),"")</f>
        <v>G</v>
      </c>
      <c r="AE48" s="3">
        <v>211</v>
      </c>
      <c r="AF48" s="3" t="str">
        <f>IFERROR(MID(VLOOKUP($B48,Seqs!$A:$B,2,0),AG48,1),"")</f>
        <v>C</v>
      </c>
      <c r="AG48" s="3">
        <v>220</v>
      </c>
      <c r="AH48" s="3" t="str">
        <f>IFERROR(MID(VLOOKUP($B48,Seqs!$A:$B,2,0),AI48,1),"")</f>
        <v>I</v>
      </c>
      <c r="AI48" s="3">
        <v>222</v>
      </c>
      <c r="AJ48" s="3" t="str">
        <f>IFERROR(MID(VLOOKUP($B48,Seqs!$A:$B,2,0),AK48,1),"")</f>
        <v>E</v>
      </c>
      <c r="AK48" s="3">
        <v>227</v>
      </c>
      <c r="AL48" s="3" t="str">
        <f>IFERROR(MID(VLOOKUP($B48,Seqs!$A:$B,2,0),AM48,1),"")</f>
        <v>K</v>
      </c>
      <c r="AM48" s="3">
        <v>259</v>
      </c>
      <c r="AN48" s="3" t="str">
        <f>IFERROR(MID(VLOOKUP($B48,Seqs!$A:$B,2,0),AO48,1),"")</f>
        <v>I</v>
      </c>
      <c r="AO48" s="3">
        <v>483</v>
      </c>
      <c r="AP48" s="3" t="str">
        <f>IFERROR(MID(VLOOKUP($B48,Seqs!$A:$B,2,0),AQ48,1),"")</f>
        <v>C</v>
      </c>
      <c r="AQ48" s="3">
        <v>516</v>
      </c>
      <c r="AR48" s="3" t="str">
        <f>IFERROR(MID(VLOOKUP($B48,Seqs!$A:$B,2,0),AS48,1),"")</f>
        <v>P</v>
      </c>
      <c r="AS48" s="3">
        <v>521</v>
      </c>
      <c r="AT48" s="3" t="str">
        <f>IFERROR(MID(VLOOKUP($B48,Seqs!$A:$B,2,0),AU48,1),"")</f>
        <v>C</v>
      </c>
      <c r="AU48" s="3">
        <v>546</v>
      </c>
      <c r="AV48" s="3" t="str">
        <f>IFERROR(MID(VLOOKUP($B48,Seqs!$A:$B,2,0),AW48,1),"")</f>
        <v>N</v>
      </c>
      <c r="AW48" s="3">
        <v>547</v>
      </c>
      <c r="AX48" s="3" t="str">
        <f>IFERROR(MID(VLOOKUP($B48,Seqs!$A:$B,2,0),AY48,1),"")</f>
        <v>L</v>
      </c>
      <c r="AY48" s="3">
        <v>558</v>
      </c>
      <c r="AZ48" s="79" t="str">
        <f>VLOOKUP(B48,Classification!A:D,2,0)</f>
        <v>A</v>
      </c>
      <c r="BA48" s="97" t="str">
        <f>VLOOKUP(B48,Classification!A:D,4,0)</f>
        <v>Acetylcholine(muscarinic)</v>
      </c>
      <c r="BB48" s="27" t="b">
        <f t="shared" si="335"/>
        <v>1</v>
      </c>
      <c r="BC48" s="23">
        <f t="shared" si="140"/>
        <v>255</v>
      </c>
      <c r="BD48" s="16" t="s">
        <v>1383</v>
      </c>
      <c r="BE48" s="3" t="s">
        <v>1381</v>
      </c>
      <c r="BF48" s="124">
        <v>2.8</v>
      </c>
      <c r="BG48" s="50" t="s">
        <v>1384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141"/>
        <v>64</v>
      </c>
      <c r="BW48" s="73">
        <f t="shared" si="142"/>
        <v>96</v>
      </c>
      <c r="BX48" s="74">
        <f t="shared" si="143"/>
        <v>100</v>
      </c>
      <c r="BY48" s="73">
        <f t="shared" si="144"/>
        <v>132</v>
      </c>
      <c r="BZ48" s="74">
        <f t="shared" si="145"/>
        <v>136</v>
      </c>
      <c r="CA48" s="73">
        <f t="shared" si="146"/>
        <v>172</v>
      </c>
      <c r="CB48" s="74">
        <f t="shared" si="147"/>
        <v>180</v>
      </c>
      <c r="CC48" s="73">
        <f t="shared" si="148"/>
        <v>220</v>
      </c>
      <c r="CD48" s="74">
        <f t="shared" si="149"/>
        <v>227</v>
      </c>
      <c r="CE48" s="73">
        <f t="shared" si="150"/>
        <v>483</v>
      </c>
      <c r="CF48" s="74">
        <f t="shared" si="151"/>
        <v>521</v>
      </c>
      <c r="CG48" s="73">
        <f t="shared" si="152"/>
        <v>547</v>
      </c>
      <c r="CH48" s="72">
        <f t="shared" si="153"/>
        <v>95</v>
      </c>
      <c r="CI48" s="73">
        <f t="shared" si="154"/>
        <v>99</v>
      </c>
      <c r="CJ48" s="74">
        <f t="shared" si="155"/>
        <v>130</v>
      </c>
      <c r="CK48" s="74">
        <f t="shared" si="156"/>
        <v>135</v>
      </c>
      <c r="CL48" s="74">
        <f t="shared" si="157"/>
        <v>171</v>
      </c>
      <c r="CM48" s="74">
        <f t="shared" si="158"/>
        <v>179</v>
      </c>
      <c r="CN48" s="74">
        <f t="shared" si="159"/>
        <v>211</v>
      </c>
      <c r="CO48" s="74">
        <f t="shared" si="160"/>
        <v>222</v>
      </c>
      <c r="CP48" s="74">
        <f t="shared" si="161"/>
        <v>259</v>
      </c>
      <c r="CQ48" s="74">
        <f t="shared" si="162"/>
        <v>516</v>
      </c>
      <c r="CR48" s="74">
        <f t="shared" si="163"/>
        <v>546</v>
      </c>
      <c r="CS48" s="74">
        <f t="shared" si="164"/>
        <v>558</v>
      </c>
      <c r="CT48" s="23">
        <f t="shared" si="165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334"/>
        <v>acm3_rat_4U16</v>
      </c>
      <c r="B49" s="3" t="s">
        <v>910</v>
      </c>
      <c r="C49" s="3" t="s">
        <v>1054</v>
      </c>
      <c r="D49" s="3" t="str">
        <f>IFERROR(MID(VLOOKUP($B49,Seqs!$A:$B,2,0),E49,1),"")</f>
        <v>I</v>
      </c>
      <c r="E49" s="3">
        <v>64</v>
      </c>
      <c r="F49" s="3" t="str">
        <f>IFERROR(MID(VLOOKUP($B49,Seqs!$A:$B,2,0),G49,1),"")</f>
        <v>N</v>
      </c>
      <c r="G49" s="3">
        <v>95</v>
      </c>
      <c r="H49" s="3" t="str">
        <f>IFERROR(MID(VLOOKUP($B49,Seqs!$A:$B,2,0),I49,1),"")</f>
        <v>K</v>
      </c>
      <c r="I49" s="23">
        <v>96</v>
      </c>
      <c r="J49" s="3" t="str">
        <f>IFERROR(MID(VLOOKUP($B49,Seqs!$A:$B,2,0),K49,1),"")</f>
        <v>K</v>
      </c>
      <c r="K49" s="23">
        <v>99</v>
      </c>
      <c r="L49" s="3" t="str">
        <f>IFERROR(MID(VLOOKUP($B49,Seqs!$A:$B,2,0),M49,1),"")</f>
        <v>T</v>
      </c>
      <c r="M49" s="3">
        <v>100</v>
      </c>
      <c r="N49" s="3" t="str">
        <f>IFERROR(MID(VLOOKUP($B49,Seqs!$A:$B,2,0),O49,1),"")</f>
        <v>M</v>
      </c>
      <c r="O49" s="3">
        <v>130</v>
      </c>
      <c r="P49" s="3" t="str">
        <f>IFERROR(MID(VLOOKUP($B49,Seqs!$A:$B,2,0),Q49,1),"")</f>
        <v>R</v>
      </c>
      <c r="Q49" s="3">
        <v>132</v>
      </c>
      <c r="R49" s="3" t="str">
        <f>IFERROR(MID(VLOOKUP($B49,Seqs!$A:$B,2,0),S49,1),"")</f>
        <v>L</v>
      </c>
      <c r="S49" s="3">
        <v>135</v>
      </c>
      <c r="T49" s="3" t="str">
        <f>IFERROR(MID(VLOOKUP($B49,Seqs!$A:$B,2,0),U49,1),"")</f>
        <v>G</v>
      </c>
      <c r="U49" s="3">
        <v>136</v>
      </c>
      <c r="V49" s="3" t="str">
        <f>IFERROR(MID(VLOOKUP($B49,Seqs!$A:$B,2,0),W49,1),"")</f>
        <v>R</v>
      </c>
      <c r="W49" s="3">
        <v>171</v>
      </c>
      <c r="X49" s="3" t="str">
        <f>IFERROR(MID(VLOOKUP($B49,Seqs!$A:$B,2,0),Y49,1),"")</f>
        <v>P</v>
      </c>
      <c r="Y49" s="3">
        <v>172</v>
      </c>
      <c r="Z49" s="3" t="str">
        <f>IFERROR(MID(VLOOKUP($B49,Seqs!$A:$B,2,0),AA49,1),"")</f>
        <v>R</v>
      </c>
      <c r="AA49" s="3">
        <v>179</v>
      </c>
      <c r="AB49" s="3" t="str">
        <f>IFERROR(MID(VLOOKUP($B49,Seqs!$A:$B,2,0),AC49,1),"")</f>
        <v>T</v>
      </c>
      <c r="AC49" s="9">
        <v>180</v>
      </c>
      <c r="AD49" s="3" t="str">
        <f>IFERROR(MID(VLOOKUP($B49,Seqs!$A:$B,2,0),AE49,1),"")</f>
        <v>G</v>
      </c>
      <c r="AE49" s="3">
        <v>211</v>
      </c>
      <c r="AF49" s="3" t="str">
        <f>IFERROR(MID(VLOOKUP($B49,Seqs!$A:$B,2,0),AG49,1),"")</f>
        <v>C</v>
      </c>
      <c r="AG49" s="3">
        <v>220</v>
      </c>
      <c r="AH49" s="3" t="str">
        <f>IFERROR(MID(VLOOKUP($B49,Seqs!$A:$B,2,0),AI49,1),"")</f>
        <v>I</v>
      </c>
      <c r="AI49" s="3">
        <v>222</v>
      </c>
      <c r="AJ49" s="3" t="str">
        <f>IFERROR(MID(VLOOKUP($B49,Seqs!$A:$B,2,0),AK49,1),"")</f>
        <v>E</v>
      </c>
      <c r="AK49" s="3">
        <v>227</v>
      </c>
      <c r="AL49" s="3" t="str">
        <f>IFERROR(MID(VLOOKUP($B49,Seqs!$A:$B,2,0),AM49,1),"")</f>
        <v>K</v>
      </c>
      <c r="AM49" s="3">
        <v>259</v>
      </c>
      <c r="AN49" s="3" t="str">
        <f>IFERROR(MID(VLOOKUP($B49,Seqs!$A:$B,2,0),AO49,1),"")</f>
        <v>I</v>
      </c>
      <c r="AO49" s="3">
        <v>483</v>
      </c>
      <c r="AP49" s="3" t="str">
        <f>IFERROR(MID(VLOOKUP($B49,Seqs!$A:$B,2,0),AQ49,1),"")</f>
        <v>C</v>
      </c>
      <c r="AQ49" s="3">
        <v>516</v>
      </c>
      <c r="AR49" s="3" t="str">
        <f>IFERROR(MID(VLOOKUP($B49,Seqs!$A:$B,2,0),AS49,1),"")</f>
        <v>P</v>
      </c>
      <c r="AS49" s="3">
        <v>521</v>
      </c>
      <c r="AT49" s="3" t="str">
        <f>IFERROR(MID(VLOOKUP($B49,Seqs!$A:$B,2,0),AU49,1),"")</f>
        <v>C</v>
      </c>
      <c r="AU49" s="3">
        <v>546</v>
      </c>
      <c r="AV49" s="3" t="str">
        <f>IFERROR(MID(VLOOKUP($B49,Seqs!$A:$B,2,0),AW49,1),"")</f>
        <v/>
      </c>
      <c r="AW49" s="3" t="s">
        <v>23</v>
      </c>
      <c r="AX49" s="3" t="str">
        <f>IFERROR(MID(VLOOKUP($B49,Seqs!$A:$B,2,0),AY49,1),"")</f>
        <v/>
      </c>
      <c r="AY49" s="3" t="s">
        <v>23</v>
      </c>
      <c r="AZ49" s="79" t="str">
        <f>VLOOKUP(B49,Classification!A:D,2,0)</f>
        <v>A</v>
      </c>
      <c r="BA49" s="97" t="str">
        <f>VLOOKUP(B49,Classification!A:D,4,0)</f>
        <v>Acetylcholine(muscarinic)</v>
      </c>
      <c r="BB49" s="27" t="b">
        <f t="shared" si="335"/>
        <v>1</v>
      </c>
      <c r="BC49" s="23">
        <f t="shared" si="140"/>
        <v>244</v>
      </c>
      <c r="BD49" s="4" t="s">
        <v>23</v>
      </c>
      <c r="BE49" s="3" t="s">
        <v>1381</v>
      </c>
      <c r="BF49" s="124">
        <v>3.7</v>
      </c>
      <c r="BG49" s="50" t="s">
        <v>1384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141"/>
        <v>64</v>
      </c>
      <c r="BW49" s="73">
        <f t="shared" si="142"/>
        <v>96</v>
      </c>
      <c r="BX49" s="74">
        <f t="shared" si="143"/>
        <v>100</v>
      </c>
      <c r="BY49" s="73">
        <f t="shared" si="144"/>
        <v>132</v>
      </c>
      <c r="BZ49" s="74">
        <f t="shared" si="145"/>
        <v>136</v>
      </c>
      <c r="CA49" s="73">
        <f t="shared" si="146"/>
        <v>172</v>
      </c>
      <c r="CB49" s="74">
        <f t="shared" si="147"/>
        <v>180</v>
      </c>
      <c r="CC49" s="73">
        <f t="shared" si="148"/>
        <v>220</v>
      </c>
      <c r="CD49" s="74">
        <f t="shared" si="149"/>
        <v>227</v>
      </c>
      <c r="CE49" s="73">
        <f t="shared" si="150"/>
        <v>483</v>
      </c>
      <c r="CF49" s="74">
        <f t="shared" si="151"/>
        <v>521</v>
      </c>
      <c r="CG49" s="73" t="str">
        <f t="shared" si="152"/>
        <v>-</v>
      </c>
      <c r="CH49" s="72">
        <f t="shared" si="153"/>
        <v>95</v>
      </c>
      <c r="CI49" s="73">
        <f t="shared" si="154"/>
        <v>99</v>
      </c>
      <c r="CJ49" s="74">
        <f t="shared" si="155"/>
        <v>130</v>
      </c>
      <c r="CK49" s="74">
        <f t="shared" si="156"/>
        <v>135</v>
      </c>
      <c r="CL49" s="74">
        <f t="shared" si="157"/>
        <v>171</v>
      </c>
      <c r="CM49" s="74">
        <f t="shared" si="158"/>
        <v>179</v>
      </c>
      <c r="CN49" s="74">
        <f t="shared" si="159"/>
        <v>211</v>
      </c>
      <c r="CO49" s="74">
        <f t="shared" si="160"/>
        <v>222</v>
      </c>
      <c r="CP49" s="74">
        <f t="shared" si="161"/>
        <v>259</v>
      </c>
      <c r="CQ49" s="74">
        <f t="shared" si="162"/>
        <v>516</v>
      </c>
      <c r="CR49" s="74">
        <f t="shared" si="163"/>
        <v>546</v>
      </c>
      <c r="CS49" s="74" t="str">
        <f t="shared" si="164"/>
        <v>-</v>
      </c>
      <c r="CT49" s="23">
        <f t="shared" si="165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334"/>
        <v>acm4_human__wt</v>
      </c>
      <c r="B50" s="3" t="s">
        <v>149</v>
      </c>
      <c r="C50" s="3" t="s">
        <v>100</v>
      </c>
      <c r="D50" s="3" t="str">
        <f>IFERROR(MID(VLOOKUP($B50,Seqs!$A:$B,2,0),E50,1),"")</f>
        <v>R</v>
      </c>
      <c r="E50" s="3">
        <v>26</v>
      </c>
      <c r="F50" s="3" t="str">
        <f>IFERROR(MID(VLOOKUP($B50,Seqs!$A:$B,2,0),G50,1),"")</f>
        <v>N</v>
      </c>
      <c r="G50" s="3">
        <v>60</v>
      </c>
      <c r="H50" s="3" t="str">
        <f>IFERROR(MID(VLOOKUP($B50,Seqs!$A:$B,2,0),I50,1),"")</f>
        <v>R</v>
      </c>
      <c r="I50" s="23">
        <v>61</v>
      </c>
      <c r="J50" s="3" t="str">
        <f>IFERROR(MID(VLOOKUP($B50,Seqs!$A:$B,2,0),K50,1),"")</f>
        <v>Q</v>
      </c>
      <c r="K50" s="23">
        <v>64</v>
      </c>
      <c r="L50" s="3" t="str">
        <f>IFERROR(MID(VLOOKUP($B50,Seqs!$A:$B,2,0),M50,1),"")</f>
        <v>T</v>
      </c>
      <c r="M50" s="3">
        <v>65</v>
      </c>
      <c r="N50" s="3" t="str">
        <f>IFERROR(MID(VLOOKUP($B50,Seqs!$A:$B,2,0),O50,1),"")</f>
        <v>K</v>
      </c>
      <c r="O50" s="3">
        <v>95</v>
      </c>
      <c r="P50" s="3" t="str">
        <f>IFERROR(MID(VLOOKUP($B50,Seqs!$A:$B,2,0),Q50,1),"")</f>
        <v>Y</v>
      </c>
      <c r="Q50" s="3">
        <v>97</v>
      </c>
      <c r="R50" s="3" t="str">
        <f>IFERROR(MID(VLOOKUP($B50,Seqs!$A:$B,2,0),S50,1),"")</f>
        <v>L</v>
      </c>
      <c r="S50" s="3">
        <v>100</v>
      </c>
      <c r="T50" s="3" t="str">
        <f>IFERROR(MID(VLOOKUP($B50,Seqs!$A:$B,2,0),U50,1),"")</f>
        <v>G</v>
      </c>
      <c r="U50" s="3">
        <v>101</v>
      </c>
      <c r="V50" s="3" t="str">
        <f>IFERROR(MID(VLOOKUP($B50,Seqs!$A:$B,2,0),W50,1),"")</f>
        <v>K</v>
      </c>
      <c r="W50" s="3">
        <v>136</v>
      </c>
      <c r="X50" s="3" t="str">
        <f>IFERROR(MID(VLOOKUP($B50,Seqs!$A:$B,2,0),Y50,1),"")</f>
        <v>P</v>
      </c>
      <c r="Y50" s="3">
        <v>137</v>
      </c>
      <c r="Z50" s="3" t="str">
        <f>IFERROR(MID(VLOOKUP($B50,Seqs!$A:$B,2,0),AA50,1),"")</f>
        <v>R</v>
      </c>
      <c r="AA50" s="3">
        <v>144</v>
      </c>
      <c r="AB50" s="3" t="str">
        <f>IFERROR(MID(VLOOKUP($B50,Seqs!$A:$B,2,0),AC50,1),"")</f>
        <v>T</v>
      </c>
      <c r="AC50" s="9">
        <v>145</v>
      </c>
      <c r="AD50" s="3" t="str">
        <f>IFERROR(MID(VLOOKUP($B50,Seqs!$A:$B,2,0),AE50,1),"")</f>
        <v>G</v>
      </c>
      <c r="AE50" s="3">
        <v>176</v>
      </c>
      <c r="AF50" s="3" t="str">
        <f>IFERROR(MID(VLOOKUP($B50,Seqs!$A:$B,2,0),AG50,1),"")</f>
        <v>C</v>
      </c>
      <c r="AG50" s="3">
        <v>185</v>
      </c>
      <c r="AH50" s="3" t="str">
        <f>IFERROR(MID(VLOOKUP($B50,Seqs!$A:$B,2,0),AI50,1),"")</f>
        <v>I</v>
      </c>
      <c r="AI50" s="3">
        <v>187</v>
      </c>
      <c r="AJ50" s="3" t="str">
        <f>IFERROR(MID(VLOOKUP($B50,Seqs!$A:$B,2,0),AK50,1),"")</f>
        <v>N</v>
      </c>
      <c r="AK50" s="3">
        <v>192</v>
      </c>
      <c r="AL50" s="3" t="str">
        <f>IFERROR(MID(VLOOKUP($B50,Seqs!$A:$B,2,0),AM50,1),"")</f>
        <v>E</v>
      </c>
      <c r="AM50" s="3">
        <v>232</v>
      </c>
      <c r="AN50" s="3" t="str">
        <f>IFERROR(MID(VLOOKUP($B50,Seqs!$A:$B,2,0),AO50,1),"")</f>
        <v>R</v>
      </c>
      <c r="AO50" s="3">
        <v>389</v>
      </c>
      <c r="AP50" s="3" t="str">
        <f>IFERROR(MID(VLOOKUP($B50,Seqs!$A:$B,2,0),AQ50,1),"")</f>
        <v>C</v>
      </c>
      <c r="AQ50" s="3">
        <v>426</v>
      </c>
      <c r="AR50" s="3" t="str">
        <f>IFERROR(MID(VLOOKUP($B50,Seqs!$A:$B,2,0),AS50,1),"")</f>
        <v>P</v>
      </c>
      <c r="AS50" s="3">
        <v>431</v>
      </c>
      <c r="AT50" s="3" t="str">
        <f>IFERROR(MID(VLOOKUP($B50,Seqs!$A:$B,2,0),AU50,1),"")</f>
        <v>C</v>
      </c>
      <c r="AU50" s="3">
        <v>456</v>
      </c>
      <c r="AV50" s="3" t="str">
        <f>IFERROR(MID(VLOOKUP($B50,Seqs!$A:$B,2,0),AW50,1),"")</f>
        <v>N</v>
      </c>
      <c r="AW50" s="3">
        <v>457</v>
      </c>
      <c r="AX50" s="3" t="str">
        <f>IFERROR(MID(VLOOKUP($B50,Seqs!$A:$B,2,0),AY50,1),"")</f>
        <v>L</v>
      </c>
      <c r="AY50" s="3">
        <v>469</v>
      </c>
      <c r="AZ50" s="79" t="str">
        <f>VLOOKUP(B50,Classification!A:D,2,0)</f>
        <v>A</v>
      </c>
      <c r="BA50" s="97" t="str">
        <f>VLOOKUP(B50,Classification!A:D,4,0)</f>
        <v>Acetylcholine(muscarinic)</v>
      </c>
      <c r="BB50" s="27" t="b">
        <f t="shared" si="335"/>
        <v>1</v>
      </c>
      <c r="BC50" s="23">
        <f t="shared" si="140"/>
        <v>271</v>
      </c>
      <c r="BD50" s="35" t="s">
        <v>1379</v>
      </c>
      <c r="BE50" s="3" t="s">
        <v>23</v>
      </c>
      <c r="BF50" s="124" t="s">
        <v>23</v>
      </c>
      <c r="BG50" s="50" t="s">
        <v>1379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141"/>
        <v>26</v>
      </c>
      <c r="BW50" s="73">
        <f t="shared" si="142"/>
        <v>61</v>
      </c>
      <c r="BX50" s="74">
        <f t="shared" si="143"/>
        <v>65</v>
      </c>
      <c r="BY50" s="73">
        <f t="shared" si="144"/>
        <v>97</v>
      </c>
      <c r="BZ50" s="74">
        <f t="shared" si="145"/>
        <v>101</v>
      </c>
      <c r="CA50" s="73">
        <f t="shared" si="146"/>
        <v>137</v>
      </c>
      <c r="CB50" s="74">
        <f t="shared" si="147"/>
        <v>145</v>
      </c>
      <c r="CC50" s="73">
        <f t="shared" si="148"/>
        <v>185</v>
      </c>
      <c r="CD50" s="74">
        <f t="shared" si="149"/>
        <v>192</v>
      </c>
      <c r="CE50" s="73">
        <f t="shared" si="150"/>
        <v>389</v>
      </c>
      <c r="CF50" s="74">
        <f t="shared" si="151"/>
        <v>431</v>
      </c>
      <c r="CG50" s="73">
        <f t="shared" si="152"/>
        <v>457</v>
      </c>
      <c r="CH50" s="72">
        <f t="shared" si="153"/>
        <v>60</v>
      </c>
      <c r="CI50" s="73">
        <f t="shared" si="154"/>
        <v>64</v>
      </c>
      <c r="CJ50" s="74">
        <f t="shared" si="155"/>
        <v>95</v>
      </c>
      <c r="CK50" s="74">
        <f t="shared" si="156"/>
        <v>100</v>
      </c>
      <c r="CL50" s="74">
        <f t="shared" si="157"/>
        <v>136</v>
      </c>
      <c r="CM50" s="74">
        <f t="shared" si="158"/>
        <v>144</v>
      </c>
      <c r="CN50" s="74">
        <f t="shared" si="159"/>
        <v>176</v>
      </c>
      <c r="CO50" s="74">
        <f t="shared" si="160"/>
        <v>187</v>
      </c>
      <c r="CP50" s="74">
        <f t="shared" si="161"/>
        <v>232</v>
      </c>
      <c r="CQ50" s="74">
        <f t="shared" si="162"/>
        <v>426</v>
      </c>
      <c r="CR50" s="74">
        <f t="shared" si="163"/>
        <v>456</v>
      </c>
      <c r="CS50" s="74">
        <f t="shared" si="164"/>
        <v>469</v>
      </c>
      <c r="CT50" s="23">
        <f t="shared" si="165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334"/>
        <v>acm4_human_5DSG</v>
      </c>
      <c r="B51" s="3" t="s">
        <v>149</v>
      </c>
      <c r="C51" s="3" t="s">
        <v>61</v>
      </c>
      <c r="D51" s="3" t="str">
        <f>IFERROR(MID(VLOOKUP($B51,Seqs!$A:$B,2,0),E51,1),"")</f>
        <v>R</v>
      </c>
      <c r="E51" s="3">
        <v>26</v>
      </c>
      <c r="F51" s="3" t="str">
        <f>IFERROR(MID(VLOOKUP($B51,Seqs!$A:$B,2,0),G51,1),"")</f>
        <v>N</v>
      </c>
      <c r="G51" s="3">
        <v>60</v>
      </c>
      <c r="H51" s="3" t="str">
        <f>IFERROR(MID(VLOOKUP($B51,Seqs!$A:$B,2,0),I51,1),"")</f>
        <v>R</v>
      </c>
      <c r="I51" s="23">
        <v>61</v>
      </c>
      <c r="J51" s="3" t="str">
        <f>IFERROR(MID(VLOOKUP($B51,Seqs!$A:$B,2,0),K51,1),"")</f>
        <v>Q</v>
      </c>
      <c r="K51" s="23">
        <v>64</v>
      </c>
      <c r="L51" s="3" t="str">
        <f>IFERROR(MID(VLOOKUP($B51,Seqs!$A:$B,2,0),M51,1),"")</f>
        <v>T</v>
      </c>
      <c r="M51" s="3">
        <v>65</v>
      </c>
      <c r="N51" s="3" t="str">
        <f>IFERROR(MID(VLOOKUP($B51,Seqs!$A:$B,2,0),O51,1),"")</f>
        <v>K</v>
      </c>
      <c r="O51" s="3">
        <v>95</v>
      </c>
      <c r="P51" s="3" t="str">
        <f>IFERROR(MID(VLOOKUP($B51,Seqs!$A:$B,2,0),Q51,1),"")</f>
        <v>Y</v>
      </c>
      <c r="Q51" s="3">
        <v>97</v>
      </c>
      <c r="R51" s="3" t="str">
        <f>IFERROR(MID(VLOOKUP($B51,Seqs!$A:$B,2,0),S51,1),"")</f>
        <v>L</v>
      </c>
      <c r="S51" s="3">
        <v>100</v>
      </c>
      <c r="T51" s="3" t="str">
        <f>IFERROR(MID(VLOOKUP($B51,Seqs!$A:$B,2,0),U51,1),"")</f>
        <v>G</v>
      </c>
      <c r="U51" s="3">
        <v>101</v>
      </c>
      <c r="V51" s="3" t="str">
        <f>IFERROR(MID(VLOOKUP($B51,Seqs!$A:$B,2,0),W51,1),"")</f>
        <v>K</v>
      </c>
      <c r="W51" s="3">
        <v>136</v>
      </c>
      <c r="X51" s="3" t="str">
        <f>IFERROR(MID(VLOOKUP($B51,Seqs!$A:$B,2,0),Y51,1),"")</f>
        <v>P</v>
      </c>
      <c r="Y51" s="3">
        <v>137</v>
      </c>
      <c r="Z51" s="3" t="str">
        <f>IFERROR(MID(VLOOKUP($B51,Seqs!$A:$B,2,0),AA51,1),"")</f>
        <v>R</v>
      </c>
      <c r="AA51" s="3">
        <v>144</v>
      </c>
      <c r="AB51" s="3" t="str">
        <f>IFERROR(MID(VLOOKUP($B51,Seqs!$A:$B,2,0),AC51,1),"")</f>
        <v>T</v>
      </c>
      <c r="AC51" s="9">
        <v>145</v>
      </c>
      <c r="AD51" s="3" t="str">
        <f>IFERROR(MID(VLOOKUP($B51,Seqs!$A:$B,2,0),AE51,1),"")</f>
        <v>G</v>
      </c>
      <c r="AE51" s="3">
        <v>176</v>
      </c>
      <c r="AF51" s="3" t="str">
        <f>IFERROR(MID(VLOOKUP($B51,Seqs!$A:$B,2,0),AG51,1),"")</f>
        <v>C</v>
      </c>
      <c r="AG51" s="3">
        <v>185</v>
      </c>
      <c r="AH51" s="3" t="str">
        <f>IFERROR(MID(VLOOKUP($B51,Seqs!$A:$B,2,0),AI51,1),"")</f>
        <v>I</v>
      </c>
      <c r="AI51" s="3">
        <v>187</v>
      </c>
      <c r="AJ51" s="3" t="str">
        <f>IFERROR(MID(VLOOKUP($B51,Seqs!$A:$B,2,0),AK51,1),"")</f>
        <v>N</v>
      </c>
      <c r="AK51" s="3">
        <v>192</v>
      </c>
      <c r="AL51" s="3" t="str">
        <f>IFERROR(MID(VLOOKUP($B51,Seqs!$A:$B,2,0),AM51,1),"")</f>
        <v>L</v>
      </c>
      <c r="AM51" s="3">
        <v>220</v>
      </c>
      <c r="AN51" s="3" t="str">
        <f>IFERROR(MID(VLOOKUP($B51,Seqs!$A:$B,2,0),AO51,1),"")</f>
        <v>R</v>
      </c>
      <c r="AO51" s="3">
        <v>396</v>
      </c>
      <c r="AP51" s="3" t="str">
        <f>IFERROR(MID(VLOOKUP($B51,Seqs!$A:$B,2,0),AQ51,1),"")</f>
        <v>C</v>
      </c>
      <c r="AQ51" s="3">
        <v>426</v>
      </c>
      <c r="AR51" s="3" t="str">
        <f>IFERROR(MID(VLOOKUP($B51,Seqs!$A:$B,2,0),AS51,1),"")</f>
        <v>P</v>
      </c>
      <c r="AS51" s="3">
        <v>431</v>
      </c>
      <c r="AT51" s="3" t="str">
        <f>IFERROR(MID(VLOOKUP($B51,Seqs!$A:$B,2,0),AU51,1),"")</f>
        <v>C</v>
      </c>
      <c r="AU51" s="3">
        <v>456</v>
      </c>
      <c r="AV51" s="3" t="str">
        <f>IFERROR(MID(VLOOKUP($B51,Seqs!$A:$B,2,0),AW51,1),"")</f>
        <v>N</v>
      </c>
      <c r="AW51" s="3">
        <v>457</v>
      </c>
      <c r="AX51" s="3" t="str">
        <f>IFERROR(MID(VLOOKUP($B51,Seqs!$A:$B,2,0),AY51,1),"")</f>
        <v>L</v>
      </c>
      <c r="AY51" s="3">
        <v>469</v>
      </c>
      <c r="AZ51" s="79" t="str">
        <f>VLOOKUP(B51,Classification!A:D,2,0)</f>
        <v>A</v>
      </c>
      <c r="BA51" s="97" t="str">
        <f>VLOOKUP(B51,Classification!A:D,4,0)</f>
        <v>Acetylcholine(muscarinic)</v>
      </c>
      <c r="BB51" s="27" t="b">
        <f t="shared" si="335"/>
        <v>1</v>
      </c>
      <c r="BC51" s="23">
        <f t="shared" si="140"/>
        <v>252</v>
      </c>
      <c r="BD51" s="2" t="s">
        <v>1383</v>
      </c>
      <c r="BE51" s="3" t="s">
        <v>1381</v>
      </c>
      <c r="BF51" s="124">
        <v>2.6</v>
      </c>
      <c r="BG51" s="50" t="s">
        <v>1384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141"/>
        <v>26</v>
      </c>
      <c r="BW51" s="73">
        <f t="shared" si="142"/>
        <v>61</v>
      </c>
      <c r="BX51" s="74">
        <f t="shared" si="143"/>
        <v>65</v>
      </c>
      <c r="BY51" s="73">
        <f t="shared" si="144"/>
        <v>97</v>
      </c>
      <c r="BZ51" s="74">
        <f t="shared" si="145"/>
        <v>101</v>
      </c>
      <c r="CA51" s="73">
        <f t="shared" si="146"/>
        <v>137</v>
      </c>
      <c r="CB51" s="74">
        <f t="shared" si="147"/>
        <v>145</v>
      </c>
      <c r="CC51" s="73">
        <f t="shared" si="148"/>
        <v>185</v>
      </c>
      <c r="CD51" s="74">
        <f t="shared" si="149"/>
        <v>192</v>
      </c>
      <c r="CE51" s="73">
        <f t="shared" si="150"/>
        <v>396</v>
      </c>
      <c r="CF51" s="74">
        <f t="shared" si="151"/>
        <v>431</v>
      </c>
      <c r="CG51" s="73">
        <f t="shared" si="152"/>
        <v>457</v>
      </c>
      <c r="CH51" s="72">
        <f t="shared" si="153"/>
        <v>60</v>
      </c>
      <c r="CI51" s="73">
        <f t="shared" si="154"/>
        <v>64</v>
      </c>
      <c r="CJ51" s="74">
        <f t="shared" si="155"/>
        <v>95</v>
      </c>
      <c r="CK51" s="74">
        <f t="shared" si="156"/>
        <v>100</v>
      </c>
      <c r="CL51" s="74">
        <f t="shared" si="157"/>
        <v>136</v>
      </c>
      <c r="CM51" s="74">
        <f t="shared" si="158"/>
        <v>144</v>
      </c>
      <c r="CN51" s="74">
        <f t="shared" si="159"/>
        <v>176</v>
      </c>
      <c r="CO51" s="74">
        <f t="shared" si="160"/>
        <v>187</v>
      </c>
      <c r="CP51" s="74">
        <f t="shared" si="161"/>
        <v>220</v>
      </c>
      <c r="CQ51" s="74">
        <f t="shared" si="162"/>
        <v>426</v>
      </c>
      <c r="CR51" s="74">
        <f t="shared" si="163"/>
        <v>456</v>
      </c>
      <c r="CS51" s="74">
        <f t="shared" si="164"/>
        <v>469</v>
      </c>
      <c r="CT51" s="23">
        <f t="shared" si="165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334"/>
        <v>adrb1_melga__wt</v>
      </c>
      <c r="B52" s="3" t="s">
        <v>912</v>
      </c>
      <c r="C52" s="3" t="s">
        <v>100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E</v>
      </c>
      <c r="AM52" s="3">
        <v>245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335"/>
        <v>1</v>
      </c>
      <c r="BC52" s="23">
        <f t="shared" si="140"/>
        <v>272</v>
      </c>
      <c r="BD52" s="35" t="s">
        <v>1379</v>
      </c>
      <c r="BE52" s="3" t="s">
        <v>23</v>
      </c>
      <c r="BF52" s="124" t="s">
        <v>23</v>
      </c>
      <c r="BG52" s="50" t="s">
        <v>1379</v>
      </c>
      <c r="BH52" s="50" t="s">
        <v>1384</v>
      </c>
      <c r="BI52" s="3" t="s">
        <v>1166</v>
      </c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141"/>
        <v>33</v>
      </c>
      <c r="BW52" s="73">
        <f t="shared" si="142"/>
        <v>70</v>
      </c>
      <c r="BX52" s="74">
        <f t="shared" si="143"/>
        <v>74</v>
      </c>
      <c r="BY52" s="73">
        <f t="shared" si="144"/>
        <v>106</v>
      </c>
      <c r="BZ52" s="74">
        <f t="shared" si="145"/>
        <v>110</v>
      </c>
      <c r="CA52" s="73">
        <f t="shared" si="146"/>
        <v>146</v>
      </c>
      <c r="CB52" s="74">
        <f t="shared" si="147"/>
        <v>154</v>
      </c>
      <c r="CC52" s="73">
        <f t="shared" si="148"/>
        <v>199</v>
      </c>
      <c r="CD52" s="74">
        <f t="shared" si="149"/>
        <v>204</v>
      </c>
      <c r="CE52" s="73">
        <f t="shared" si="150"/>
        <v>275</v>
      </c>
      <c r="CF52" s="74">
        <f t="shared" si="151"/>
        <v>321</v>
      </c>
      <c r="CG52" s="73">
        <f t="shared" si="152"/>
        <v>346</v>
      </c>
      <c r="CH52" s="72">
        <f t="shared" si="153"/>
        <v>69</v>
      </c>
      <c r="CI52" s="73">
        <f t="shared" si="154"/>
        <v>73</v>
      </c>
      <c r="CJ52" s="74">
        <f t="shared" si="155"/>
        <v>104</v>
      </c>
      <c r="CK52" s="74">
        <f t="shared" si="156"/>
        <v>109</v>
      </c>
      <c r="CL52" s="74">
        <f t="shared" si="157"/>
        <v>145</v>
      </c>
      <c r="CM52" s="74">
        <f t="shared" si="158"/>
        <v>153</v>
      </c>
      <c r="CN52" s="74">
        <f t="shared" si="159"/>
        <v>180</v>
      </c>
      <c r="CO52" s="74">
        <f t="shared" si="160"/>
        <v>201</v>
      </c>
      <c r="CP52" s="74">
        <f t="shared" si="161"/>
        <v>245</v>
      </c>
      <c r="CQ52" s="74">
        <f t="shared" si="162"/>
        <v>316</v>
      </c>
      <c r="CR52" s="74">
        <f t="shared" si="163"/>
        <v>345</v>
      </c>
      <c r="CS52" s="74">
        <f t="shared" si="164"/>
        <v>358</v>
      </c>
      <c r="CT52" s="23">
        <f t="shared" si="165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34"/>
        <v>adrb1_melga_2Y00</v>
      </c>
      <c r="B53" s="3" t="s">
        <v>912</v>
      </c>
      <c r="C53" s="3" t="s">
        <v>1023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I</v>
      </c>
      <c r="AM53" s="3">
        <v>238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335"/>
        <v>1</v>
      </c>
      <c r="BC53" s="23">
        <f t="shared" si="140"/>
        <v>265</v>
      </c>
      <c r="BD53" s="4" t="s">
        <v>23</v>
      </c>
      <c r="BE53" s="3" t="s">
        <v>1381</v>
      </c>
      <c r="BF53" s="124">
        <v>2.5</v>
      </c>
      <c r="BG53" s="50" t="s">
        <v>1384</v>
      </c>
      <c r="BH53" s="50" t="s">
        <v>1384</v>
      </c>
      <c r="BI53" s="1"/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141"/>
        <v>33</v>
      </c>
      <c r="BW53" s="73">
        <f t="shared" si="142"/>
        <v>70</v>
      </c>
      <c r="BX53" s="74">
        <f t="shared" si="143"/>
        <v>74</v>
      </c>
      <c r="BY53" s="73">
        <f t="shared" si="144"/>
        <v>106</v>
      </c>
      <c r="BZ53" s="74">
        <f t="shared" si="145"/>
        <v>110</v>
      </c>
      <c r="CA53" s="73">
        <f t="shared" si="146"/>
        <v>146</v>
      </c>
      <c r="CB53" s="74">
        <f t="shared" si="147"/>
        <v>154</v>
      </c>
      <c r="CC53" s="73">
        <f t="shared" si="148"/>
        <v>199</v>
      </c>
      <c r="CD53" s="74">
        <f t="shared" si="149"/>
        <v>204</v>
      </c>
      <c r="CE53" s="73">
        <f t="shared" si="150"/>
        <v>275</v>
      </c>
      <c r="CF53" s="74">
        <f t="shared" si="151"/>
        <v>321</v>
      </c>
      <c r="CG53" s="73">
        <f t="shared" si="152"/>
        <v>346</v>
      </c>
      <c r="CH53" s="72">
        <f t="shared" si="153"/>
        <v>69</v>
      </c>
      <c r="CI53" s="73">
        <f t="shared" si="154"/>
        <v>73</v>
      </c>
      <c r="CJ53" s="74">
        <f t="shared" si="155"/>
        <v>104</v>
      </c>
      <c r="CK53" s="74">
        <f t="shared" si="156"/>
        <v>109</v>
      </c>
      <c r="CL53" s="74">
        <f t="shared" si="157"/>
        <v>145</v>
      </c>
      <c r="CM53" s="74">
        <f t="shared" si="158"/>
        <v>153</v>
      </c>
      <c r="CN53" s="74">
        <f t="shared" si="159"/>
        <v>180</v>
      </c>
      <c r="CO53" s="74">
        <f t="shared" si="160"/>
        <v>201</v>
      </c>
      <c r="CP53" s="74">
        <f t="shared" si="161"/>
        <v>238</v>
      </c>
      <c r="CQ53" s="74">
        <f t="shared" si="162"/>
        <v>316</v>
      </c>
      <c r="CR53" s="74">
        <f t="shared" si="163"/>
        <v>345</v>
      </c>
      <c r="CS53" s="74">
        <f t="shared" si="164"/>
        <v>358</v>
      </c>
      <c r="CT53" s="23">
        <f t="shared" si="165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34"/>
        <v>adrb1_melga_2Y02</v>
      </c>
      <c r="B54" s="3" t="s">
        <v>912</v>
      </c>
      <c r="C54" s="3" t="s">
        <v>1024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335"/>
        <v>1</v>
      </c>
      <c r="BC54" s="23">
        <f t="shared" si="140"/>
        <v>265</v>
      </c>
      <c r="BD54" s="4" t="s">
        <v>23</v>
      </c>
      <c r="BE54" s="3" t="s">
        <v>1381</v>
      </c>
      <c r="BF54" s="124">
        <v>2.6</v>
      </c>
      <c r="BG54" s="50" t="s">
        <v>1384</v>
      </c>
      <c r="BH54" s="50" t="s">
        <v>1384</v>
      </c>
      <c r="BI54" s="1"/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141"/>
        <v>33</v>
      </c>
      <c r="BW54" s="73">
        <f t="shared" si="142"/>
        <v>70</v>
      </c>
      <c r="BX54" s="74">
        <f t="shared" si="143"/>
        <v>74</v>
      </c>
      <c r="BY54" s="73">
        <f t="shared" si="144"/>
        <v>106</v>
      </c>
      <c r="BZ54" s="74">
        <f t="shared" si="145"/>
        <v>110</v>
      </c>
      <c r="CA54" s="73">
        <f t="shared" si="146"/>
        <v>146</v>
      </c>
      <c r="CB54" s="74">
        <f t="shared" si="147"/>
        <v>154</v>
      </c>
      <c r="CC54" s="73">
        <f t="shared" si="148"/>
        <v>199</v>
      </c>
      <c r="CD54" s="74">
        <f t="shared" si="149"/>
        <v>204</v>
      </c>
      <c r="CE54" s="73">
        <f t="shared" si="150"/>
        <v>275</v>
      </c>
      <c r="CF54" s="74">
        <f t="shared" si="151"/>
        <v>321</v>
      </c>
      <c r="CG54" s="73">
        <f t="shared" si="152"/>
        <v>346</v>
      </c>
      <c r="CH54" s="72">
        <f t="shared" si="153"/>
        <v>69</v>
      </c>
      <c r="CI54" s="73">
        <f t="shared" si="154"/>
        <v>73</v>
      </c>
      <c r="CJ54" s="74">
        <f t="shared" si="155"/>
        <v>104</v>
      </c>
      <c r="CK54" s="74">
        <f t="shared" si="156"/>
        <v>109</v>
      </c>
      <c r="CL54" s="74">
        <f t="shared" si="157"/>
        <v>145</v>
      </c>
      <c r="CM54" s="74">
        <f t="shared" si="158"/>
        <v>153</v>
      </c>
      <c r="CN54" s="74">
        <f t="shared" si="159"/>
        <v>180</v>
      </c>
      <c r="CO54" s="74">
        <f t="shared" si="160"/>
        <v>201</v>
      </c>
      <c r="CP54" s="74">
        <f t="shared" si="161"/>
        <v>238</v>
      </c>
      <c r="CQ54" s="74">
        <f t="shared" si="162"/>
        <v>316</v>
      </c>
      <c r="CR54" s="74">
        <f t="shared" si="163"/>
        <v>345</v>
      </c>
      <c r="CS54" s="74">
        <f t="shared" si="164"/>
        <v>358</v>
      </c>
      <c r="CT54" s="23">
        <f t="shared" si="165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34"/>
        <v>adrb1_melga_2Y03</v>
      </c>
      <c r="B55" s="3" t="s">
        <v>912</v>
      </c>
      <c r="C55" s="3" t="s">
        <v>1025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335"/>
        <v>1</v>
      </c>
      <c r="BC55" s="23">
        <f t="shared" si="140"/>
        <v>265</v>
      </c>
      <c r="BD55" s="4" t="s">
        <v>23</v>
      </c>
      <c r="BE55" s="3" t="s">
        <v>1381</v>
      </c>
      <c r="BF55" s="124">
        <v>2.85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141"/>
        <v>33</v>
      </c>
      <c r="BW55" s="73">
        <f t="shared" si="142"/>
        <v>70</v>
      </c>
      <c r="BX55" s="74">
        <f t="shared" si="143"/>
        <v>74</v>
      </c>
      <c r="BY55" s="73">
        <f t="shared" si="144"/>
        <v>106</v>
      </c>
      <c r="BZ55" s="74">
        <f t="shared" si="145"/>
        <v>110</v>
      </c>
      <c r="CA55" s="73">
        <f t="shared" si="146"/>
        <v>146</v>
      </c>
      <c r="CB55" s="74">
        <f t="shared" si="147"/>
        <v>154</v>
      </c>
      <c r="CC55" s="73">
        <f t="shared" si="148"/>
        <v>199</v>
      </c>
      <c r="CD55" s="74">
        <f t="shared" si="149"/>
        <v>204</v>
      </c>
      <c r="CE55" s="73">
        <f t="shared" si="150"/>
        <v>275</v>
      </c>
      <c r="CF55" s="74">
        <f t="shared" si="151"/>
        <v>321</v>
      </c>
      <c r="CG55" s="73">
        <f t="shared" si="152"/>
        <v>346</v>
      </c>
      <c r="CH55" s="72">
        <f t="shared" si="153"/>
        <v>69</v>
      </c>
      <c r="CI55" s="73">
        <f t="shared" si="154"/>
        <v>73</v>
      </c>
      <c r="CJ55" s="74">
        <f t="shared" si="155"/>
        <v>104</v>
      </c>
      <c r="CK55" s="74">
        <f t="shared" si="156"/>
        <v>109</v>
      </c>
      <c r="CL55" s="74">
        <f t="shared" si="157"/>
        <v>145</v>
      </c>
      <c r="CM55" s="74">
        <f t="shared" si="158"/>
        <v>153</v>
      </c>
      <c r="CN55" s="74">
        <f t="shared" si="159"/>
        <v>180</v>
      </c>
      <c r="CO55" s="74">
        <f t="shared" si="160"/>
        <v>201</v>
      </c>
      <c r="CP55" s="74">
        <f t="shared" si="161"/>
        <v>238</v>
      </c>
      <c r="CQ55" s="74">
        <f t="shared" si="162"/>
        <v>316</v>
      </c>
      <c r="CR55" s="74">
        <f t="shared" si="163"/>
        <v>345</v>
      </c>
      <c r="CS55" s="74">
        <f t="shared" si="164"/>
        <v>358</v>
      </c>
      <c r="CT55" s="23">
        <f t="shared" si="165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34"/>
        <v>adrb1_melga_2Y04</v>
      </c>
      <c r="B56" s="3" t="s">
        <v>912</v>
      </c>
      <c r="C56" s="3" t="s">
        <v>1026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I</v>
      </c>
      <c r="AM56" s="3">
        <v>238</v>
      </c>
      <c r="AN56" s="3" t="str">
        <f>IFERROR(MID(VLOOKUP($B56,Seqs!$A:$B,2,0),AO56,1),"")</f>
        <v>R</v>
      </c>
      <c r="AO56" s="3">
        <v>275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335"/>
        <v>1</v>
      </c>
      <c r="BC56" s="23">
        <f t="shared" si="140"/>
        <v>265</v>
      </c>
      <c r="BD56" s="4" t="s">
        <v>23</v>
      </c>
      <c r="BE56" s="3" t="s">
        <v>1381</v>
      </c>
      <c r="BF56" s="124">
        <v>3.05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141"/>
        <v>33</v>
      </c>
      <c r="BW56" s="73">
        <f t="shared" si="142"/>
        <v>70</v>
      </c>
      <c r="BX56" s="74">
        <f t="shared" si="143"/>
        <v>74</v>
      </c>
      <c r="BY56" s="73">
        <f t="shared" si="144"/>
        <v>106</v>
      </c>
      <c r="BZ56" s="74">
        <f t="shared" si="145"/>
        <v>110</v>
      </c>
      <c r="CA56" s="73">
        <f t="shared" si="146"/>
        <v>146</v>
      </c>
      <c r="CB56" s="74">
        <f t="shared" si="147"/>
        <v>154</v>
      </c>
      <c r="CC56" s="73">
        <f t="shared" si="148"/>
        <v>199</v>
      </c>
      <c r="CD56" s="74">
        <f t="shared" si="149"/>
        <v>204</v>
      </c>
      <c r="CE56" s="73">
        <f t="shared" si="150"/>
        <v>275</v>
      </c>
      <c r="CF56" s="74">
        <f t="shared" si="151"/>
        <v>321</v>
      </c>
      <c r="CG56" s="73">
        <f t="shared" si="152"/>
        <v>346</v>
      </c>
      <c r="CH56" s="72">
        <f t="shared" si="153"/>
        <v>69</v>
      </c>
      <c r="CI56" s="73">
        <f t="shared" si="154"/>
        <v>73</v>
      </c>
      <c r="CJ56" s="74">
        <f t="shared" si="155"/>
        <v>104</v>
      </c>
      <c r="CK56" s="74">
        <f t="shared" si="156"/>
        <v>109</v>
      </c>
      <c r="CL56" s="74">
        <f t="shared" si="157"/>
        <v>145</v>
      </c>
      <c r="CM56" s="74">
        <f t="shared" si="158"/>
        <v>153</v>
      </c>
      <c r="CN56" s="74">
        <f t="shared" si="159"/>
        <v>180</v>
      </c>
      <c r="CO56" s="74">
        <f t="shared" si="160"/>
        <v>201</v>
      </c>
      <c r="CP56" s="74">
        <f t="shared" si="161"/>
        <v>238</v>
      </c>
      <c r="CQ56" s="74">
        <f t="shared" si="162"/>
        <v>316</v>
      </c>
      <c r="CR56" s="74">
        <f t="shared" si="163"/>
        <v>345</v>
      </c>
      <c r="CS56" s="74">
        <f t="shared" si="164"/>
        <v>358</v>
      </c>
      <c r="CT56" s="23">
        <f t="shared" si="165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34"/>
        <v>adrb1_melga_2YCW</v>
      </c>
      <c r="B57" s="3" t="s">
        <v>912</v>
      </c>
      <c r="C57" s="3" t="s">
        <v>1027</v>
      </c>
      <c r="D57" s="3" t="str">
        <f>IFERROR(MID(VLOOKUP($B57,Seqs!$A:$B,2,0),E57,1),"")</f>
        <v>S</v>
      </c>
      <c r="E57" s="3">
        <v>37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K</v>
      </c>
      <c r="AM57" s="3">
        <v>240</v>
      </c>
      <c r="AN57" s="3" t="str">
        <f>IFERROR(MID(VLOOKUP($B57,Seqs!$A:$B,2,0),AO57,1),"")</f>
        <v>L</v>
      </c>
      <c r="AO57" s="3">
        <v>289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335"/>
        <v>1</v>
      </c>
      <c r="BC57" s="23">
        <f t="shared" si="140"/>
        <v>249</v>
      </c>
      <c r="BD57" s="4" t="s">
        <v>23</v>
      </c>
      <c r="BE57" s="3" t="s">
        <v>1381</v>
      </c>
      <c r="BF57" s="124">
        <v>3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141"/>
        <v>37</v>
      </c>
      <c r="BW57" s="73">
        <f t="shared" si="142"/>
        <v>70</v>
      </c>
      <c r="BX57" s="74">
        <f t="shared" si="143"/>
        <v>74</v>
      </c>
      <c r="BY57" s="73">
        <f t="shared" si="144"/>
        <v>106</v>
      </c>
      <c r="BZ57" s="74">
        <f t="shared" si="145"/>
        <v>110</v>
      </c>
      <c r="CA57" s="73">
        <f t="shared" si="146"/>
        <v>146</v>
      </c>
      <c r="CB57" s="74">
        <f t="shared" si="147"/>
        <v>154</v>
      </c>
      <c r="CC57" s="73">
        <f t="shared" si="148"/>
        <v>199</v>
      </c>
      <c r="CD57" s="74">
        <f t="shared" si="149"/>
        <v>204</v>
      </c>
      <c r="CE57" s="73">
        <f t="shared" si="150"/>
        <v>289</v>
      </c>
      <c r="CF57" s="74">
        <f t="shared" si="151"/>
        <v>321</v>
      </c>
      <c r="CG57" s="73">
        <f t="shared" si="152"/>
        <v>346</v>
      </c>
      <c r="CH57" s="72">
        <f t="shared" si="153"/>
        <v>69</v>
      </c>
      <c r="CI57" s="73">
        <f t="shared" si="154"/>
        <v>73</v>
      </c>
      <c r="CJ57" s="74">
        <f t="shared" si="155"/>
        <v>104</v>
      </c>
      <c r="CK57" s="74">
        <f t="shared" si="156"/>
        <v>109</v>
      </c>
      <c r="CL57" s="74">
        <f t="shared" si="157"/>
        <v>145</v>
      </c>
      <c r="CM57" s="74">
        <f t="shared" si="158"/>
        <v>153</v>
      </c>
      <c r="CN57" s="74">
        <f t="shared" si="159"/>
        <v>180</v>
      </c>
      <c r="CO57" s="74">
        <f t="shared" si="160"/>
        <v>201</v>
      </c>
      <c r="CP57" s="74">
        <f t="shared" si="161"/>
        <v>240</v>
      </c>
      <c r="CQ57" s="74">
        <f t="shared" si="162"/>
        <v>316</v>
      </c>
      <c r="CR57" s="74">
        <f t="shared" si="163"/>
        <v>345</v>
      </c>
      <c r="CS57" s="74">
        <f t="shared" si="164"/>
        <v>358</v>
      </c>
      <c r="CT57" s="23">
        <f t="shared" si="165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34"/>
        <v>adrb1_melga_2YCZ</v>
      </c>
      <c r="B58" s="3" t="s">
        <v>912</v>
      </c>
      <c r="C58" s="3" t="s">
        <v>1028</v>
      </c>
      <c r="D58" s="3" t="str">
        <f>IFERROR(MID(VLOOKUP($B58,Seqs!$A:$B,2,0),E58,1),"")</f>
        <v>A</v>
      </c>
      <c r="E58" s="3">
        <v>33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K</v>
      </c>
      <c r="AM58" s="3">
        <v>240</v>
      </c>
      <c r="AN58" s="3" t="str">
        <f>IFERROR(MID(VLOOKUP($B58,Seqs!$A:$B,2,0),AO58,1),"")</f>
        <v>A</v>
      </c>
      <c r="AO58" s="3">
        <v>288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335"/>
        <v>1</v>
      </c>
      <c r="BC58" s="23">
        <f t="shared" si="140"/>
        <v>254</v>
      </c>
      <c r="BD58" s="16" t="s">
        <v>23</v>
      </c>
      <c r="BE58" s="3" t="s">
        <v>1381</v>
      </c>
      <c r="BF58" s="124">
        <v>3.65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si="141"/>
        <v>33</v>
      </c>
      <c r="BW58" s="73">
        <f t="shared" si="142"/>
        <v>70</v>
      </c>
      <c r="BX58" s="74">
        <f t="shared" si="143"/>
        <v>74</v>
      </c>
      <c r="BY58" s="73">
        <f t="shared" si="144"/>
        <v>106</v>
      </c>
      <c r="BZ58" s="74">
        <f t="shared" si="145"/>
        <v>110</v>
      </c>
      <c r="CA58" s="73">
        <f t="shared" si="146"/>
        <v>146</v>
      </c>
      <c r="CB58" s="74">
        <f t="shared" si="147"/>
        <v>154</v>
      </c>
      <c r="CC58" s="73">
        <f t="shared" si="148"/>
        <v>199</v>
      </c>
      <c r="CD58" s="74">
        <f t="shared" si="149"/>
        <v>204</v>
      </c>
      <c r="CE58" s="73">
        <f t="shared" si="150"/>
        <v>288</v>
      </c>
      <c r="CF58" s="74">
        <f t="shared" si="151"/>
        <v>321</v>
      </c>
      <c r="CG58" s="73">
        <f t="shared" si="152"/>
        <v>346</v>
      </c>
      <c r="CH58" s="72">
        <f t="shared" si="153"/>
        <v>69</v>
      </c>
      <c r="CI58" s="73">
        <f t="shared" si="154"/>
        <v>73</v>
      </c>
      <c r="CJ58" s="74">
        <f t="shared" si="155"/>
        <v>104</v>
      </c>
      <c r="CK58" s="74">
        <f t="shared" si="156"/>
        <v>109</v>
      </c>
      <c r="CL58" s="74">
        <f t="shared" si="157"/>
        <v>145</v>
      </c>
      <c r="CM58" s="74">
        <f t="shared" si="158"/>
        <v>153</v>
      </c>
      <c r="CN58" s="74">
        <f t="shared" si="159"/>
        <v>180</v>
      </c>
      <c r="CO58" s="74">
        <f t="shared" si="160"/>
        <v>201</v>
      </c>
      <c r="CP58" s="74">
        <f t="shared" si="161"/>
        <v>240</v>
      </c>
      <c r="CQ58" s="74">
        <f t="shared" si="162"/>
        <v>316</v>
      </c>
      <c r="CR58" s="74">
        <f t="shared" si="163"/>
        <v>345</v>
      </c>
      <c r="CS58" s="74">
        <f t="shared" si="164"/>
        <v>358</v>
      </c>
      <c r="CT58" s="23">
        <f t="shared" si="165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334"/>
        <v>adrb1_melga_3ZPQ</v>
      </c>
      <c r="B59" s="3" t="s">
        <v>912</v>
      </c>
      <c r="C59" s="3" t="s">
        <v>1038</v>
      </c>
      <c r="D59" s="3" t="str">
        <f>IFERROR(MID(VLOOKUP($B59,Seqs!$A:$B,2,0),E59,1),"")</f>
        <v>A</v>
      </c>
      <c r="E59" s="3">
        <v>33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I</v>
      </c>
      <c r="AM59" s="3">
        <v>238</v>
      </c>
      <c r="AN59" s="3" t="str">
        <f>IFERROR(MID(VLOOKUP($B59,Seqs!$A:$B,2,0),AO59,1),"")</f>
        <v>R</v>
      </c>
      <c r="AO59" s="3">
        <v>275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335"/>
        <v>1</v>
      </c>
      <c r="BC59" s="23">
        <f t="shared" si="140"/>
        <v>265</v>
      </c>
      <c r="BD59" s="4" t="s">
        <v>23</v>
      </c>
      <c r="BE59" s="3" t="s">
        <v>1381</v>
      </c>
      <c r="BF59" s="124">
        <v>2.8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41"/>
        <v>33</v>
      </c>
      <c r="BW59" s="73">
        <f t="shared" si="142"/>
        <v>70</v>
      </c>
      <c r="BX59" s="74">
        <f t="shared" si="143"/>
        <v>74</v>
      </c>
      <c r="BY59" s="73">
        <f t="shared" si="144"/>
        <v>106</v>
      </c>
      <c r="BZ59" s="74">
        <f t="shared" si="145"/>
        <v>110</v>
      </c>
      <c r="CA59" s="73">
        <f t="shared" si="146"/>
        <v>146</v>
      </c>
      <c r="CB59" s="74">
        <f t="shared" si="147"/>
        <v>154</v>
      </c>
      <c r="CC59" s="73">
        <f t="shared" si="148"/>
        <v>199</v>
      </c>
      <c r="CD59" s="74">
        <f t="shared" si="149"/>
        <v>204</v>
      </c>
      <c r="CE59" s="73">
        <f t="shared" si="150"/>
        <v>275</v>
      </c>
      <c r="CF59" s="74">
        <f t="shared" si="151"/>
        <v>321</v>
      </c>
      <c r="CG59" s="73">
        <f t="shared" si="152"/>
        <v>346</v>
      </c>
      <c r="CH59" s="72">
        <f t="shared" si="153"/>
        <v>69</v>
      </c>
      <c r="CI59" s="73">
        <f t="shared" si="154"/>
        <v>73</v>
      </c>
      <c r="CJ59" s="74">
        <f t="shared" si="155"/>
        <v>104</v>
      </c>
      <c r="CK59" s="74">
        <f t="shared" si="156"/>
        <v>109</v>
      </c>
      <c r="CL59" s="74">
        <f t="shared" si="157"/>
        <v>145</v>
      </c>
      <c r="CM59" s="74">
        <f t="shared" si="158"/>
        <v>153</v>
      </c>
      <c r="CN59" s="74">
        <f t="shared" si="159"/>
        <v>180</v>
      </c>
      <c r="CO59" s="74">
        <f t="shared" si="160"/>
        <v>201</v>
      </c>
      <c r="CP59" s="74">
        <f t="shared" si="161"/>
        <v>238</v>
      </c>
      <c r="CQ59" s="74">
        <f t="shared" si="162"/>
        <v>316</v>
      </c>
      <c r="CR59" s="74">
        <f t="shared" si="163"/>
        <v>345</v>
      </c>
      <c r="CS59" s="74">
        <f t="shared" si="164"/>
        <v>358</v>
      </c>
      <c r="CT59" s="23">
        <f t="shared" si="165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334"/>
        <v>adrb1_melga_3ZPR</v>
      </c>
      <c r="B60" s="3" t="s">
        <v>912</v>
      </c>
      <c r="C60" s="3" t="s">
        <v>1039</v>
      </c>
      <c r="D60" s="3" t="str">
        <f>IFERROR(MID(VLOOKUP($B60,Seqs!$A:$B,2,0),E60,1),"")</f>
        <v>A</v>
      </c>
      <c r="E60" s="3">
        <v>33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I</v>
      </c>
      <c r="AM60" s="3">
        <v>238</v>
      </c>
      <c r="AN60" s="3" t="str">
        <f>IFERROR(MID(VLOOKUP($B60,Seqs!$A:$B,2,0),AO60,1),"")</f>
        <v>R</v>
      </c>
      <c r="AO60" s="3">
        <v>275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C</v>
      </c>
      <c r="AY60" s="3">
        <v>358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335"/>
        <v>1</v>
      </c>
      <c r="BC60" s="23">
        <f t="shared" si="140"/>
        <v>265</v>
      </c>
      <c r="BD60" s="4" t="s">
        <v>23</v>
      </c>
      <c r="BE60" s="3" t="s">
        <v>1381</v>
      </c>
      <c r="BF60" s="124">
        <v>2.7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41"/>
        <v>33</v>
      </c>
      <c r="BW60" s="73">
        <f t="shared" si="142"/>
        <v>70</v>
      </c>
      <c r="BX60" s="74">
        <f t="shared" si="143"/>
        <v>74</v>
      </c>
      <c r="BY60" s="73">
        <f t="shared" si="144"/>
        <v>106</v>
      </c>
      <c r="BZ60" s="74">
        <f t="shared" si="145"/>
        <v>110</v>
      </c>
      <c r="CA60" s="73">
        <f t="shared" si="146"/>
        <v>146</v>
      </c>
      <c r="CB60" s="74">
        <f t="shared" si="147"/>
        <v>154</v>
      </c>
      <c r="CC60" s="73">
        <f t="shared" si="148"/>
        <v>199</v>
      </c>
      <c r="CD60" s="74">
        <f t="shared" si="149"/>
        <v>204</v>
      </c>
      <c r="CE60" s="73">
        <f t="shared" si="150"/>
        <v>275</v>
      </c>
      <c r="CF60" s="74">
        <f t="shared" si="151"/>
        <v>321</v>
      </c>
      <c r="CG60" s="73">
        <f t="shared" si="152"/>
        <v>346</v>
      </c>
      <c r="CH60" s="72">
        <f t="shared" si="153"/>
        <v>69</v>
      </c>
      <c r="CI60" s="73">
        <f t="shared" si="154"/>
        <v>73</v>
      </c>
      <c r="CJ60" s="74">
        <f t="shared" si="155"/>
        <v>104</v>
      </c>
      <c r="CK60" s="74">
        <f t="shared" si="156"/>
        <v>109</v>
      </c>
      <c r="CL60" s="74">
        <f t="shared" si="157"/>
        <v>145</v>
      </c>
      <c r="CM60" s="74">
        <f t="shared" si="158"/>
        <v>153</v>
      </c>
      <c r="CN60" s="74">
        <f t="shared" si="159"/>
        <v>180</v>
      </c>
      <c r="CO60" s="74">
        <f t="shared" si="160"/>
        <v>201</v>
      </c>
      <c r="CP60" s="74">
        <f t="shared" si="161"/>
        <v>238</v>
      </c>
      <c r="CQ60" s="74">
        <f t="shared" si="162"/>
        <v>316</v>
      </c>
      <c r="CR60" s="74">
        <f t="shared" si="163"/>
        <v>345</v>
      </c>
      <c r="CS60" s="74">
        <f t="shared" si="164"/>
        <v>358</v>
      </c>
      <c r="CT60" s="23">
        <f t="shared" si="165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34"/>
        <v>adrb1_melga_4AMI</v>
      </c>
      <c r="B61" s="3" t="s">
        <v>912</v>
      </c>
      <c r="C61" s="3" t="s">
        <v>1040</v>
      </c>
      <c r="D61" s="3" t="str">
        <f>IFERROR(MID(VLOOKUP($B61,Seqs!$A:$B,2,0),E61,1),"")</f>
        <v>A</v>
      </c>
      <c r="E61" s="3">
        <v>33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E</v>
      </c>
      <c r="AM61" s="3">
        <v>236</v>
      </c>
      <c r="AN61" s="3" t="str">
        <f>IFERROR(MID(VLOOKUP($B61,Seqs!$A:$B,2,0),AO61,1),"")</f>
        <v>A</v>
      </c>
      <c r="AO61" s="3">
        <v>288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335"/>
        <v>1</v>
      </c>
      <c r="BC61" s="23">
        <f t="shared" si="140"/>
        <v>250</v>
      </c>
      <c r="BD61" s="4" t="s">
        <v>23</v>
      </c>
      <c r="BE61" s="3" t="s">
        <v>1381</v>
      </c>
      <c r="BF61" s="124">
        <v>3.2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41"/>
        <v>33</v>
      </c>
      <c r="BW61" s="73">
        <f t="shared" si="142"/>
        <v>70</v>
      </c>
      <c r="BX61" s="74">
        <f t="shared" si="143"/>
        <v>74</v>
      </c>
      <c r="BY61" s="73">
        <f t="shared" si="144"/>
        <v>106</v>
      </c>
      <c r="BZ61" s="74">
        <f t="shared" si="145"/>
        <v>110</v>
      </c>
      <c r="CA61" s="73">
        <f t="shared" si="146"/>
        <v>146</v>
      </c>
      <c r="CB61" s="74">
        <f t="shared" si="147"/>
        <v>154</v>
      </c>
      <c r="CC61" s="73">
        <f t="shared" si="148"/>
        <v>199</v>
      </c>
      <c r="CD61" s="74">
        <f t="shared" si="149"/>
        <v>204</v>
      </c>
      <c r="CE61" s="73">
        <f t="shared" si="150"/>
        <v>288</v>
      </c>
      <c r="CF61" s="74">
        <f t="shared" si="151"/>
        <v>321</v>
      </c>
      <c r="CG61" s="73">
        <f t="shared" si="152"/>
        <v>346</v>
      </c>
      <c r="CH61" s="72">
        <f t="shared" si="153"/>
        <v>69</v>
      </c>
      <c r="CI61" s="73">
        <f t="shared" si="154"/>
        <v>73</v>
      </c>
      <c r="CJ61" s="74">
        <f t="shared" si="155"/>
        <v>104</v>
      </c>
      <c r="CK61" s="74">
        <f t="shared" si="156"/>
        <v>109</v>
      </c>
      <c r="CL61" s="74">
        <f t="shared" si="157"/>
        <v>145</v>
      </c>
      <c r="CM61" s="74">
        <f t="shared" si="158"/>
        <v>153</v>
      </c>
      <c r="CN61" s="74">
        <f t="shared" si="159"/>
        <v>180</v>
      </c>
      <c r="CO61" s="74">
        <f t="shared" si="160"/>
        <v>201</v>
      </c>
      <c r="CP61" s="74">
        <f t="shared" si="161"/>
        <v>236</v>
      </c>
      <c r="CQ61" s="74">
        <f t="shared" si="162"/>
        <v>316</v>
      </c>
      <c r="CR61" s="74">
        <f t="shared" si="163"/>
        <v>345</v>
      </c>
      <c r="CS61" s="74">
        <f t="shared" si="164"/>
        <v>358</v>
      </c>
      <c r="CT61" s="23">
        <f t="shared" si="165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34"/>
        <v>adrb1_melga_4AMJ</v>
      </c>
      <c r="B62" s="3" t="s">
        <v>912</v>
      </c>
      <c r="C62" s="3" t="s">
        <v>1041</v>
      </c>
      <c r="D62" s="3" t="str">
        <f>IFERROR(MID(VLOOKUP($B62,Seqs!$A:$B,2,0),E62,1),"")</f>
        <v>A</v>
      </c>
      <c r="E62" s="3">
        <v>33</v>
      </c>
      <c r="F62" s="3" t="str">
        <f>IFERROR(MID(VLOOKUP($B62,Seqs!$A:$B,2,0),G62,1),"")</f>
        <v>T</v>
      </c>
      <c r="G62" s="3">
        <v>69</v>
      </c>
      <c r="H62" s="3" t="str">
        <f>IFERROR(MID(VLOOKUP($B62,Seqs!$A:$B,2,0),I62,1),"")</f>
        <v>Q</v>
      </c>
      <c r="I62" s="23">
        <v>70</v>
      </c>
      <c r="J62" s="3" t="str">
        <f>IFERROR(MID(VLOOKUP($B62,Seqs!$A:$B,2,0),K62,1),"")</f>
        <v>Q</v>
      </c>
      <c r="K62" s="23">
        <v>73</v>
      </c>
      <c r="L62" s="3" t="str">
        <f>IFERROR(MID(VLOOKUP($B62,Seqs!$A:$B,2,0),M62,1),"")</f>
        <v>T</v>
      </c>
      <c r="M62" s="3">
        <v>74</v>
      </c>
      <c r="N62" s="3" t="str">
        <f>IFERROR(MID(VLOOKUP($B62,Seqs!$A:$B,2,0),O62,1),"")</f>
        <v>R</v>
      </c>
      <c r="O62" s="3">
        <v>104</v>
      </c>
      <c r="P62" s="3" t="str">
        <f>IFERROR(MID(VLOOKUP($B62,Seqs!$A:$B,2,0),Q62,1),"")</f>
        <v>T</v>
      </c>
      <c r="Q62" s="3">
        <v>106</v>
      </c>
      <c r="R62" s="3" t="str">
        <f>IFERROR(MID(VLOOKUP($B62,Seqs!$A:$B,2,0),S62,1),"")</f>
        <v>W</v>
      </c>
      <c r="S62" s="3">
        <v>109</v>
      </c>
      <c r="T62" s="3" t="str">
        <f>IFERROR(MID(VLOOKUP($B62,Seqs!$A:$B,2,0),U62,1),"")</f>
        <v>G</v>
      </c>
      <c r="U62" s="3">
        <v>110</v>
      </c>
      <c r="V62" s="3" t="str">
        <f>IFERROR(MID(VLOOKUP($B62,Seqs!$A:$B,2,0),W62,1),"")</f>
        <v>S</v>
      </c>
      <c r="W62" s="3">
        <v>145</v>
      </c>
      <c r="X62" s="3" t="str">
        <f>IFERROR(MID(VLOOKUP($B62,Seqs!$A:$B,2,0),Y62,1),"")</f>
        <v>P</v>
      </c>
      <c r="Y62" s="3">
        <v>146</v>
      </c>
      <c r="Z62" s="3" t="str">
        <f>IFERROR(MID(VLOOKUP($B62,Seqs!$A:$B,2,0),AA62,1),"")</f>
        <v>M</v>
      </c>
      <c r="AA62" s="3">
        <v>153</v>
      </c>
      <c r="AB62" s="3" t="str">
        <f>IFERROR(MID(VLOOKUP($B62,Seqs!$A:$B,2,0),AC62,1),"")</f>
        <v>T</v>
      </c>
      <c r="AC62" s="9">
        <v>154</v>
      </c>
      <c r="AD62" s="3" t="str">
        <f>IFERROR(MID(VLOOKUP($B62,Seqs!$A:$B,2,0),AE62,1),"")</f>
        <v>H</v>
      </c>
      <c r="AE62" s="3">
        <v>180</v>
      </c>
      <c r="AF62" s="3" t="str">
        <f>IFERROR(MID(VLOOKUP($B62,Seqs!$A:$B,2,0),AG62,1),"")</f>
        <v>C</v>
      </c>
      <c r="AG62" s="3">
        <v>199</v>
      </c>
      <c r="AH62" s="3" t="str">
        <f>IFERROR(MID(VLOOKUP($B62,Seqs!$A:$B,2,0),AI62,1),"")</f>
        <v>F</v>
      </c>
      <c r="AI62" s="3">
        <v>201</v>
      </c>
      <c r="AJ62" s="3" t="str">
        <f>IFERROR(MID(VLOOKUP($B62,Seqs!$A:$B,2,0),AK62,1),"")</f>
        <v>N</v>
      </c>
      <c r="AK62" s="3">
        <v>204</v>
      </c>
      <c r="AL62" s="3" t="str">
        <f>IFERROR(MID(VLOOKUP($B62,Seqs!$A:$B,2,0),AM62,1),"")</f>
        <v>I</v>
      </c>
      <c r="AM62" s="3">
        <v>238</v>
      </c>
      <c r="AN62" s="3" t="str">
        <f>IFERROR(MID(VLOOKUP($B62,Seqs!$A:$B,2,0),AO62,1),"")</f>
        <v>R</v>
      </c>
      <c r="AO62" s="3">
        <v>275</v>
      </c>
      <c r="AP62" s="3" t="str">
        <f>IFERROR(MID(VLOOKUP($B62,Seqs!$A:$B,2,0),AQ62,1),"")</f>
        <v>N</v>
      </c>
      <c r="AQ62" s="3">
        <v>316</v>
      </c>
      <c r="AR62" s="3" t="str">
        <f>IFERROR(MID(VLOOKUP($B62,Seqs!$A:$B,2,0),AS62,1),"")</f>
        <v>P</v>
      </c>
      <c r="AS62" s="3">
        <v>321</v>
      </c>
      <c r="AT62" s="3" t="str">
        <f>IFERROR(MID(VLOOKUP($B62,Seqs!$A:$B,2,0),AU62,1),"")</f>
        <v>R</v>
      </c>
      <c r="AU62" s="3">
        <v>345</v>
      </c>
      <c r="AV62" s="3" t="str">
        <f>IFERROR(MID(VLOOKUP($B62,Seqs!$A:$B,2,0),AW62,1),"")</f>
        <v>S</v>
      </c>
      <c r="AW62" s="3">
        <v>346</v>
      </c>
      <c r="AX62" s="3" t="str">
        <f>IFERROR(MID(VLOOKUP($B62,Seqs!$A:$B,2,0),AY62,1),"")</f>
        <v>C</v>
      </c>
      <c r="AY62" s="3">
        <v>358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335"/>
        <v>1</v>
      </c>
      <c r="BC62" s="23">
        <f t="shared" si="140"/>
        <v>265</v>
      </c>
      <c r="BD62" s="2" t="s">
        <v>1383</v>
      </c>
      <c r="BE62" s="3" t="s">
        <v>1381</v>
      </c>
      <c r="BF62" s="124">
        <v>2.2999999999999998</v>
      </c>
      <c r="BG62" s="50" t="s">
        <v>1384</v>
      </c>
      <c r="BH62" s="50" t="s">
        <v>1384</v>
      </c>
      <c r="BI62" s="1"/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41"/>
        <v>33</v>
      </c>
      <c r="BW62" s="73">
        <f t="shared" si="142"/>
        <v>70</v>
      </c>
      <c r="BX62" s="74">
        <f t="shared" si="143"/>
        <v>74</v>
      </c>
      <c r="BY62" s="73">
        <f t="shared" si="144"/>
        <v>106</v>
      </c>
      <c r="BZ62" s="74">
        <f t="shared" si="145"/>
        <v>110</v>
      </c>
      <c r="CA62" s="73">
        <f t="shared" si="146"/>
        <v>146</v>
      </c>
      <c r="CB62" s="74">
        <f t="shared" si="147"/>
        <v>154</v>
      </c>
      <c r="CC62" s="73">
        <f t="shared" si="148"/>
        <v>199</v>
      </c>
      <c r="CD62" s="74">
        <f t="shared" si="149"/>
        <v>204</v>
      </c>
      <c r="CE62" s="73">
        <f t="shared" si="150"/>
        <v>275</v>
      </c>
      <c r="CF62" s="74">
        <f t="shared" si="151"/>
        <v>321</v>
      </c>
      <c r="CG62" s="73">
        <f t="shared" si="152"/>
        <v>346</v>
      </c>
      <c r="CH62" s="72">
        <f t="shared" si="153"/>
        <v>69</v>
      </c>
      <c r="CI62" s="73">
        <f t="shared" si="154"/>
        <v>73</v>
      </c>
      <c r="CJ62" s="74">
        <f t="shared" si="155"/>
        <v>104</v>
      </c>
      <c r="CK62" s="74">
        <f t="shared" si="156"/>
        <v>109</v>
      </c>
      <c r="CL62" s="74">
        <f t="shared" si="157"/>
        <v>145</v>
      </c>
      <c r="CM62" s="74">
        <f t="shared" si="158"/>
        <v>153</v>
      </c>
      <c r="CN62" s="74">
        <f t="shared" si="159"/>
        <v>180</v>
      </c>
      <c r="CO62" s="74">
        <f t="shared" si="160"/>
        <v>201</v>
      </c>
      <c r="CP62" s="74">
        <f t="shared" si="161"/>
        <v>238</v>
      </c>
      <c r="CQ62" s="74">
        <f t="shared" si="162"/>
        <v>316</v>
      </c>
      <c r="CR62" s="74">
        <f t="shared" si="163"/>
        <v>345</v>
      </c>
      <c r="CS62" s="74">
        <f t="shared" si="164"/>
        <v>358</v>
      </c>
      <c r="CT62" s="23">
        <f t="shared" si="165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34"/>
        <v>adrb1_melga_4BVN</v>
      </c>
      <c r="B63" s="3" t="s">
        <v>912</v>
      </c>
      <c r="C63" s="3" t="s">
        <v>82</v>
      </c>
      <c r="D63" s="3" t="str">
        <f>IFERROR(MID(VLOOKUP($B63,Seqs!$A:$B,2,0),E63,1),"")</f>
        <v>S</v>
      </c>
      <c r="E63" s="3">
        <v>37</v>
      </c>
      <c r="F63" s="3" t="str">
        <f>IFERROR(MID(VLOOKUP($B63,Seqs!$A:$B,2,0),G63,1),"")</f>
        <v>T</v>
      </c>
      <c r="G63" s="3">
        <v>69</v>
      </c>
      <c r="H63" s="3" t="str">
        <f>IFERROR(MID(VLOOKUP($B63,Seqs!$A:$B,2,0),I63,1),"")</f>
        <v>Q</v>
      </c>
      <c r="I63" s="23">
        <v>70</v>
      </c>
      <c r="J63" s="3" t="str">
        <f>IFERROR(MID(VLOOKUP($B63,Seqs!$A:$B,2,0),K63,1),"")</f>
        <v>Q</v>
      </c>
      <c r="K63" s="23">
        <v>73</v>
      </c>
      <c r="L63" s="3" t="str">
        <f>IFERROR(MID(VLOOKUP($B63,Seqs!$A:$B,2,0),M63,1),"")</f>
        <v>T</v>
      </c>
      <c r="M63" s="3">
        <v>74</v>
      </c>
      <c r="N63" s="3" t="str">
        <f>IFERROR(MID(VLOOKUP($B63,Seqs!$A:$B,2,0),O63,1),"")</f>
        <v>R</v>
      </c>
      <c r="O63" s="3">
        <v>104</v>
      </c>
      <c r="P63" s="3" t="str">
        <f>IFERROR(MID(VLOOKUP($B63,Seqs!$A:$B,2,0),Q63,1),"")</f>
        <v>T</v>
      </c>
      <c r="Q63" s="3">
        <v>106</v>
      </c>
      <c r="R63" s="3" t="str">
        <f>IFERROR(MID(VLOOKUP($B63,Seqs!$A:$B,2,0),S63,1),"")</f>
        <v>W</v>
      </c>
      <c r="S63" s="3">
        <v>109</v>
      </c>
      <c r="T63" s="3" t="str">
        <f>IFERROR(MID(VLOOKUP($B63,Seqs!$A:$B,2,0),U63,1),"")</f>
        <v>G</v>
      </c>
      <c r="U63" s="3">
        <v>110</v>
      </c>
      <c r="V63" s="3" t="str">
        <f>IFERROR(MID(VLOOKUP($B63,Seqs!$A:$B,2,0),W63,1),"")</f>
        <v>S</v>
      </c>
      <c r="W63" s="3">
        <v>145</v>
      </c>
      <c r="X63" s="3" t="str">
        <f>IFERROR(MID(VLOOKUP($B63,Seqs!$A:$B,2,0),Y63,1),"")</f>
        <v>P</v>
      </c>
      <c r="Y63" s="3">
        <v>146</v>
      </c>
      <c r="Z63" s="3" t="str">
        <f>IFERROR(MID(VLOOKUP($B63,Seqs!$A:$B,2,0),AA63,1),"")</f>
        <v>M</v>
      </c>
      <c r="AA63" s="3">
        <v>153</v>
      </c>
      <c r="AB63" s="3" t="str">
        <f>IFERROR(MID(VLOOKUP($B63,Seqs!$A:$B,2,0),AC63,1),"")</f>
        <v>T</v>
      </c>
      <c r="AC63" s="9">
        <v>154</v>
      </c>
      <c r="AD63" s="3" t="str">
        <f>IFERROR(MID(VLOOKUP($B63,Seqs!$A:$B,2,0),AE63,1),"")</f>
        <v>H</v>
      </c>
      <c r="AE63" s="3">
        <v>180</v>
      </c>
      <c r="AF63" s="3" t="str">
        <f>IFERROR(MID(VLOOKUP($B63,Seqs!$A:$B,2,0),AG63,1),"")</f>
        <v>C</v>
      </c>
      <c r="AG63" s="3">
        <v>199</v>
      </c>
      <c r="AH63" s="3" t="str">
        <f>IFERROR(MID(VLOOKUP($B63,Seqs!$A:$B,2,0),AI63,1),"")</f>
        <v>F</v>
      </c>
      <c r="AI63" s="3">
        <v>201</v>
      </c>
      <c r="AJ63" s="3" t="str">
        <f>IFERROR(MID(VLOOKUP($B63,Seqs!$A:$B,2,0),AK63,1),"")</f>
        <v>N</v>
      </c>
      <c r="AK63" s="3">
        <v>204</v>
      </c>
      <c r="AL63" s="3" t="str">
        <f>IFERROR(MID(VLOOKUP($B63,Seqs!$A:$B,2,0),AM63,1),"")</f>
        <v>R</v>
      </c>
      <c r="AM63" s="3">
        <v>239</v>
      </c>
      <c r="AN63" s="3" t="str">
        <f>IFERROR(MID(VLOOKUP($B63,Seqs!$A:$B,2,0),AO63,1),"")</f>
        <v>R</v>
      </c>
      <c r="AO63" s="3">
        <v>279</v>
      </c>
      <c r="AP63" s="3" t="str">
        <f>IFERROR(MID(VLOOKUP($B63,Seqs!$A:$B,2,0),AQ63,1),"")</f>
        <v>N</v>
      </c>
      <c r="AQ63" s="3">
        <v>316</v>
      </c>
      <c r="AR63" s="3" t="str">
        <f>IFERROR(MID(VLOOKUP($B63,Seqs!$A:$B,2,0),AS63,1),"")</f>
        <v>P</v>
      </c>
      <c r="AS63" s="3">
        <v>321</v>
      </c>
      <c r="AT63" s="3" t="str">
        <f>IFERROR(MID(VLOOKUP($B63,Seqs!$A:$B,2,0),AU63,1),"")</f>
        <v>R</v>
      </c>
      <c r="AU63" s="3">
        <v>345</v>
      </c>
      <c r="AV63" s="3" t="str">
        <f>IFERROR(MID(VLOOKUP($B63,Seqs!$A:$B,2,0),AW63,1),"")</f>
        <v>S</v>
      </c>
      <c r="AW63" s="3">
        <v>346</v>
      </c>
      <c r="AX63" s="3" t="str">
        <f>IFERROR(MID(VLOOKUP($B63,Seqs!$A:$B,2,0),AY63,1),"")</f>
        <v>C</v>
      </c>
      <c r="AY63" s="3">
        <v>358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335"/>
        <v>1</v>
      </c>
      <c r="BC63" s="23">
        <f t="shared" ref="BC63:BC103" si="336">_xlfn.AGGREGATE(9,6,CH63:CS63)-_xlfn.AGGREGATE(9,6,BV63:CG63)+12</f>
        <v>258</v>
      </c>
      <c r="BD63" s="4" t="s">
        <v>23</v>
      </c>
      <c r="BE63" s="3" t="s">
        <v>1381</v>
      </c>
      <c r="BF63" s="124">
        <v>2.1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ref="BV63:BV103" si="337">E63</f>
        <v>37</v>
      </c>
      <c r="BW63" s="73">
        <f t="shared" ref="BW63:BW103" si="338">I63</f>
        <v>70</v>
      </c>
      <c r="BX63" s="74">
        <f t="shared" ref="BX63:BX103" si="339">M63</f>
        <v>74</v>
      </c>
      <c r="BY63" s="73">
        <f t="shared" ref="BY63:BY103" si="340">Q63</f>
        <v>106</v>
      </c>
      <c r="BZ63" s="74">
        <f t="shared" ref="BZ63:BZ103" si="341">U63</f>
        <v>110</v>
      </c>
      <c r="CA63" s="73">
        <f t="shared" ref="CA63:CA103" si="342">Y63</f>
        <v>146</v>
      </c>
      <c r="CB63" s="74">
        <f t="shared" ref="CB63:CB103" si="343">AC63</f>
        <v>154</v>
      </c>
      <c r="CC63" s="73">
        <f t="shared" ref="CC63:CC103" si="344">AG63</f>
        <v>199</v>
      </c>
      <c r="CD63" s="74">
        <f t="shared" ref="CD63:CD103" si="345">AK63</f>
        <v>204</v>
      </c>
      <c r="CE63" s="73">
        <f t="shared" ref="CE63:CE103" si="346">AO63</f>
        <v>279</v>
      </c>
      <c r="CF63" s="74">
        <f t="shared" ref="CF63:CF103" si="347">AS63</f>
        <v>321</v>
      </c>
      <c r="CG63" s="73">
        <f t="shared" ref="CG63:CG103" si="348">AW63</f>
        <v>346</v>
      </c>
      <c r="CH63" s="72">
        <f t="shared" ref="CH63:CH103" si="349">G63</f>
        <v>69</v>
      </c>
      <c r="CI63" s="73">
        <f t="shared" ref="CI63:CI103" si="350">K63</f>
        <v>73</v>
      </c>
      <c r="CJ63" s="74">
        <f t="shared" ref="CJ63:CJ103" si="351">O63</f>
        <v>104</v>
      </c>
      <c r="CK63" s="74">
        <f t="shared" ref="CK63:CK103" si="352">S63</f>
        <v>109</v>
      </c>
      <c r="CL63" s="74">
        <f t="shared" ref="CL63:CL103" si="353">W63</f>
        <v>145</v>
      </c>
      <c r="CM63" s="74">
        <f t="shared" ref="CM63:CM103" si="354">AA63</f>
        <v>153</v>
      </c>
      <c r="CN63" s="74">
        <f t="shared" ref="CN63:CN103" si="355">AE63</f>
        <v>180</v>
      </c>
      <c r="CO63" s="74">
        <f t="shared" ref="CO63:CO103" si="356">AI63</f>
        <v>201</v>
      </c>
      <c r="CP63" s="74">
        <f t="shared" ref="CP63:CP103" si="357">AM63</f>
        <v>239</v>
      </c>
      <c r="CQ63" s="74">
        <f t="shared" ref="CQ63:CQ103" si="358">AQ63</f>
        <v>316</v>
      </c>
      <c r="CR63" s="74">
        <f t="shared" ref="CR63:CR103" si="359">AU63</f>
        <v>345</v>
      </c>
      <c r="CS63" s="74">
        <f t="shared" ref="CS63:CS103" si="360">AY63</f>
        <v>358</v>
      </c>
      <c r="CT63" s="23">
        <f t="shared" ref="CT63:CT103" si="361">M63-K63</f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34"/>
        <v>adrb1_melga_4GPO</v>
      </c>
      <c r="B64" s="3" t="s">
        <v>912</v>
      </c>
      <c r="C64" s="3" t="s">
        <v>1042</v>
      </c>
      <c r="D64" s="3" t="str">
        <f>IFERROR(MID(VLOOKUP($B64,Seqs!$A:$B,2,0),E64,1),"")</f>
        <v>S</v>
      </c>
      <c r="E64" s="3">
        <v>37</v>
      </c>
      <c r="F64" s="3" t="str">
        <f>IFERROR(MID(VLOOKUP($B64,Seqs!$A:$B,2,0),G64,1),"")</f>
        <v>T</v>
      </c>
      <c r="G64" s="3">
        <v>69</v>
      </c>
      <c r="H64" s="3" t="str">
        <f>IFERROR(MID(VLOOKUP($B64,Seqs!$A:$B,2,0),I64,1),"")</f>
        <v>Q</v>
      </c>
      <c r="I64" s="23">
        <v>70</v>
      </c>
      <c r="J64" s="3" t="str">
        <f>IFERROR(MID(VLOOKUP($B64,Seqs!$A:$B,2,0),K64,1),"")</f>
        <v>Q</v>
      </c>
      <c r="K64" s="23">
        <v>73</v>
      </c>
      <c r="L64" s="3" t="str">
        <f>IFERROR(MID(VLOOKUP($B64,Seqs!$A:$B,2,0),M64,1),"")</f>
        <v>T</v>
      </c>
      <c r="M64" s="3">
        <v>74</v>
      </c>
      <c r="N64" s="3" t="str">
        <f>IFERROR(MID(VLOOKUP($B64,Seqs!$A:$B,2,0),O64,1),"")</f>
        <v>R</v>
      </c>
      <c r="O64" s="3">
        <v>104</v>
      </c>
      <c r="P64" s="3" t="str">
        <f>IFERROR(MID(VLOOKUP($B64,Seqs!$A:$B,2,0),Q64,1),"")</f>
        <v>T</v>
      </c>
      <c r="Q64" s="3">
        <v>106</v>
      </c>
      <c r="R64" s="3" t="str">
        <f>IFERROR(MID(VLOOKUP($B64,Seqs!$A:$B,2,0),S64,1),"")</f>
        <v>W</v>
      </c>
      <c r="S64" s="3">
        <v>109</v>
      </c>
      <c r="T64" s="3" t="str">
        <f>IFERROR(MID(VLOOKUP($B64,Seqs!$A:$B,2,0),U64,1),"")</f>
        <v>G</v>
      </c>
      <c r="U64" s="3">
        <v>110</v>
      </c>
      <c r="V64" s="3" t="str">
        <f>IFERROR(MID(VLOOKUP($B64,Seqs!$A:$B,2,0),W64,1),"")</f>
        <v>S</v>
      </c>
      <c r="W64" s="3">
        <v>145</v>
      </c>
      <c r="X64" s="3" t="str">
        <f>IFERROR(MID(VLOOKUP($B64,Seqs!$A:$B,2,0),Y64,1),"")</f>
        <v>P</v>
      </c>
      <c r="Y64" s="3">
        <v>146</v>
      </c>
      <c r="Z64" s="3" t="str">
        <f>IFERROR(MID(VLOOKUP($B64,Seqs!$A:$B,2,0),AA64,1),"")</f>
        <v>M</v>
      </c>
      <c r="AA64" s="3">
        <v>153</v>
      </c>
      <c r="AB64" s="3" t="str">
        <f>IFERROR(MID(VLOOKUP($B64,Seqs!$A:$B,2,0),AC64,1),"")</f>
        <v>T</v>
      </c>
      <c r="AC64" s="9">
        <v>154</v>
      </c>
      <c r="AD64" s="3" t="str">
        <f>IFERROR(MID(VLOOKUP($B64,Seqs!$A:$B,2,0),AE64,1),"")</f>
        <v>H</v>
      </c>
      <c r="AE64" s="3">
        <v>180</v>
      </c>
      <c r="AF64" s="3" t="str">
        <f>IFERROR(MID(VLOOKUP($B64,Seqs!$A:$B,2,0),AG64,1),"")</f>
        <v>C</v>
      </c>
      <c r="AG64" s="3">
        <v>199</v>
      </c>
      <c r="AH64" s="3" t="str">
        <f>IFERROR(MID(VLOOKUP($B64,Seqs!$A:$B,2,0),AI64,1),"")</f>
        <v>F</v>
      </c>
      <c r="AI64" s="3">
        <v>201</v>
      </c>
      <c r="AJ64" s="3" t="str">
        <f>IFERROR(MID(VLOOKUP($B64,Seqs!$A:$B,2,0),AK64,1),"")</f>
        <v>N</v>
      </c>
      <c r="AK64" s="3">
        <v>204</v>
      </c>
      <c r="AL64" s="3" t="str">
        <f>IFERROR(MID(VLOOKUP($B64,Seqs!$A:$B,2,0),AM64,1),"")</f>
        <v>E</v>
      </c>
      <c r="AM64" s="3">
        <v>233</v>
      </c>
      <c r="AN64" s="3" t="str">
        <f>IFERROR(MID(VLOOKUP($B64,Seqs!$A:$B,2,0),AO64,1),"")</f>
        <v>M</v>
      </c>
      <c r="AO64" s="3">
        <v>283</v>
      </c>
      <c r="AP64" s="3" t="str">
        <f>IFERROR(MID(VLOOKUP($B64,Seqs!$A:$B,2,0),AQ64,1),"")</f>
        <v>N</v>
      </c>
      <c r="AQ64" s="3">
        <v>316</v>
      </c>
      <c r="AR64" s="3" t="str">
        <f>IFERROR(MID(VLOOKUP($B64,Seqs!$A:$B,2,0),AS64,1),"")</f>
        <v>P</v>
      </c>
      <c r="AS64" s="3">
        <v>321</v>
      </c>
      <c r="AT64" s="3" t="str">
        <f>IFERROR(MID(VLOOKUP($B64,Seqs!$A:$B,2,0),AU64,1),"")</f>
        <v>R</v>
      </c>
      <c r="AU64" s="3">
        <v>345</v>
      </c>
      <c r="AV64" s="3" t="str">
        <f>IFERROR(MID(VLOOKUP($B64,Seqs!$A:$B,2,0),AW64,1),"")</f>
        <v>S</v>
      </c>
      <c r="AW64" s="3">
        <v>346</v>
      </c>
      <c r="AX64" s="3" t="str">
        <f>IFERROR(MID(VLOOKUP($B64,Seqs!$A:$B,2,0),AY64,1),"")</f>
        <v>L</v>
      </c>
      <c r="AY64" s="3">
        <v>356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335"/>
        <v>1</v>
      </c>
      <c r="BC64" s="23">
        <f t="shared" si="336"/>
        <v>246</v>
      </c>
      <c r="BD64" s="4" t="s">
        <v>23</v>
      </c>
      <c r="BE64" s="3" t="s">
        <v>1381</v>
      </c>
      <c r="BF64" s="124">
        <v>3.5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337"/>
        <v>37</v>
      </c>
      <c r="BW64" s="73">
        <f t="shared" si="338"/>
        <v>70</v>
      </c>
      <c r="BX64" s="74">
        <f t="shared" si="339"/>
        <v>74</v>
      </c>
      <c r="BY64" s="73">
        <f t="shared" si="340"/>
        <v>106</v>
      </c>
      <c r="BZ64" s="74">
        <f t="shared" si="341"/>
        <v>110</v>
      </c>
      <c r="CA64" s="73">
        <f t="shared" si="342"/>
        <v>146</v>
      </c>
      <c r="CB64" s="74">
        <f t="shared" si="343"/>
        <v>154</v>
      </c>
      <c r="CC64" s="73">
        <f t="shared" si="344"/>
        <v>199</v>
      </c>
      <c r="CD64" s="74">
        <f t="shared" si="345"/>
        <v>204</v>
      </c>
      <c r="CE64" s="73">
        <f t="shared" si="346"/>
        <v>283</v>
      </c>
      <c r="CF64" s="74">
        <f t="shared" si="347"/>
        <v>321</v>
      </c>
      <c r="CG64" s="73">
        <f t="shared" si="348"/>
        <v>346</v>
      </c>
      <c r="CH64" s="72">
        <f t="shared" si="349"/>
        <v>69</v>
      </c>
      <c r="CI64" s="73">
        <f t="shared" si="350"/>
        <v>73</v>
      </c>
      <c r="CJ64" s="74">
        <f t="shared" si="351"/>
        <v>104</v>
      </c>
      <c r="CK64" s="74">
        <f t="shared" si="352"/>
        <v>109</v>
      </c>
      <c r="CL64" s="74">
        <f t="shared" si="353"/>
        <v>145</v>
      </c>
      <c r="CM64" s="74">
        <f t="shared" si="354"/>
        <v>153</v>
      </c>
      <c r="CN64" s="74">
        <f t="shared" si="355"/>
        <v>180</v>
      </c>
      <c r="CO64" s="74">
        <f t="shared" si="356"/>
        <v>201</v>
      </c>
      <c r="CP64" s="74">
        <f t="shared" si="357"/>
        <v>233</v>
      </c>
      <c r="CQ64" s="74">
        <f t="shared" si="358"/>
        <v>316</v>
      </c>
      <c r="CR64" s="74">
        <f t="shared" si="359"/>
        <v>345</v>
      </c>
      <c r="CS64" s="74">
        <f t="shared" si="360"/>
        <v>356</v>
      </c>
      <c r="CT64" s="23">
        <f t="shared" si="361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34"/>
        <v>adrb1_melga_5A8E</v>
      </c>
      <c r="B65" s="3" t="s">
        <v>912</v>
      </c>
      <c r="C65" s="3" t="s">
        <v>1059</v>
      </c>
      <c r="D65" s="3" t="str">
        <f>IFERROR(MID(VLOOKUP($B65,Seqs!$A:$B,2,0),E65,1),"")</f>
        <v>S</v>
      </c>
      <c r="E65" s="3">
        <v>37</v>
      </c>
      <c r="F65" s="3" t="str">
        <f>IFERROR(MID(VLOOKUP($B65,Seqs!$A:$B,2,0),G65,1),"")</f>
        <v>T</v>
      </c>
      <c r="G65" s="3">
        <v>69</v>
      </c>
      <c r="H65" s="3" t="str">
        <f>IFERROR(MID(VLOOKUP($B65,Seqs!$A:$B,2,0),I65,1),"")</f>
        <v>Q</v>
      </c>
      <c r="I65" s="23">
        <v>70</v>
      </c>
      <c r="J65" s="3" t="str">
        <f>IFERROR(MID(VLOOKUP($B65,Seqs!$A:$B,2,0),K65,1),"")</f>
        <v>Q</v>
      </c>
      <c r="K65" s="23">
        <v>73</v>
      </c>
      <c r="L65" s="3" t="str">
        <f>IFERROR(MID(VLOOKUP($B65,Seqs!$A:$B,2,0),M65,1),"")</f>
        <v>T</v>
      </c>
      <c r="M65" s="3">
        <v>74</v>
      </c>
      <c r="N65" s="3" t="str">
        <f>IFERROR(MID(VLOOKUP($B65,Seqs!$A:$B,2,0),O65,1),"")</f>
        <v>R</v>
      </c>
      <c r="O65" s="3">
        <v>104</v>
      </c>
      <c r="P65" s="3" t="str">
        <f>IFERROR(MID(VLOOKUP($B65,Seqs!$A:$B,2,0),Q65,1),"")</f>
        <v>T</v>
      </c>
      <c r="Q65" s="3">
        <v>106</v>
      </c>
      <c r="R65" s="3" t="str">
        <f>IFERROR(MID(VLOOKUP($B65,Seqs!$A:$B,2,0),S65,1),"")</f>
        <v>W</v>
      </c>
      <c r="S65" s="3">
        <v>109</v>
      </c>
      <c r="T65" s="3" t="str">
        <f>IFERROR(MID(VLOOKUP($B65,Seqs!$A:$B,2,0),U65,1),"")</f>
        <v>G</v>
      </c>
      <c r="U65" s="3">
        <v>110</v>
      </c>
      <c r="V65" s="3" t="str">
        <f>IFERROR(MID(VLOOKUP($B65,Seqs!$A:$B,2,0),W65,1),"")</f>
        <v>S</v>
      </c>
      <c r="W65" s="3">
        <v>145</v>
      </c>
      <c r="X65" s="3" t="str">
        <f>IFERROR(MID(VLOOKUP($B65,Seqs!$A:$B,2,0),Y65,1),"")</f>
        <v>P</v>
      </c>
      <c r="Y65" s="3">
        <v>146</v>
      </c>
      <c r="Z65" s="3" t="str">
        <f>IFERROR(MID(VLOOKUP($B65,Seqs!$A:$B,2,0),AA65,1),"")</f>
        <v>M</v>
      </c>
      <c r="AA65" s="3">
        <v>153</v>
      </c>
      <c r="AB65" s="3" t="str">
        <f>IFERROR(MID(VLOOKUP($B65,Seqs!$A:$B,2,0),AC65,1),"")</f>
        <v>T</v>
      </c>
      <c r="AC65" s="9">
        <v>154</v>
      </c>
      <c r="AD65" s="3" t="str">
        <f>IFERROR(MID(VLOOKUP($B65,Seqs!$A:$B,2,0),AE65,1),"")</f>
        <v>H</v>
      </c>
      <c r="AE65" s="3">
        <v>180</v>
      </c>
      <c r="AF65" s="3" t="str">
        <f>IFERROR(MID(VLOOKUP($B65,Seqs!$A:$B,2,0),AG65,1),"")</f>
        <v>C</v>
      </c>
      <c r="AG65" s="3">
        <v>199</v>
      </c>
      <c r="AH65" s="3" t="str">
        <f>IFERROR(MID(VLOOKUP($B65,Seqs!$A:$B,2,0),AI65,1),"")</f>
        <v>F</v>
      </c>
      <c r="AI65" s="3">
        <v>201</v>
      </c>
      <c r="AJ65" s="3" t="str">
        <f>IFERROR(MID(VLOOKUP($B65,Seqs!$A:$B,2,0),AK65,1),"")</f>
        <v>N</v>
      </c>
      <c r="AK65" s="3">
        <v>204</v>
      </c>
      <c r="AL65" s="3" t="str">
        <f>IFERROR(MID(VLOOKUP($B65,Seqs!$A:$B,2,0),AM65,1),"")</f>
        <v>R</v>
      </c>
      <c r="AM65" s="3">
        <v>239</v>
      </c>
      <c r="AN65" s="3" t="str">
        <f>IFERROR(MID(VLOOKUP($B65,Seqs!$A:$B,2,0),AO65,1),"")</f>
        <v>R</v>
      </c>
      <c r="AO65" s="3">
        <v>279</v>
      </c>
      <c r="AP65" s="3" t="str">
        <f>IFERROR(MID(VLOOKUP($B65,Seqs!$A:$B,2,0),AQ65,1),"")</f>
        <v>N</v>
      </c>
      <c r="AQ65" s="3">
        <v>316</v>
      </c>
      <c r="AR65" s="3" t="str">
        <f>IFERROR(MID(VLOOKUP($B65,Seqs!$A:$B,2,0),AS65,1),"")</f>
        <v>P</v>
      </c>
      <c r="AS65" s="3">
        <v>321</v>
      </c>
      <c r="AT65" s="3" t="str">
        <f>IFERROR(MID(VLOOKUP($B65,Seqs!$A:$B,2,0),AU65,1),"")</f>
        <v>R</v>
      </c>
      <c r="AU65" s="3">
        <v>345</v>
      </c>
      <c r="AV65" s="3" t="str">
        <f>IFERROR(MID(VLOOKUP($B65,Seqs!$A:$B,2,0),AW65,1),"")</f>
        <v>S</v>
      </c>
      <c r="AW65" s="3">
        <v>346</v>
      </c>
      <c r="AX65" s="3" t="str">
        <f>IFERROR(MID(VLOOKUP($B65,Seqs!$A:$B,2,0),AY65,1),"")</f>
        <v>K</v>
      </c>
      <c r="AY65" s="3">
        <v>354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335"/>
        <v>1</v>
      </c>
      <c r="BC65" s="23">
        <f t="shared" si="336"/>
        <v>254</v>
      </c>
      <c r="BD65" s="4" t="s">
        <v>23</v>
      </c>
      <c r="BE65" s="3" t="s">
        <v>1381</v>
      </c>
      <c r="BF65" s="124">
        <v>2.42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337"/>
        <v>37</v>
      </c>
      <c r="BW65" s="73">
        <f t="shared" si="338"/>
        <v>70</v>
      </c>
      <c r="BX65" s="74">
        <f t="shared" si="339"/>
        <v>74</v>
      </c>
      <c r="BY65" s="73">
        <f t="shared" si="340"/>
        <v>106</v>
      </c>
      <c r="BZ65" s="74">
        <f t="shared" si="341"/>
        <v>110</v>
      </c>
      <c r="CA65" s="73">
        <f t="shared" si="342"/>
        <v>146</v>
      </c>
      <c r="CB65" s="74">
        <f t="shared" si="343"/>
        <v>154</v>
      </c>
      <c r="CC65" s="73">
        <f t="shared" si="344"/>
        <v>199</v>
      </c>
      <c r="CD65" s="74">
        <f t="shared" si="345"/>
        <v>204</v>
      </c>
      <c r="CE65" s="73">
        <f t="shared" si="346"/>
        <v>279</v>
      </c>
      <c r="CF65" s="74">
        <f t="shared" si="347"/>
        <v>321</v>
      </c>
      <c r="CG65" s="73">
        <f t="shared" si="348"/>
        <v>346</v>
      </c>
      <c r="CH65" s="72">
        <f t="shared" si="349"/>
        <v>69</v>
      </c>
      <c r="CI65" s="73">
        <f t="shared" si="350"/>
        <v>73</v>
      </c>
      <c r="CJ65" s="74">
        <f t="shared" si="351"/>
        <v>104</v>
      </c>
      <c r="CK65" s="74">
        <f t="shared" si="352"/>
        <v>109</v>
      </c>
      <c r="CL65" s="74">
        <f t="shared" si="353"/>
        <v>145</v>
      </c>
      <c r="CM65" s="74">
        <f t="shared" si="354"/>
        <v>153</v>
      </c>
      <c r="CN65" s="74">
        <f t="shared" si="355"/>
        <v>180</v>
      </c>
      <c r="CO65" s="74">
        <f t="shared" si="356"/>
        <v>201</v>
      </c>
      <c r="CP65" s="74">
        <f t="shared" si="357"/>
        <v>239</v>
      </c>
      <c r="CQ65" s="74">
        <f t="shared" si="358"/>
        <v>316</v>
      </c>
      <c r="CR65" s="74">
        <f t="shared" si="359"/>
        <v>345</v>
      </c>
      <c r="CS65" s="74">
        <f t="shared" si="360"/>
        <v>354</v>
      </c>
      <c r="CT65" s="23">
        <f t="shared" si="361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34"/>
        <v>adrb1_melga_5F8U</v>
      </c>
      <c r="B66" s="3" t="s">
        <v>912</v>
      </c>
      <c r="C66" s="3" t="s">
        <v>1360</v>
      </c>
      <c r="D66" s="3" t="str">
        <f>IFERROR(MID(VLOOKUP($B66,Seqs!$A:$B,2,0),E66,1),"")</f>
        <v>W</v>
      </c>
      <c r="E66" s="3">
        <v>40</v>
      </c>
      <c r="F66" s="3" t="str">
        <f>IFERROR(MID(VLOOKUP($B66,Seqs!$A:$B,2,0),G66,1),"")</f>
        <v>T</v>
      </c>
      <c r="G66" s="3">
        <v>69</v>
      </c>
      <c r="H66" s="3" t="str">
        <f>IFERROR(MID(VLOOKUP($B66,Seqs!$A:$B,2,0),I66,1),"")</f>
        <v>Q</v>
      </c>
      <c r="I66" s="23">
        <v>70</v>
      </c>
      <c r="J66" s="3" t="str">
        <f>IFERROR(MID(VLOOKUP($B66,Seqs!$A:$B,2,0),K66,1),"")</f>
        <v>Q</v>
      </c>
      <c r="K66" s="23">
        <v>73</v>
      </c>
      <c r="L66" s="3" t="str">
        <f>IFERROR(MID(VLOOKUP($B66,Seqs!$A:$B,2,0),M66,1),"")</f>
        <v>T</v>
      </c>
      <c r="M66" s="3">
        <v>74</v>
      </c>
      <c r="N66" s="3" t="str">
        <f>IFERROR(MID(VLOOKUP($B66,Seqs!$A:$B,2,0),O66,1),"")</f>
        <v>R</v>
      </c>
      <c r="O66" s="3">
        <v>104</v>
      </c>
      <c r="P66" s="3" t="str">
        <f>IFERROR(MID(VLOOKUP($B66,Seqs!$A:$B,2,0),Q66,1),"")</f>
        <v>T</v>
      </c>
      <c r="Q66" s="3">
        <v>106</v>
      </c>
      <c r="R66" s="3" t="str">
        <f>IFERROR(MID(VLOOKUP($B66,Seqs!$A:$B,2,0),S66,1),"")</f>
        <v>W</v>
      </c>
      <c r="S66" s="3">
        <v>109</v>
      </c>
      <c r="T66" s="3" t="str">
        <f>IFERROR(MID(VLOOKUP($B66,Seqs!$A:$B,2,0),U66,1),"")</f>
        <v>G</v>
      </c>
      <c r="U66" s="3">
        <v>110</v>
      </c>
      <c r="V66" s="3" t="str">
        <f>IFERROR(MID(VLOOKUP($B66,Seqs!$A:$B,2,0),W66,1),"")</f>
        <v>S</v>
      </c>
      <c r="W66" s="3">
        <v>145</v>
      </c>
      <c r="X66" s="3" t="str">
        <f>IFERROR(MID(VLOOKUP($B66,Seqs!$A:$B,2,0),Y66,1),"")</f>
        <v>P</v>
      </c>
      <c r="Y66" s="3">
        <v>146</v>
      </c>
      <c r="Z66" s="3" t="str">
        <f>IFERROR(MID(VLOOKUP($B66,Seqs!$A:$B,2,0),AA66,1),"")</f>
        <v>M</v>
      </c>
      <c r="AA66" s="3">
        <v>153</v>
      </c>
      <c r="AB66" s="3" t="str">
        <f>IFERROR(MID(VLOOKUP($B66,Seqs!$A:$B,2,0),AC66,1),"")</f>
        <v>T</v>
      </c>
      <c r="AC66" s="9">
        <v>154</v>
      </c>
      <c r="AD66" s="3" t="str">
        <f>IFERROR(MID(VLOOKUP($B66,Seqs!$A:$B,2,0),AE66,1),"")</f>
        <v>H</v>
      </c>
      <c r="AE66" s="3">
        <v>180</v>
      </c>
      <c r="AF66" s="3" t="str">
        <f>IFERROR(MID(VLOOKUP($B66,Seqs!$A:$B,2,0),AG66,1),"")</f>
        <v>C</v>
      </c>
      <c r="AG66" s="3">
        <v>199</v>
      </c>
      <c r="AH66" s="3" t="str">
        <f>IFERROR(MID(VLOOKUP($B66,Seqs!$A:$B,2,0),AI66,1),"")</f>
        <v>F</v>
      </c>
      <c r="AI66" s="3">
        <v>201</v>
      </c>
      <c r="AJ66" s="3" t="str">
        <f>IFERROR(MID(VLOOKUP($B66,Seqs!$A:$B,2,0),AK66,1),"")</f>
        <v>N</v>
      </c>
      <c r="AK66" s="3">
        <v>204</v>
      </c>
      <c r="AL66" s="3" t="str">
        <f>IFERROR(MID(VLOOKUP($B66,Seqs!$A:$B,2,0),AM66,1),"")</f>
        <v>Q</v>
      </c>
      <c r="AM66" s="3">
        <v>237</v>
      </c>
      <c r="AN66" s="3" t="str">
        <f>IFERROR(MID(VLOOKUP($B66,Seqs!$A:$B,2,0),AO66,1),"")</f>
        <v>R</v>
      </c>
      <c r="AO66" s="3">
        <v>284</v>
      </c>
      <c r="AP66" s="3" t="str">
        <f>IFERROR(MID(VLOOKUP($B66,Seqs!$A:$B,2,0),AQ66,1),"")</f>
        <v>N</v>
      </c>
      <c r="AQ66" s="3">
        <v>316</v>
      </c>
      <c r="AR66" s="3" t="str">
        <f>IFERROR(MID(VLOOKUP($B66,Seqs!$A:$B,2,0),AS66,1),"")</f>
        <v>P</v>
      </c>
      <c r="AS66" s="3">
        <v>321</v>
      </c>
      <c r="AT66" s="3" t="str">
        <f>IFERROR(MID(VLOOKUP($B66,Seqs!$A:$B,2,0),AU66,1),"")</f>
        <v>R</v>
      </c>
      <c r="AU66" s="3">
        <v>345</v>
      </c>
      <c r="AV66" s="3" t="str">
        <f>IFERROR(MID(VLOOKUP($B66,Seqs!$A:$B,2,0),AW66,1),"")</f>
        <v>S</v>
      </c>
      <c r="AW66" s="3">
        <v>346</v>
      </c>
      <c r="AX66" s="3" t="str">
        <f>IFERROR(MID(VLOOKUP($B66,Seqs!$A:$B,2,0),AY66,1),"")</f>
        <v>C</v>
      </c>
      <c r="AY66" s="3">
        <v>358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335"/>
        <v>1</v>
      </c>
      <c r="BC66" s="23">
        <f t="shared" si="336"/>
        <v>248</v>
      </c>
      <c r="BD66" s="5" t="s">
        <v>23</v>
      </c>
      <c r="BE66" s="3" t="s">
        <v>1381</v>
      </c>
      <c r="BF66" s="124">
        <v>3.35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337"/>
        <v>40</v>
      </c>
      <c r="BW66" s="73">
        <f t="shared" si="338"/>
        <v>70</v>
      </c>
      <c r="BX66" s="74">
        <f t="shared" si="339"/>
        <v>74</v>
      </c>
      <c r="BY66" s="73">
        <f t="shared" si="340"/>
        <v>106</v>
      </c>
      <c r="BZ66" s="74">
        <f t="shared" si="341"/>
        <v>110</v>
      </c>
      <c r="CA66" s="73">
        <f t="shared" si="342"/>
        <v>146</v>
      </c>
      <c r="CB66" s="74">
        <f t="shared" si="343"/>
        <v>154</v>
      </c>
      <c r="CC66" s="73">
        <f t="shared" si="344"/>
        <v>199</v>
      </c>
      <c r="CD66" s="74">
        <f t="shared" si="345"/>
        <v>204</v>
      </c>
      <c r="CE66" s="73">
        <f t="shared" si="346"/>
        <v>284</v>
      </c>
      <c r="CF66" s="74">
        <f t="shared" si="347"/>
        <v>321</v>
      </c>
      <c r="CG66" s="73">
        <f t="shared" si="348"/>
        <v>346</v>
      </c>
      <c r="CH66" s="72">
        <f t="shared" si="349"/>
        <v>69</v>
      </c>
      <c r="CI66" s="73">
        <f t="shared" si="350"/>
        <v>73</v>
      </c>
      <c r="CJ66" s="74">
        <f t="shared" si="351"/>
        <v>104</v>
      </c>
      <c r="CK66" s="74">
        <f t="shared" si="352"/>
        <v>109</v>
      </c>
      <c r="CL66" s="74">
        <f t="shared" si="353"/>
        <v>145</v>
      </c>
      <c r="CM66" s="74">
        <f t="shared" si="354"/>
        <v>153</v>
      </c>
      <c r="CN66" s="74">
        <f t="shared" si="355"/>
        <v>180</v>
      </c>
      <c r="CO66" s="74">
        <f t="shared" si="356"/>
        <v>201</v>
      </c>
      <c r="CP66" s="74">
        <f t="shared" si="357"/>
        <v>237</v>
      </c>
      <c r="CQ66" s="74">
        <f t="shared" si="358"/>
        <v>316</v>
      </c>
      <c r="CR66" s="74">
        <f t="shared" si="359"/>
        <v>345</v>
      </c>
      <c r="CS66" s="74">
        <f t="shared" si="360"/>
        <v>358</v>
      </c>
      <c r="CT66" s="23">
        <f t="shared" si="361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34"/>
        <v>adrb2_human__wt</v>
      </c>
      <c r="B67" s="3" t="s">
        <v>126</v>
      </c>
      <c r="C67" s="3" t="s">
        <v>100</v>
      </c>
      <c r="D67" s="3" t="str">
        <f>IFERROR(MID(VLOOKUP($B67,Seqs!$A:$B,2,0),E67,1),"")</f>
        <v>Q</v>
      </c>
      <c r="E67" s="3">
        <v>26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>P</v>
      </c>
      <c r="Y67" s="3">
        <v>138</v>
      </c>
      <c r="Z67" s="3" t="str">
        <f>IFERROR(MID(VLOOKUP($B67,Seqs!$A:$B,2,0),AA67,1),"")</f>
        <v>L</v>
      </c>
      <c r="AA67" s="3">
        <v>145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E</v>
      </c>
      <c r="AM67" s="3">
        <v>237</v>
      </c>
      <c r="AN67" s="3" t="str">
        <f>IFERROR(MID(VLOOKUP($B67,Seqs!$A:$B,2,0),AO67,1),"")</f>
        <v>S</v>
      </c>
      <c r="AO67" s="3">
        <v>262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335"/>
        <v>1</v>
      </c>
      <c r="BC67" s="23">
        <f t="shared" si="336"/>
        <v>267</v>
      </c>
      <c r="BD67" s="57" t="s">
        <v>1379</v>
      </c>
      <c r="BE67" s="3" t="s">
        <v>23</v>
      </c>
      <c r="BF67" s="124" t="s">
        <v>23</v>
      </c>
      <c r="BG67" s="50" t="s">
        <v>1379</v>
      </c>
      <c r="BH67" s="50" t="s">
        <v>1384</v>
      </c>
      <c r="BI67" s="3" t="s">
        <v>1166</v>
      </c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337"/>
        <v>26</v>
      </c>
      <c r="BW67" s="73">
        <f t="shared" si="338"/>
        <v>62</v>
      </c>
      <c r="BX67" s="74">
        <f t="shared" si="339"/>
        <v>66</v>
      </c>
      <c r="BY67" s="73">
        <f t="shared" si="340"/>
        <v>98</v>
      </c>
      <c r="BZ67" s="74">
        <f t="shared" si="341"/>
        <v>102</v>
      </c>
      <c r="CA67" s="73">
        <f t="shared" si="342"/>
        <v>138</v>
      </c>
      <c r="CB67" s="74">
        <f t="shared" si="343"/>
        <v>146</v>
      </c>
      <c r="CC67" s="73">
        <f t="shared" si="344"/>
        <v>191</v>
      </c>
      <c r="CD67" s="74">
        <f t="shared" si="345"/>
        <v>196</v>
      </c>
      <c r="CE67" s="73">
        <f t="shared" si="346"/>
        <v>262</v>
      </c>
      <c r="CF67" s="74">
        <f t="shared" si="347"/>
        <v>304</v>
      </c>
      <c r="CG67" s="73">
        <f t="shared" si="348"/>
        <v>329</v>
      </c>
      <c r="CH67" s="72">
        <f t="shared" si="349"/>
        <v>61</v>
      </c>
      <c r="CI67" s="73">
        <f t="shared" si="350"/>
        <v>65</v>
      </c>
      <c r="CJ67" s="74">
        <f t="shared" si="351"/>
        <v>96</v>
      </c>
      <c r="CK67" s="74">
        <f t="shared" si="352"/>
        <v>101</v>
      </c>
      <c r="CL67" s="74">
        <f t="shared" si="353"/>
        <v>137</v>
      </c>
      <c r="CM67" s="74">
        <f t="shared" si="354"/>
        <v>145</v>
      </c>
      <c r="CN67" s="74">
        <f t="shared" si="355"/>
        <v>172</v>
      </c>
      <c r="CO67" s="74">
        <f t="shared" si="356"/>
        <v>193</v>
      </c>
      <c r="CP67" s="74">
        <f t="shared" si="357"/>
        <v>237</v>
      </c>
      <c r="CQ67" s="74">
        <f t="shared" si="358"/>
        <v>299</v>
      </c>
      <c r="CR67" s="74">
        <f t="shared" si="359"/>
        <v>328</v>
      </c>
      <c r="CS67" s="74">
        <f t="shared" si="360"/>
        <v>341</v>
      </c>
      <c r="CT67" s="23">
        <f t="shared" si="361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34"/>
        <v>adrb2_human_2RH1</v>
      </c>
      <c r="B68" s="3" t="s">
        <v>126</v>
      </c>
      <c r="C68" s="3" t="s">
        <v>75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/>
      </c>
      <c r="Y68" s="3" t="s">
        <v>23</v>
      </c>
      <c r="Z68" s="3" t="str">
        <f>IFERROR(MID(VLOOKUP($B68,Seqs!$A:$B,2,0),AA68,1),"")</f>
        <v/>
      </c>
      <c r="AA68" s="3" t="s">
        <v>23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Q</v>
      </c>
      <c r="AM68" s="3">
        <v>229</v>
      </c>
      <c r="AN68" s="3" t="str">
        <f>IFERROR(MID(VLOOKUP($B68,Seqs!$A:$B,2,0),AO68,1),"")</f>
        <v>K</v>
      </c>
      <c r="AO68" s="3">
        <v>267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335"/>
        <v>1</v>
      </c>
      <c r="BC68" s="23">
        <f t="shared" si="336"/>
        <v>244</v>
      </c>
      <c r="BD68" s="4" t="s">
        <v>23</v>
      </c>
      <c r="BE68" s="3" t="s">
        <v>1381</v>
      </c>
      <c r="BF68" s="124">
        <v>2.4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337"/>
        <v>29</v>
      </c>
      <c r="BW68" s="73">
        <f t="shared" si="338"/>
        <v>62</v>
      </c>
      <c r="BX68" s="74">
        <f t="shared" si="339"/>
        <v>66</v>
      </c>
      <c r="BY68" s="73">
        <f t="shared" si="340"/>
        <v>98</v>
      </c>
      <c r="BZ68" s="74">
        <f t="shared" si="341"/>
        <v>102</v>
      </c>
      <c r="CA68" s="73" t="str">
        <f t="shared" si="342"/>
        <v>-</v>
      </c>
      <c r="CB68" s="74">
        <f t="shared" si="343"/>
        <v>146</v>
      </c>
      <c r="CC68" s="73">
        <f t="shared" si="344"/>
        <v>191</v>
      </c>
      <c r="CD68" s="74">
        <f t="shared" si="345"/>
        <v>196</v>
      </c>
      <c r="CE68" s="73">
        <f t="shared" si="346"/>
        <v>267</v>
      </c>
      <c r="CF68" s="74">
        <f t="shared" si="347"/>
        <v>304</v>
      </c>
      <c r="CG68" s="73">
        <f t="shared" si="348"/>
        <v>329</v>
      </c>
      <c r="CH68" s="72">
        <f t="shared" si="349"/>
        <v>61</v>
      </c>
      <c r="CI68" s="73">
        <f t="shared" si="350"/>
        <v>65</v>
      </c>
      <c r="CJ68" s="74">
        <f t="shared" si="351"/>
        <v>96</v>
      </c>
      <c r="CK68" s="74">
        <f t="shared" si="352"/>
        <v>101</v>
      </c>
      <c r="CL68" s="74">
        <f t="shared" si="353"/>
        <v>137</v>
      </c>
      <c r="CM68" s="74" t="str">
        <f t="shared" si="354"/>
        <v>-</v>
      </c>
      <c r="CN68" s="74">
        <f t="shared" si="355"/>
        <v>172</v>
      </c>
      <c r="CO68" s="74">
        <f t="shared" si="356"/>
        <v>193</v>
      </c>
      <c r="CP68" s="74">
        <f t="shared" si="357"/>
        <v>229</v>
      </c>
      <c r="CQ68" s="74">
        <f t="shared" si="358"/>
        <v>299</v>
      </c>
      <c r="CR68" s="74">
        <f t="shared" si="359"/>
        <v>328</v>
      </c>
      <c r="CS68" s="74">
        <f t="shared" si="360"/>
        <v>341</v>
      </c>
      <c r="CT68" s="23">
        <f t="shared" si="361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34"/>
        <v>adrb2_human_3D4S</v>
      </c>
      <c r="B69" s="3" t="s">
        <v>126</v>
      </c>
      <c r="C69" s="3" t="s">
        <v>76</v>
      </c>
      <c r="D69" s="3" t="str">
        <f>IFERROR(MID(VLOOKUP($B69,Seqs!$A:$B,2,0),E69,1),"")</f>
        <v>W</v>
      </c>
      <c r="E69" s="3">
        <v>32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K</v>
      </c>
      <c r="AO69" s="3">
        <v>267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335"/>
        <v>1</v>
      </c>
      <c r="BC69" s="23">
        <f t="shared" si="336"/>
        <v>241</v>
      </c>
      <c r="BD69" s="4" t="s">
        <v>23</v>
      </c>
      <c r="BE69" s="3" t="s">
        <v>1381</v>
      </c>
      <c r="BF69" s="124">
        <v>2.8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337"/>
        <v>32</v>
      </c>
      <c r="BW69" s="73">
        <f t="shared" si="338"/>
        <v>62</v>
      </c>
      <c r="BX69" s="74">
        <f t="shared" si="339"/>
        <v>66</v>
      </c>
      <c r="BY69" s="73">
        <f t="shared" si="340"/>
        <v>98</v>
      </c>
      <c r="BZ69" s="74">
        <f t="shared" si="341"/>
        <v>102</v>
      </c>
      <c r="CA69" s="73" t="str">
        <f t="shared" si="342"/>
        <v>-</v>
      </c>
      <c r="CB69" s="74">
        <f t="shared" si="343"/>
        <v>146</v>
      </c>
      <c r="CC69" s="73">
        <f t="shared" si="344"/>
        <v>191</v>
      </c>
      <c r="CD69" s="74">
        <f t="shared" si="345"/>
        <v>196</v>
      </c>
      <c r="CE69" s="73">
        <f t="shared" si="346"/>
        <v>267</v>
      </c>
      <c r="CF69" s="74">
        <f t="shared" si="347"/>
        <v>304</v>
      </c>
      <c r="CG69" s="73">
        <f t="shared" si="348"/>
        <v>329</v>
      </c>
      <c r="CH69" s="72">
        <f t="shared" si="349"/>
        <v>61</v>
      </c>
      <c r="CI69" s="73">
        <f t="shared" si="350"/>
        <v>65</v>
      </c>
      <c r="CJ69" s="74">
        <f t="shared" si="351"/>
        <v>96</v>
      </c>
      <c r="CK69" s="74">
        <f t="shared" si="352"/>
        <v>101</v>
      </c>
      <c r="CL69" s="74">
        <f t="shared" si="353"/>
        <v>137</v>
      </c>
      <c r="CM69" s="74" t="str">
        <f t="shared" si="354"/>
        <v>-</v>
      </c>
      <c r="CN69" s="74">
        <f t="shared" si="355"/>
        <v>172</v>
      </c>
      <c r="CO69" s="74">
        <f t="shared" si="356"/>
        <v>193</v>
      </c>
      <c r="CP69" s="74">
        <f t="shared" si="357"/>
        <v>229</v>
      </c>
      <c r="CQ69" s="74">
        <f t="shared" si="358"/>
        <v>299</v>
      </c>
      <c r="CR69" s="74">
        <f t="shared" si="359"/>
        <v>328</v>
      </c>
      <c r="CS69" s="74">
        <f t="shared" si="360"/>
        <v>341</v>
      </c>
      <c r="CT69" s="23">
        <f t="shared" si="361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34"/>
        <v>adrb2_human_3NY8</v>
      </c>
      <c r="B70" s="3" t="s">
        <v>126</v>
      </c>
      <c r="C70" s="3" t="s">
        <v>1339</v>
      </c>
      <c r="D70" s="3" t="str">
        <f>IFERROR(MID(VLOOKUP($B70,Seqs!$A:$B,2,0),E70,1),"")</f>
        <v>W</v>
      </c>
      <c r="E70" s="3">
        <v>32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/>
      </c>
      <c r="Y70" s="3" t="s">
        <v>23</v>
      </c>
      <c r="Z70" s="3" t="str">
        <f>IFERROR(MID(VLOOKUP($B70,Seqs!$A:$B,2,0),AA70,1),"")</f>
        <v/>
      </c>
      <c r="AA70" s="3" t="s">
        <v>23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Q</v>
      </c>
      <c r="AM70" s="3">
        <v>229</v>
      </c>
      <c r="AN70" s="3" t="str">
        <f>IFERROR(MID(VLOOKUP($B70,Seqs!$A:$B,2,0),AO70,1),"")</f>
        <v>K</v>
      </c>
      <c r="AO70" s="3">
        <v>267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335"/>
        <v>1</v>
      </c>
      <c r="BC70" s="23">
        <f t="shared" si="336"/>
        <v>241</v>
      </c>
      <c r="BD70" s="4" t="s">
        <v>23</v>
      </c>
      <c r="BE70" s="3" t="s">
        <v>1381</v>
      </c>
      <c r="BF70" s="124">
        <v>2.84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337"/>
        <v>32</v>
      </c>
      <c r="BW70" s="73">
        <f t="shared" si="338"/>
        <v>62</v>
      </c>
      <c r="BX70" s="74">
        <f t="shared" si="339"/>
        <v>66</v>
      </c>
      <c r="BY70" s="73">
        <f t="shared" si="340"/>
        <v>98</v>
      </c>
      <c r="BZ70" s="74">
        <f t="shared" si="341"/>
        <v>102</v>
      </c>
      <c r="CA70" s="73" t="str">
        <f t="shared" si="342"/>
        <v>-</v>
      </c>
      <c r="CB70" s="74">
        <f t="shared" si="343"/>
        <v>146</v>
      </c>
      <c r="CC70" s="73">
        <f t="shared" si="344"/>
        <v>191</v>
      </c>
      <c r="CD70" s="74">
        <f t="shared" si="345"/>
        <v>196</v>
      </c>
      <c r="CE70" s="73">
        <f t="shared" si="346"/>
        <v>267</v>
      </c>
      <c r="CF70" s="74">
        <f t="shared" si="347"/>
        <v>304</v>
      </c>
      <c r="CG70" s="73">
        <f t="shared" si="348"/>
        <v>329</v>
      </c>
      <c r="CH70" s="72">
        <f t="shared" si="349"/>
        <v>61</v>
      </c>
      <c r="CI70" s="73">
        <f t="shared" si="350"/>
        <v>65</v>
      </c>
      <c r="CJ70" s="74">
        <f t="shared" si="351"/>
        <v>96</v>
      </c>
      <c r="CK70" s="74">
        <f t="shared" si="352"/>
        <v>101</v>
      </c>
      <c r="CL70" s="74">
        <f t="shared" si="353"/>
        <v>137</v>
      </c>
      <c r="CM70" s="74" t="str">
        <f t="shared" si="354"/>
        <v>-</v>
      </c>
      <c r="CN70" s="74">
        <f t="shared" si="355"/>
        <v>172</v>
      </c>
      <c r="CO70" s="74">
        <f t="shared" si="356"/>
        <v>193</v>
      </c>
      <c r="CP70" s="74">
        <f t="shared" si="357"/>
        <v>229</v>
      </c>
      <c r="CQ70" s="74">
        <f t="shared" si="358"/>
        <v>299</v>
      </c>
      <c r="CR70" s="74">
        <f t="shared" si="359"/>
        <v>328</v>
      </c>
      <c r="CS70" s="74">
        <f t="shared" si="360"/>
        <v>341</v>
      </c>
      <c r="CT70" s="23">
        <f t="shared" si="361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34"/>
        <v>adrb2_human_3NY9</v>
      </c>
      <c r="B71" s="3" t="s">
        <v>126</v>
      </c>
      <c r="C71" s="3" t="s">
        <v>1030</v>
      </c>
      <c r="D71" s="3" t="str">
        <f>IFERROR(MID(VLOOKUP($B71,Seqs!$A:$B,2,0),E71,1),"")</f>
        <v>W</v>
      </c>
      <c r="E71" s="3">
        <v>32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/>
      </c>
      <c r="Y71" s="3" t="s">
        <v>23</v>
      </c>
      <c r="Z71" s="3" t="str">
        <f>IFERROR(MID(VLOOKUP($B71,Seqs!$A:$B,2,0),AA71,1),"")</f>
        <v/>
      </c>
      <c r="AA71" s="3" t="s">
        <v>23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Q</v>
      </c>
      <c r="AM71" s="3">
        <v>229</v>
      </c>
      <c r="AN71" s="3" t="str">
        <f>IFERROR(MID(VLOOKUP($B71,Seqs!$A:$B,2,0),AO71,1),"")</f>
        <v>K</v>
      </c>
      <c r="AO71" s="3">
        <v>267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si="335"/>
        <v>1</v>
      </c>
      <c r="BC71" s="23">
        <f t="shared" si="336"/>
        <v>241</v>
      </c>
      <c r="BD71" s="4" t="s">
        <v>23</v>
      </c>
      <c r="BE71" s="3" t="s">
        <v>1381</v>
      </c>
      <c r="BF71" s="124">
        <v>2.84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337"/>
        <v>32</v>
      </c>
      <c r="BW71" s="73">
        <f t="shared" si="338"/>
        <v>62</v>
      </c>
      <c r="BX71" s="74">
        <f t="shared" si="339"/>
        <v>66</v>
      </c>
      <c r="BY71" s="73">
        <f t="shared" si="340"/>
        <v>98</v>
      </c>
      <c r="BZ71" s="74">
        <f t="shared" si="341"/>
        <v>102</v>
      </c>
      <c r="CA71" s="73" t="str">
        <f t="shared" si="342"/>
        <v>-</v>
      </c>
      <c r="CB71" s="74">
        <f t="shared" si="343"/>
        <v>146</v>
      </c>
      <c r="CC71" s="73">
        <f t="shared" si="344"/>
        <v>191</v>
      </c>
      <c r="CD71" s="74">
        <f t="shared" si="345"/>
        <v>196</v>
      </c>
      <c r="CE71" s="73">
        <f t="shared" si="346"/>
        <v>267</v>
      </c>
      <c r="CF71" s="74">
        <f t="shared" si="347"/>
        <v>304</v>
      </c>
      <c r="CG71" s="73">
        <f t="shared" si="348"/>
        <v>329</v>
      </c>
      <c r="CH71" s="72">
        <f t="shared" si="349"/>
        <v>61</v>
      </c>
      <c r="CI71" s="73">
        <f t="shared" si="350"/>
        <v>65</v>
      </c>
      <c r="CJ71" s="74">
        <f t="shared" si="351"/>
        <v>96</v>
      </c>
      <c r="CK71" s="74">
        <f t="shared" si="352"/>
        <v>101</v>
      </c>
      <c r="CL71" s="74">
        <f t="shared" si="353"/>
        <v>137</v>
      </c>
      <c r="CM71" s="74" t="str">
        <f t="shared" si="354"/>
        <v>-</v>
      </c>
      <c r="CN71" s="74">
        <f t="shared" si="355"/>
        <v>172</v>
      </c>
      <c r="CO71" s="74">
        <f t="shared" si="356"/>
        <v>193</v>
      </c>
      <c r="CP71" s="74">
        <f t="shared" si="357"/>
        <v>229</v>
      </c>
      <c r="CQ71" s="74">
        <f t="shared" si="358"/>
        <v>299</v>
      </c>
      <c r="CR71" s="74">
        <f t="shared" si="359"/>
        <v>328</v>
      </c>
      <c r="CS71" s="74">
        <f t="shared" si="360"/>
        <v>341</v>
      </c>
      <c r="CT71" s="23">
        <f t="shared" si="361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34"/>
        <v>adrb2_human_3NYA</v>
      </c>
      <c r="B72" s="3" t="s">
        <v>126</v>
      </c>
      <c r="C72" s="3" t="s">
        <v>1340</v>
      </c>
      <c r="D72" s="3" t="str">
        <f>IFERROR(MID(VLOOKUP($B72,Seqs!$A:$B,2,0),E72,1),"")</f>
        <v>W</v>
      </c>
      <c r="E72" s="3">
        <v>32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/>
      </c>
      <c r="Y72" s="3" t="s">
        <v>23</v>
      </c>
      <c r="Z72" s="3" t="str">
        <f>IFERROR(MID(VLOOKUP($B72,Seqs!$A:$B,2,0),AA72,1),"")</f>
        <v/>
      </c>
      <c r="AA72" s="3" t="s">
        <v>23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Q</v>
      </c>
      <c r="AM72" s="3">
        <v>229</v>
      </c>
      <c r="AN72" s="3" t="str">
        <f>IFERROR(MID(VLOOKUP($B72,Seqs!$A:$B,2,0),AO72,1),"")</f>
        <v>K</v>
      </c>
      <c r="AO72" s="3">
        <v>267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335"/>
        <v>1</v>
      </c>
      <c r="BC72" s="23">
        <f t="shared" si="336"/>
        <v>241</v>
      </c>
      <c r="BD72" s="4" t="s">
        <v>23</v>
      </c>
      <c r="BE72" s="3" t="s">
        <v>1381</v>
      </c>
      <c r="BF72" s="124">
        <v>3.16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337"/>
        <v>32</v>
      </c>
      <c r="BW72" s="73">
        <f t="shared" si="338"/>
        <v>62</v>
      </c>
      <c r="BX72" s="74">
        <f t="shared" si="339"/>
        <v>66</v>
      </c>
      <c r="BY72" s="73">
        <f t="shared" si="340"/>
        <v>98</v>
      </c>
      <c r="BZ72" s="74">
        <f t="shared" si="341"/>
        <v>102</v>
      </c>
      <c r="CA72" s="73" t="str">
        <f t="shared" si="342"/>
        <v>-</v>
      </c>
      <c r="CB72" s="74">
        <f t="shared" si="343"/>
        <v>146</v>
      </c>
      <c r="CC72" s="73">
        <f t="shared" si="344"/>
        <v>191</v>
      </c>
      <c r="CD72" s="74">
        <f t="shared" si="345"/>
        <v>196</v>
      </c>
      <c r="CE72" s="73">
        <f t="shared" si="346"/>
        <v>267</v>
      </c>
      <c r="CF72" s="74">
        <f t="shared" si="347"/>
        <v>304</v>
      </c>
      <c r="CG72" s="73">
        <f t="shared" si="348"/>
        <v>329</v>
      </c>
      <c r="CH72" s="72">
        <f t="shared" si="349"/>
        <v>61</v>
      </c>
      <c r="CI72" s="73">
        <f t="shared" si="350"/>
        <v>65</v>
      </c>
      <c r="CJ72" s="74">
        <f t="shared" si="351"/>
        <v>96</v>
      </c>
      <c r="CK72" s="74">
        <f t="shared" si="352"/>
        <v>101</v>
      </c>
      <c r="CL72" s="74">
        <f t="shared" si="353"/>
        <v>137</v>
      </c>
      <c r="CM72" s="74" t="str">
        <f t="shared" si="354"/>
        <v>-</v>
      </c>
      <c r="CN72" s="74">
        <f t="shared" si="355"/>
        <v>172</v>
      </c>
      <c r="CO72" s="74">
        <f t="shared" si="356"/>
        <v>193</v>
      </c>
      <c r="CP72" s="74">
        <f t="shared" si="357"/>
        <v>229</v>
      </c>
      <c r="CQ72" s="74">
        <f t="shared" si="358"/>
        <v>299</v>
      </c>
      <c r="CR72" s="74">
        <f t="shared" si="359"/>
        <v>328</v>
      </c>
      <c r="CS72" s="74">
        <f t="shared" si="360"/>
        <v>341</v>
      </c>
      <c r="CT72" s="23">
        <f t="shared" si="361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34"/>
        <v>adrb2_human_3P0G</v>
      </c>
      <c r="B73" s="3" t="s">
        <v>126</v>
      </c>
      <c r="C73" s="3" t="s">
        <v>66</v>
      </c>
      <c r="D73" s="3" t="str">
        <f>IFERROR(MID(VLOOKUP($B73,Seqs!$A:$B,2,0),E73,1),"")</f>
        <v>Q</v>
      </c>
      <c r="E73" s="3">
        <v>26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A</v>
      </c>
      <c r="AM73" s="3">
        <v>226</v>
      </c>
      <c r="AN73" s="3" t="str">
        <f>IFERROR(MID(VLOOKUP($B73,Seqs!$A:$B,2,0),AO73,1),"")</f>
        <v>H</v>
      </c>
      <c r="AO73" s="3">
        <v>269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335"/>
        <v>1</v>
      </c>
      <c r="BC73" s="23">
        <f t="shared" si="336"/>
        <v>249</v>
      </c>
      <c r="BD73" s="16" t="s">
        <v>23</v>
      </c>
      <c r="BE73" s="3" t="s">
        <v>1297</v>
      </c>
      <c r="BF73" s="124">
        <v>3.5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337"/>
        <v>26</v>
      </c>
      <c r="BW73" s="73">
        <f t="shared" si="338"/>
        <v>62</v>
      </c>
      <c r="BX73" s="74">
        <f t="shared" si="339"/>
        <v>66</v>
      </c>
      <c r="BY73" s="73">
        <f t="shared" si="340"/>
        <v>98</v>
      </c>
      <c r="BZ73" s="74">
        <f t="shared" si="341"/>
        <v>102</v>
      </c>
      <c r="CA73" s="73">
        <f t="shared" si="342"/>
        <v>138</v>
      </c>
      <c r="CB73" s="74">
        <f t="shared" si="343"/>
        <v>146</v>
      </c>
      <c r="CC73" s="73">
        <f t="shared" si="344"/>
        <v>191</v>
      </c>
      <c r="CD73" s="74">
        <f t="shared" si="345"/>
        <v>196</v>
      </c>
      <c r="CE73" s="73">
        <f t="shared" si="346"/>
        <v>269</v>
      </c>
      <c r="CF73" s="74">
        <f t="shared" si="347"/>
        <v>304</v>
      </c>
      <c r="CG73" s="73">
        <f t="shared" si="348"/>
        <v>329</v>
      </c>
      <c r="CH73" s="72">
        <f t="shared" si="349"/>
        <v>61</v>
      </c>
      <c r="CI73" s="73">
        <f t="shared" si="350"/>
        <v>65</v>
      </c>
      <c r="CJ73" s="74">
        <f t="shared" si="351"/>
        <v>96</v>
      </c>
      <c r="CK73" s="74">
        <f t="shared" si="352"/>
        <v>101</v>
      </c>
      <c r="CL73" s="74">
        <f t="shared" si="353"/>
        <v>137</v>
      </c>
      <c r="CM73" s="74">
        <f t="shared" si="354"/>
        <v>145</v>
      </c>
      <c r="CN73" s="74">
        <f t="shared" si="355"/>
        <v>172</v>
      </c>
      <c r="CO73" s="74">
        <f t="shared" si="356"/>
        <v>193</v>
      </c>
      <c r="CP73" s="74">
        <f t="shared" si="357"/>
        <v>226</v>
      </c>
      <c r="CQ73" s="74">
        <f t="shared" si="358"/>
        <v>299</v>
      </c>
      <c r="CR73" s="74">
        <f t="shared" si="359"/>
        <v>328</v>
      </c>
      <c r="CS73" s="74">
        <f t="shared" si="360"/>
        <v>341</v>
      </c>
      <c r="CT73" s="23">
        <f t="shared" si="361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34"/>
        <v>adrb2_human_3PDS</v>
      </c>
      <c r="B74" s="3" t="s">
        <v>126</v>
      </c>
      <c r="C74" s="3" t="s">
        <v>1341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Q</v>
      </c>
      <c r="AM74" s="3">
        <v>229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335"/>
        <v>1</v>
      </c>
      <c r="BC74" s="23">
        <f t="shared" si="336"/>
        <v>245</v>
      </c>
      <c r="BD74" s="5" t="s">
        <v>23</v>
      </c>
      <c r="BE74" s="3" t="s">
        <v>1381</v>
      </c>
      <c r="BF74" s="124">
        <v>3.5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337"/>
        <v>29</v>
      </c>
      <c r="BW74" s="73">
        <f t="shared" si="338"/>
        <v>62</v>
      </c>
      <c r="BX74" s="74">
        <f t="shared" si="339"/>
        <v>66</v>
      </c>
      <c r="BY74" s="73">
        <f t="shared" si="340"/>
        <v>98</v>
      </c>
      <c r="BZ74" s="74">
        <f t="shared" si="341"/>
        <v>102</v>
      </c>
      <c r="CA74" s="73" t="str">
        <f t="shared" si="342"/>
        <v>-</v>
      </c>
      <c r="CB74" s="74">
        <f t="shared" si="343"/>
        <v>146</v>
      </c>
      <c r="CC74" s="73">
        <f t="shared" si="344"/>
        <v>191</v>
      </c>
      <c r="CD74" s="74">
        <f t="shared" si="345"/>
        <v>196</v>
      </c>
      <c r="CE74" s="73">
        <f t="shared" si="346"/>
        <v>266</v>
      </c>
      <c r="CF74" s="74">
        <f t="shared" si="347"/>
        <v>304</v>
      </c>
      <c r="CG74" s="73">
        <f t="shared" si="348"/>
        <v>329</v>
      </c>
      <c r="CH74" s="72">
        <f t="shared" si="349"/>
        <v>61</v>
      </c>
      <c r="CI74" s="73">
        <f t="shared" si="350"/>
        <v>65</v>
      </c>
      <c r="CJ74" s="74">
        <f t="shared" si="351"/>
        <v>96</v>
      </c>
      <c r="CK74" s="74">
        <f t="shared" si="352"/>
        <v>101</v>
      </c>
      <c r="CL74" s="74">
        <f t="shared" si="353"/>
        <v>137</v>
      </c>
      <c r="CM74" s="74" t="str">
        <f t="shared" si="354"/>
        <v>-</v>
      </c>
      <c r="CN74" s="74">
        <f t="shared" si="355"/>
        <v>172</v>
      </c>
      <c r="CO74" s="74">
        <f t="shared" si="356"/>
        <v>193</v>
      </c>
      <c r="CP74" s="74">
        <f t="shared" si="357"/>
        <v>229</v>
      </c>
      <c r="CQ74" s="74">
        <f t="shared" si="358"/>
        <v>299</v>
      </c>
      <c r="CR74" s="74">
        <f t="shared" si="359"/>
        <v>328</v>
      </c>
      <c r="CS74" s="74">
        <f t="shared" si="360"/>
        <v>341</v>
      </c>
      <c r="CT74" s="23">
        <f t="shared" si="361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ht="17" customHeight="1" x14ac:dyDescent="0.2">
      <c r="A75" s="3" t="str">
        <f t="shared" si="334"/>
        <v>adrb2_human_3SN6</v>
      </c>
      <c r="B75" s="3" t="s">
        <v>126</v>
      </c>
      <c r="C75" s="3" t="s">
        <v>85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>P</v>
      </c>
      <c r="Y75" s="3">
        <v>138</v>
      </c>
      <c r="Z75" s="3" t="str">
        <f>IFERROR(MID(VLOOKUP($B75,Seqs!$A:$B,2,0),AA75,1),"")</f>
        <v>L</v>
      </c>
      <c r="AA75" s="3">
        <v>145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E</v>
      </c>
      <c r="AM75" s="3">
        <v>237</v>
      </c>
      <c r="AN75" s="3" t="str">
        <f>IFERROR(MID(VLOOKUP($B75,Seqs!$A:$B,2,0),AO75,1),"")</f>
        <v>C</v>
      </c>
      <c r="AO75" s="3">
        <v>265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335"/>
        <v>1</v>
      </c>
      <c r="BC75" s="23">
        <f t="shared" si="336"/>
        <v>261</v>
      </c>
      <c r="BD75" s="4" t="s">
        <v>1382</v>
      </c>
      <c r="BE75" s="3" t="s">
        <v>1297</v>
      </c>
      <c r="BF75" s="124">
        <v>3.2</v>
      </c>
      <c r="BG75" s="50" t="s">
        <v>1384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337"/>
        <v>29</v>
      </c>
      <c r="BW75" s="73">
        <f t="shared" si="338"/>
        <v>62</v>
      </c>
      <c r="BX75" s="74">
        <f t="shared" si="339"/>
        <v>66</v>
      </c>
      <c r="BY75" s="73">
        <f t="shared" si="340"/>
        <v>98</v>
      </c>
      <c r="BZ75" s="74">
        <f t="shared" si="341"/>
        <v>102</v>
      </c>
      <c r="CA75" s="73">
        <f t="shared" si="342"/>
        <v>138</v>
      </c>
      <c r="CB75" s="74">
        <f t="shared" si="343"/>
        <v>146</v>
      </c>
      <c r="CC75" s="73">
        <f t="shared" si="344"/>
        <v>191</v>
      </c>
      <c r="CD75" s="74">
        <f t="shared" si="345"/>
        <v>196</v>
      </c>
      <c r="CE75" s="73">
        <f t="shared" si="346"/>
        <v>265</v>
      </c>
      <c r="CF75" s="74">
        <f t="shared" si="347"/>
        <v>304</v>
      </c>
      <c r="CG75" s="73">
        <f t="shared" si="348"/>
        <v>329</v>
      </c>
      <c r="CH75" s="72">
        <f t="shared" si="349"/>
        <v>61</v>
      </c>
      <c r="CI75" s="73">
        <f t="shared" si="350"/>
        <v>65</v>
      </c>
      <c r="CJ75" s="74">
        <f t="shared" si="351"/>
        <v>96</v>
      </c>
      <c r="CK75" s="74">
        <f t="shared" si="352"/>
        <v>101</v>
      </c>
      <c r="CL75" s="74">
        <f t="shared" si="353"/>
        <v>137</v>
      </c>
      <c r="CM75" s="74">
        <f t="shared" si="354"/>
        <v>145</v>
      </c>
      <c r="CN75" s="74">
        <f t="shared" si="355"/>
        <v>172</v>
      </c>
      <c r="CO75" s="74">
        <f t="shared" si="356"/>
        <v>193</v>
      </c>
      <c r="CP75" s="74">
        <f t="shared" si="357"/>
        <v>237</v>
      </c>
      <c r="CQ75" s="74">
        <f t="shared" si="358"/>
        <v>299</v>
      </c>
      <c r="CR75" s="74">
        <f t="shared" si="359"/>
        <v>328</v>
      </c>
      <c r="CS75" s="74">
        <f t="shared" si="360"/>
        <v>341</v>
      </c>
      <c r="CT75" s="23">
        <f t="shared" si="361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:A122" si="362">CONCATENATE(B76,"_",C76)</f>
        <v>adrb2_human_4LDE</v>
      </c>
      <c r="B76" s="3" t="s">
        <v>126</v>
      </c>
      <c r="C76" s="3" t="s">
        <v>77</v>
      </c>
      <c r="D76" s="3" t="str">
        <f>IFERROR(MID(VLOOKUP($B76,Seqs!$A:$B,2,0),E76,1),"")</f>
        <v>D</v>
      </c>
      <c r="E76" s="3">
        <v>29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>P</v>
      </c>
      <c r="Y76" s="3">
        <v>138</v>
      </c>
      <c r="Z76" s="3" t="str">
        <f>IFERROR(MID(VLOOKUP($B76,Seqs!$A:$B,2,0),AA76,1),"")</f>
        <v>L</v>
      </c>
      <c r="AA76" s="3">
        <v>145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E</v>
      </c>
      <c r="AM76" s="3">
        <v>225</v>
      </c>
      <c r="AN76" s="3" t="str">
        <f>IFERROR(MID(VLOOKUP($B76,Seqs!$A:$B,2,0),AO76,1),"")</f>
        <v>L</v>
      </c>
      <c r="AO76" s="3">
        <v>266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ref="BB76:BB122" si="363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si="336"/>
        <v>248</v>
      </c>
      <c r="BD76" s="4" t="s">
        <v>23</v>
      </c>
      <c r="BE76" s="3" t="s">
        <v>1297</v>
      </c>
      <c r="BF76" s="124">
        <v>2.79</v>
      </c>
      <c r="BG76" s="50" t="s">
        <v>1384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337"/>
        <v>29</v>
      </c>
      <c r="BW76" s="73">
        <f t="shared" si="338"/>
        <v>62</v>
      </c>
      <c r="BX76" s="74">
        <f t="shared" si="339"/>
        <v>66</v>
      </c>
      <c r="BY76" s="73">
        <f t="shared" si="340"/>
        <v>98</v>
      </c>
      <c r="BZ76" s="74">
        <f t="shared" si="341"/>
        <v>102</v>
      </c>
      <c r="CA76" s="73">
        <f t="shared" si="342"/>
        <v>138</v>
      </c>
      <c r="CB76" s="74">
        <f t="shared" si="343"/>
        <v>146</v>
      </c>
      <c r="CC76" s="73">
        <f t="shared" si="344"/>
        <v>191</v>
      </c>
      <c r="CD76" s="74">
        <f t="shared" si="345"/>
        <v>196</v>
      </c>
      <c r="CE76" s="73">
        <f t="shared" si="346"/>
        <v>266</v>
      </c>
      <c r="CF76" s="74">
        <f t="shared" si="347"/>
        <v>304</v>
      </c>
      <c r="CG76" s="73">
        <f t="shared" si="348"/>
        <v>329</v>
      </c>
      <c r="CH76" s="72">
        <f t="shared" si="349"/>
        <v>61</v>
      </c>
      <c r="CI76" s="73">
        <f t="shared" si="350"/>
        <v>65</v>
      </c>
      <c r="CJ76" s="74">
        <f t="shared" si="351"/>
        <v>96</v>
      </c>
      <c r="CK76" s="74">
        <f t="shared" si="352"/>
        <v>101</v>
      </c>
      <c r="CL76" s="74">
        <f t="shared" si="353"/>
        <v>137</v>
      </c>
      <c r="CM76" s="74">
        <f t="shared" si="354"/>
        <v>145</v>
      </c>
      <c r="CN76" s="74">
        <f t="shared" si="355"/>
        <v>172</v>
      </c>
      <c r="CO76" s="74">
        <f t="shared" si="356"/>
        <v>193</v>
      </c>
      <c r="CP76" s="74">
        <f t="shared" si="357"/>
        <v>225</v>
      </c>
      <c r="CQ76" s="74">
        <f t="shared" si="358"/>
        <v>299</v>
      </c>
      <c r="CR76" s="74">
        <f t="shared" si="359"/>
        <v>328</v>
      </c>
      <c r="CS76" s="74">
        <f t="shared" si="360"/>
        <v>341</v>
      </c>
      <c r="CT76" s="23">
        <f t="shared" si="361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362"/>
        <v>adrb2_human_4LDL</v>
      </c>
      <c r="B77" s="3" t="s">
        <v>126</v>
      </c>
      <c r="C77" s="3" t="s">
        <v>1045</v>
      </c>
      <c r="D77" s="3" t="str">
        <f>IFERROR(MID(VLOOKUP($B77,Seqs!$A:$B,2,0),E77,1),"")</f>
        <v>D</v>
      </c>
      <c r="E77" s="3">
        <v>29</v>
      </c>
      <c r="F77" s="3" t="str">
        <f>IFERROR(MID(VLOOKUP($B77,Seqs!$A:$B,2,0),G77,1),"")</f>
        <v>F</v>
      </c>
      <c r="G77" s="3">
        <v>61</v>
      </c>
      <c r="H77" s="3" t="str">
        <f>IFERROR(MID(VLOOKUP($B77,Seqs!$A:$B,2,0),I77,1),"")</f>
        <v>E</v>
      </c>
      <c r="I77" s="23">
        <v>62</v>
      </c>
      <c r="J77" s="3" t="str">
        <f>IFERROR(MID(VLOOKUP($B77,Seqs!$A:$B,2,0),K77,1),"")</f>
        <v>Q</v>
      </c>
      <c r="K77" s="23">
        <v>65</v>
      </c>
      <c r="L77" s="3" t="str">
        <f>IFERROR(MID(VLOOKUP($B77,Seqs!$A:$B,2,0),M77,1),"")</f>
        <v>T</v>
      </c>
      <c r="M77" s="3">
        <v>66</v>
      </c>
      <c r="N77" s="3" t="str">
        <f>IFERROR(MID(VLOOKUP($B77,Seqs!$A:$B,2,0),O77,1),"")</f>
        <v>M</v>
      </c>
      <c r="O77" s="3">
        <v>96</v>
      </c>
      <c r="P77" s="3" t="str">
        <f>IFERROR(MID(VLOOKUP($B77,Seqs!$A:$B,2,0),Q77,1),"")</f>
        <v>M</v>
      </c>
      <c r="Q77" s="3">
        <v>98</v>
      </c>
      <c r="R77" s="3" t="str">
        <f>IFERROR(MID(VLOOKUP($B77,Seqs!$A:$B,2,0),S77,1),"")</f>
        <v>F</v>
      </c>
      <c r="S77" s="3">
        <v>101</v>
      </c>
      <c r="T77" s="3" t="str">
        <f>IFERROR(MID(VLOOKUP($B77,Seqs!$A:$B,2,0),U77,1),"")</f>
        <v>G</v>
      </c>
      <c r="U77" s="3">
        <v>102</v>
      </c>
      <c r="V77" s="3" t="str">
        <f>IFERROR(MID(VLOOKUP($B77,Seqs!$A:$B,2,0),W77,1),"")</f>
        <v>S</v>
      </c>
      <c r="W77" s="3">
        <v>137</v>
      </c>
      <c r="X77" s="3" t="str">
        <f>IFERROR(MID(VLOOKUP($B77,Seqs!$A:$B,2,0),Y77,1),"")</f>
        <v>P</v>
      </c>
      <c r="Y77" s="3">
        <v>138</v>
      </c>
      <c r="Z77" s="3" t="str">
        <f>IFERROR(MID(VLOOKUP($B77,Seqs!$A:$B,2,0),AA77,1),"")</f>
        <v>L</v>
      </c>
      <c r="AA77" s="3">
        <v>145</v>
      </c>
      <c r="AB77" s="3" t="str">
        <f>IFERROR(MID(VLOOKUP($B77,Seqs!$A:$B,2,0),AC77,1),"")</f>
        <v>T</v>
      </c>
      <c r="AC77" s="9">
        <v>146</v>
      </c>
      <c r="AD77" s="3" t="str">
        <f>IFERROR(MID(VLOOKUP($B77,Seqs!$A:$B,2,0),AE77,1),"")</f>
        <v>H</v>
      </c>
      <c r="AE77" s="3">
        <v>172</v>
      </c>
      <c r="AF77" s="3" t="str">
        <f>IFERROR(MID(VLOOKUP($B77,Seqs!$A:$B,2,0),AG77,1),"")</f>
        <v>C</v>
      </c>
      <c r="AG77" s="3">
        <v>191</v>
      </c>
      <c r="AH77" s="3" t="str">
        <f>IFERROR(MID(VLOOKUP($B77,Seqs!$A:$B,2,0),AI77,1),"")</f>
        <v>F</v>
      </c>
      <c r="AI77" s="3">
        <v>193</v>
      </c>
      <c r="AJ77" s="3" t="str">
        <f>IFERROR(MID(VLOOKUP($B77,Seqs!$A:$B,2,0),AK77,1),"")</f>
        <v>N</v>
      </c>
      <c r="AK77" s="3">
        <v>196</v>
      </c>
      <c r="AL77" s="3" t="str">
        <f>IFERROR(MID(VLOOKUP($B77,Seqs!$A:$B,2,0),AM77,1),"")</f>
        <v>E</v>
      </c>
      <c r="AM77" s="3">
        <v>225</v>
      </c>
      <c r="AN77" s="3" t="str">
        <f>IFERROR(MID(VLOOKUP($B77,Seqs!$A:$B,2,0),AO77,1),"")</f>
        <v>L</v>
      </c>
      <c r="AO77" s="3">
        <v>266</v>
      </c>
      <c r="AP77" s="3" t="str">
        <f>IFERROR(MID(VLOOKUP($B77,Seqs!$A:$B,2,0),AQ77,1),"")</f>
        <v>Q</v>
      </c>
      <c r="AQ77" s="3">
        <v>299</v>
      </c>
      <c r="AR77" s="3" t="str">
        <f>IFERROR(MID(VLOOKUP($B77,Seqs!$A:$B,2,0),AS77,1),"")</f>
        <v>R</v>
      </c>
      <c r="AS77" s="3">
        <v>304</v>
      </c>
      <c r="AT77" s="3" t="str">
        <f>IFERROR(MID(VLOOKUP($B77,Seqs!$A:$B,2,0),AU77,1),"")</f>
        <v>R</v>
      </c>
      <c r="AU77" s="3">
        <v>328</v>
      </c>
      <c r="AV77" s="3" t="str">
        <f>IFERROR(MID(VLOOKUP($B77,Seqs!$A:$B,2,0),AW77,1),"")</f>
        <v>S</v>
      </c>
      <c r="AW77" s="3">
        <v>329</v>
      </c>
      <c r="AX77" s="3" t="str">
        <f>IFERROR(MID(VLOOKUP($B77,Seqs!$A:$B,2,0),AY77,1),"")</f>
        <v>C</v>
      </c>
      <c r="AY77" s="3">
        <v>341</v>
      </c>
      <c r="AZ77" s="79" t="str">
        <f>VLOOKUP(B77,Classification!A:D,2,0)</f>
        <v>A</v>
      </c>
      <c r="BA77" s="97" t="str">
        <f>VLOOKUP(B77,Classification!A:D,4,0)</f>
        <v>Adrenoceptors</v>
      </c>
      <c r="BB77" s="27" t="b">
        <f t="shared" si="363"/>
        <v>1</v>
      </c>
      <c r="BC77" s="23">
        <f t="shared" si="336"/>
        <v>248</v>
      </c>
      <c r="BD77" s="4" t="s">
        <v>23</v>
      </c>
      <c r="BE77" s="3" t="s">
        <v>1297</v>
      </c>
      <c r="BF77" s="124">
        <v>3.1</v>
      </c>
      <c r="BG77" s="50" t="s">
        <v>1384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337"/>
        <v>29</v>
      </c>
      <c r="BW77" s="73">
        <f t="shared" si="338"/>
        <v>62</v>
      </c>
      <c r="BX77" s="74">
        <f t="shared" si="339"/>
        <v>66</v>
      </c>
      <c r="BY77" s="73">
        <f t="shared" si="340"/>
        <v>98</v>
      </c>
      <c r="BZ77" s="74">
        <f t="shared" si="341"/>
        <v>102</v>
      </c>
      <c r="CA77" s="73">
        <f t="shared" si="342"/>
        <v>138</v>
      </c>
      <c r="CB77" s="74">
        <f t="shared" si="343"/>
        <v>146</v>
      </c>
      <c r="CC77" s="73">
        <f t="shared" si="344"/>
        <v>191</v>
      </c>
      <c r="CD77" s="74">
        <f t="shared" si="345"/>
        <v>196</v>
      </c>
      <c r="CE77" s="73">
        <f t="shared" si="346"/>
        <v>266</v>
      </c>
      <c r="CF77" s="74">
        <f t="shared" si="347"/>
        <v>304</v>
      </c>
      <c r="CG77" s="73">
        <f t="shared" si="348"/>
        <v>329</v>
      </c>
      <c r="CH77" s="72">
        <f t="shared" si="349"/>
        <v>61</v>
      </c>
      <c r="CI77" s="73">
        <f t="shared" si="350"/>
        <v>65</v>
      </c>
      <c r="CJ77" s="74">
        <f t="shared" si="351"/>
        <v>96</v>
      </c>
      <c r="CK77" s="74">
        <f t="shared" si="352"/>
        <v>101</v>
      </c>
      <c r="CL77" s="74">
        <f t="shared" si="353"/>
        <v>137</v>
      </c>
      <c r="CM77" s="74">
        <f t="shared" si="354"/>
        <v>145</v>
      </c>
      <c r="CN77" s="74">
        <f t="shared" si="355"/>
        <v>172</v>
      </c>
      <c r="CO77" s="74">
        <f t="shared" si="356"/>
        <v>193</v>
      </c>
      <c r="CP77" s="74">
        <f t="shared" si="357"/>
        <v>225</v>
      </c>
      <c r="CQ77" s="74">
        <f t="shared" si="358"/>
        <v>299</v>
      </c>
      <c r="CR77" s="74">
        <f t="shared" si="359"/>
        <v>328</v>
      </c>
      <c r="CS77" s="74">
        <f t="shared" si="360"/>
        <v>341</v>
      </c>
      <c r="CT77" s="23">
        <f t="shared" si="361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ht="17" customHeight="1" x14ac:dyDescent="0.2">
      <c r="A78" s="3" t="str">
        <f t="shared" si="362"/>
        <v>adrb2_human_4LDO</v>
      </c>
      <c r="B78" s="3" t="s">
        <v>126</v>
      </c>
      <c r="C78" s="3" t="s">
        <v>1046</v>
      </c>
      <c r="D78" s="3" t="str">
        <f>IFERROR(MID(VLOOKUP($B78,Seqs!$A:$B,2,0),E78,1),"")</f>
        <v>D</v>
      </c>
      <c r="E78" s="3">
        <v>29</v>
      </c>
      <c r="F78" s="3" t="str">
        <f>IFERROR(MID(VLOOKUP($B78,Seqs!$A:$B,2,0),G78,1),"")</f>
        <v>F</v>
      </c>
      <c r="G78" s="3">
        <v>61</v>
      </c>
      <c r="H78" s="3" t="str">
        <f>IFERROR(MID(VLOOKUP($B78,Seqs!$A:$B,2,0),I78,1),"")</f>
        <v>E</v>
      </c>
      <c r="I78" s="23">
        <v>62</v>
      </c>
      <c r="J78" s="3" t="str">
        <f>IFERROR(MID(VLOOKUP($B78,Seqs!$A:$B,2,0),K78,1),"")</f>
        <v>Q</v>
      </c>
      <c r="K78" s="23">
        <v>65</v>
      </c>
      <c r="L78" s="3" t="str">
        <f>IFERROR(MID(VLOOKUP($B78,Seqs!$A:$B,2,0),M78,1),"")</f>
        <v>T</v>
      </c>
      <c r="M78" s="3">
        <v>66</v>
      </c>
      <c r="N78" s="3" t="str">
        <f>IFERROR(MID(VLOOKUP($B78,Seqs!$A:$B,2,0),O78,1),"")</f>
        <v>M</v>
      </c>
      <c r="O78" s="3">
        <v>96</v>
      </c>
      <c r="P78" s="3" t="str">
        <f>IFERROR(MID(VLOOKUP($B78,Seqs!$A:$B,2,0),Q78,1),"")</f>
        <v>M</v>
      </c>
      <c r="Q78" s="3">
        <v>98</v>
      </c>
      <c r="R78" s="3" t="str">
        <f>IFERROR(MID(VLOOKUP($B78,Seqs!$A:$B,2,0),S78,1),"")</f>
        <v>F</v>
      </c>
      <c r="S78" s="3">
        <v>101</v>
      </c>
      <c r="T78" s="3" t="str">
        <f>IFERROR(MID(VLOOKUP($B78,Seqs!$A:$B,2,0),U78,1),"")</f>
        <v>G</v>
      </c>
      <c r="U78" s="3">
        <v>102</v>
      </c>
      <c r="V78" s="3" t="str">
        <f>IFERROR(MID(VLOOKUP($B78,Seqs!$A:$B,2,0),W78,1),"")</f>
        <v>S</v>
      </c>
      <c r="W78" s="3">
        <v>137</v>
      </c>
      <c r="X78" s="3" t="str">
        <f>IFERROR(MID(VLOOKUP($B78,Seqs!$A:$B,2,0),Y78,1),"")</f>
        <v>P</v>
      </c>
      <c r="Y78" s="3">
        <v>138</v>
      </c>
      <c r="Z78" s="3" t="str">
        <f>IFERROR(MID(VLOOKUP($B78,Seqs!$A:$B,2,0),AA78,1),"")</f>
        <v>L</v>
      </c>
      <c r="AA78" s="3">
        <v>145</v>
      </c>
      <c r="AB78" s="3" t="str">
        <f>IFERROR(MID(VLOOKUP($B78,Seqs!$A:$B,2,0),AC78,1),"")</f>
        <v>T</v>
      </c>
      <c r="AC78" s="9">
        <v>146</v>
      </c>
      <c r="AD78" s="3" t="str">
        <f>IFERROR(MID(VLOOKUP($B78,Seqs!$A:$B,2,0),AE78,1),"")</f>
        <v>H</v>
      </c>
      <c r="AE78" s="3">
        <v>172</v>
      </c>
      <c r="AF78" s="3" t="str">
        <f>IFERROR(MID(VLOOKUP($B78,Seqs!$A:$B,2,0),AG78,1),"")</f>
        <v>C</v>
      </c>
      <c r="AG78" s="3">
        <v>191</v>
      </c>
      <c r="AH78" s="3" t="str">
        <f>IFERROR(MID(VLOOKUP($B78,Seqs!$A:$B,2,0),AI78,1),"")</f>
        <v>F</v>
      </c>
      <c r="AI78" s="3">
        <v>193</v>
      </c>
      <c r="AJ78" s="3" t="str">
        <f>IFERROR(MID(VLOOKUP($B78,Seqs!$A:$B,2,0),AK78,1),"")</f>
        <v>N</v>
      </c>
      <c r="AK78" s="3">
        <v>196</v>
      </c>
      <c r="AL78" s="3" t="str">
        <f>IFERROR(MID(VLOOKUP($B78,Seqs!$A:$B,2,0),AM78,1),"")</f>
        <v>E</v>
      </c>
      <c r="AM78" s="3">
        <v>225</v>
      </c>
      <c r="AN78" s="3" t="str">
        <f>IFERROR(MID(VLOOKUP($B78,Seqs!$A:$B,2,0),AO78,1),"")</f>
        <v>L</v>
      </c>
      <c r="AO78" s="3">
        <v>266</v>
      </c>
      <c r="AP78" s="3" t="str">
        <f>IFERROR(MID(VLOOKUP($B78,Seqs!$A:$B,2,0),AQ78,1),"")</f>
        <v>Q</v>
      </c>
      <c r="AQ78" s="3">
        <v>299</v>
      </c>
      <c r="AR78" s="3" t="str">
        <f>IFERROR(MID(VLOOKUP($B78,Seqs!$A:$B,2,0),AS78,1),"")</f>
        <v>R</v>
      </c>
      <c r="AS78" s="3">
        <v>304</v>
      </c>
      <c r="AT78" s="3" t="str">
        <f>IFERROR(MID(VLOOKUP($B78,Seqs!$A:$B,2,0),AU78,1),"")</f>
        <v>R</v>
      </c>
      <c r="AU78" s="3">
        <v>328</v>
      </c>
      <c r="AV78" s="3" t="str">
        <f>IFERROR(MID(VLOOKUP($B78,Seqs!$A:$B,2,0),AW78,1),"")</f>
        <v>S</v>
      </c>
      <c r="AW78" s="3">
        <v>329</v>
      </c>
      <c r="AX78" s="3" t="str">
        <f>IFERROR(MID(VLOOKUP($B78,Seqs!$A:$B,2,0),AY78,1),"")</f>
        <v>C</v>
      </c>
      <c r="AY78" s="3">
        <v>341</v>
      </c>
      <c r="AZ78" s="79" t="str">
        <f>VLOOKUP(B78,Classification!A:D,2,0)</f>
        <v>A</v>
      </c>
      <c r="BA78" s="97" t="str">
        <f>VLOOKUP(B78,Classification!A:D,4,0)</f>
        <v>Adrenoceptors</v>
      </c>
      <c r="BB78" s="27" t="b">
        <f t="shared" si="363"/>
        <v>1</v>
      </c>
      <c r="BC78" s="23">
        <f t="shared" si="336"/>
        <v>248</v>
      </c>
      <c r="BD78" s="4" t="s">
        <v>23</v>
      </c>
      <c r="BE78" s="3" t="s">
        <v>1297</v>
      </c>
      <c r="BF78" s="124">
        <v>3.2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337"/>
        <v>29</v>
      </c>
      <c r="BW78" s="73">
        <f t="shared" si="338"/>
        <v>62</v>
      </c>
      <c r="BX78" s="74">
        <f t="shared" si="339"/>
        <v>66</v>
      </c>
      <c r="BY78" s="73">
        <f t="shared" si="340"/>
        <v>98</v>
      </c>
      <c r="BZ78" s="74">
        <f t="shared" si="341"/>
        <v>102</v>
      </c>
      <c r="CA78" s="73">
        <f t="shared" si="342"/>
        <v>138</v>
      </c>
      <c r="CB78" s="74">
        <f t="shared" si="343"/>
        <v>146</v>
      </c>
      <c r="CC78" s="73">
        <f t="shared" si="344"/>
        <v>191</v>
      </c>
      <c r="CD78" s="74">
        <f t="shared" si="345"/>
        <v>196</v>
      </c>
      <c r="CE78" s="73">
        <f t="shared" si="346"/>
        <v>266</v>
      </c>
      <c r="CF78" s="74">
        <f t="shared" si="347"/>
        <v>304</v>
      </c>
      <c r="CG78" s="73">
        <f t="shared" si="348"/>
        <v>329</v>
      </c>
      <c r="CH78" s="72">
        <f t="shared" si="349"/>
        <v>61</v>
      </c>
      <c r="CI78" s="73">
        <f t="shared" si="350"/>
        <v>65</v>
      </c>
      <c r="CJ78" s="74">
        <f t="shared" si="351"/>
        <v>96</v>
      </c>
      <c r="CK78" s="74">
        <f t="shared" si="352"/>
        <v>101</v>
      </c>
      <c r="CL78" s="74">
        <f t="shared" si="353"/>
        <v>137</v>
      </c>
      <c r="CM78" s="74">
        <f t="shared" si="354"/>
        <v>145</v>
      </c>
      <c r="CN78" s="74">
        <f t="shared" si="355"/>
        <v>172</v>
      </c>
      <c r="CO78" s="74">
        <f t="shared" si="356"/>
        <v>193</v>
      </c>
      <c r="CP78" s="74">
        <f t="shared" si="357"/>
        <v>225</v>
      </c>
      <c r="CQ78" s="74">
        <f t="shared" si="358"/>
        <v>299</v>
      </c>
      <c r="CR78" s="74">
        <f t="shared" si="359"/>
        <v>328</v>
      </c>
      <c r="CS78" s="74">
        <f t="shared" si="360"/>
        <v>341</v>
      </c>
      <c r="CT78" s="23">
        <f t="shared" si="361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362"/>
        <v>adrb2_human_4QKX</v>
      </c>
      <c r="B79" s="3" t="s">
        <v>126</v>
      </c>
      <c r="C79" s="3" t="s">
        <v>78</v>
      </c>
      <c r="D79" s="3" t="str">
        <f>IFERROR(MID(VLOOKUP($B79,Seqs!$A:$B,2,0),E79,1),"")</f>
        <v>D</v>
      </c>
      <c r="E79" s="3">
        <v>29</v>
      </c>
      <c r="F79" s="3" t="str">
        <f>IFERROR(MID(VLOOKUP($B79,Seqs!$A:$B,2,0),G79,1),"")</f>
        <v>F</v>
      </c>
      <c r="G79" s="3">
        <v>61</v>
      </c>
      <c r="H79" s="3" t="str">
        <f>IFERROR(MID(VLOOKUP($B79,Seqs!$A:$B,2,0),I79,1),"")</f>
        <v>E</v>
      </c>
      <c r="I79" s="23">
        <v>62</v>
      </c>
      <c r="J79" s="3" t="str">
        <f>IFERROR(MID(VLOOKUP($B79,Seqs!$A:$B,2,0),K79,1),"")</f>
        <v>Q</v>
      </c>
      <c r="K79" s="23">
        <v>65</v>
      </c>
      <c r="L79" s="3" t="str">
        <f>IFERROR(MID(VLOOKUP($B79,Seqs!$A:$B,2,0),M79,1),"")</f>
        <v>T</v>
      </c>
      <c r="M79" s="3">
        <v>66</v>
      </c>
      <c r="N79" s="3" t="str">
        <f>IFERROR(MID(VLOOKUP($B79,Seqs!$A:$B,2,0),O79,1),"")</f>
        <v>M</v>
      </c>
      <c r="O79" s="3">
        <v>96</v>
      </c>
      <c r="P79" s="3" t="str">
        <f>IFERROR(MID(VLOOKUP($B79,Seqs!$A:$B,2,0),Q79,1),"")</f>
        <v>M</v>
      </c>
      <c r="Q79" s="3">
        <v>98</v>
      </c>
      <c r="R79" s="3" t="str">
        <f>IFERROR(MID(VLOOKUP($B79,Seqs!$A:$B,2,0),S79,1),"")</f>
        <v>F</v>
      </c>
      <c r="S79" s="3">
        <v>101</v>
      </c>
      <c r="T79" s="3" t="str">
        <f>IFERROR(MID(VLOOKUP($B79,Seqs!$A:$B,2,0),U79,1),"")</f>
        <v>G</v>
      </c>
      <c r="U79" s="3">
        <v>102</v>
      </c>
      <c r="V79" s="3" t="str">
        <f>IFERROR(MID(VLOOKUP($B79,Seqs!$A:$B,2,0),W79,1),"")</f>
        <v>S</v>
      </c>
      <c r="W79" s="3">
        <v>137</v>
      </c>
      <c r="X79" s="3" t="str">
        <f>IFERROR(MID(VLOOKUP($B79,Seqs!$A:$B,2,0),Y79,1),"")</f>
        <v>P</v>
      </c>
      <c r="Y79" s="3">
        <v>138</v>
      </c>
      <c r="Z79" s="3" t="str">
        <f>IFERROR(MID(VLOOKUP($B79,Seqs!$A:$B,2,0),AA79,1),"")</f>
        <v>L</v>
      </c>
      <c r="AA79" s="3">
        <v>145</v>
      </c>
      <c r="AB79" s="3" t="str">
        <f>IFERROR(MID(VLOOKUP($B79,Seqs!$A:$B,2,0),AC79,1),"")</f>
        <v>T</v>
      </c>
      <c r="AC79" s="9">
        <v>146</v>
      </c>
      <c r="AD79" s="3" t="str">
        <f>IFERROR(MID(VLOOKUP($B79,Seqs!$A:$B,2,0),AE79,1),"")</f>
        <v>H</v>
      </c>
      <c r="AE79" s="3">
        <v>172</v>
      </c>
      <c r="AF79" s="3" t="str">
        <f>IFERROR(MID(VLOOKUP($B79,Seqs!$A:$B,2,0),AG79,1),"")</f>
        <v>C</v>
      </c>
      <c r="AG79" s="3">
        <v>191</v>
      </c>
      <c r="AH79" s="3" t="str">
        <f>IFERROR(MID(VLOOKUP($B79,Seqs!$A:$B,2,0),AI79,1),"")</f>
        <v>F</v>
      </c>
      <c r="AI79" s="3">
        <v>193</v>
      </c>
      <c r="AJ79" s="3" t="str">
        <f>IFERROR(MID(VLOOKUP($B79,Seqs!$A:$B,2,0),AK79,1),"")</f>
        <v>N</v>
      </c>
      <c r="AK79" s="3">
        <v>196</v>
      </c>
      <c r="AL79" s="3" t="str">
        <f>IFERROR(MID(VLOOKUP($B79,Seqs!$A:$B,2,0),AM79,1),"")</f>
        <v>E</v>
      </c>
      <c r="AM79" s="3">
        <v>225</v>
      </c>
      <c r="AN79" s="3" t="str">
        <f>IFERROR(MID(VLOOKUP($B79,Seqs!$A:$B,2,0),AO79,1),"")</f>
        <v>L</v>
      </c>
      <c r="AO79" s="3">
        <v>266</v>
      </c>
      <c r="AP79" s="3" t="str">
        <f>IFERROR(MID(VLOOKUP($B79,Seqs!$A:$B,2,0),AQ79,1),"")</f>
        <v>Q</v>
      </c>
      <c r="AQ79" s="3">
        <v>299</v>
      </c>
      <c r="AR79" s="3" t="str">
        <f>IFERROR(MID(VLOOKUP($B79,Seqs!$A:$B,2,0),AS79,1),"")</f>
        <v>R</v>
      </c>
      <c r="AS79" s="3">
        <v>304</v>
      </c>
      <c r="AT79" s="3" t="str">
        <f>IFERROR(MID(VLOOKUP($B79,Seqs!$A:$B,2,0),AU79,1),"")</f>
        <v>R</v>
      </c>
      <c r="AU79" s="3">
        <v>328</v>
      </c>
      <c r="AV79" s="3" t="str">
        <f>IFERROR(MID(VLOOKUP($B79,Seqs!$A:$B,2,0),AW79,1),"")</f>
        <v>S</v>
      </c>
      <c r="AW79" s="3">
        <v>329</v>
      </c>
      <c r="AX79" s="3" t="str">
        <f>IFERROR(MID(VLOOKUP($B79,Seqs!$A:$B,2,0),AY79,1),"")</f>
        <v>C</v>
      </c>
      <c r="AY79" s="3">
        <v>341</v>
      </c>
      <c r="AZ79" s="79" t="str">
        <f>VLOOKUP(B79,Classification!A:D,2,0)</f>
        <v>A</v>
      </c>
      <c r="BA79" s="97" t="str">
        <f>VLOOKUP(B79,Classification!A:D,4,0)</f>
        <v>Adrenoceptors</v>
      </c>
      <c r="BB79" s="27" t="b">
        <f t="shared" si="363"/>
        <v>1</v>
      </c>
      <c r="BC79" s="23">
        <f t="shared" si="336"/>
        <v>248</v>
      </c>
      <c r="BD79" s="4" t="s">
        <v>23</v>
      </c>
      <c r="BE79" s="3" t="s">
        <v>1297</v>
      </c>
      <c r="BF79" s="124">
        <v>3.3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337"/>
        <v>29</v>
      </c>
      <c r="BW79" s="73">
        <f t="shared" si="338"/>
        <v>62</v>
      </c>
      <c r="BX79" s="74">
        <f t="shared" si="339"/>
        <v>66</v>
      </c>
      <c r="BY79" s="73">
        <f t="shared" si="340"/>
        <v>98</v>
      </c>
      <c r="BZ79" s="74">
        <f t="shared" si="341"/>
        <v>102</v>
      </c>
      <c r="CA79" s="73">
        <f t="shared" si="342"/>
        <v>138</v>
      </c>
      <c r="CB79" s="74">
        <f t="shared" si="343"/>
        <v>146</v>
      </c>
      <c r="CC79" s="73">
        <f t="shared" si="344"/>
        <v>191</v>
      </c>
      <c r="CD79" s="74">
        <f t="shared" si="345"/>
        <v>196</v>
      </c>
      <c r="CE79" s="73">
        <f t="shared" si="346"/>
        <v>266</v>
      </c>
      <c r="CF79" s="74">
        <f t="shared" si="347"/>
        <v>304</v>
      </c>
      <c r="CG79" s="73">
        <f t="shared" si="348"/>
        <v>329</v>
      </c>
      <c r="CH79" s="72">
        <f t="shared" si="349"/>
        <v>61</v>
      </c>
      <c r="CI79" s="73">
        <f t="shared" si="350"/>
        <v>65</v>
      </c>
      <c r="CJ79" s="74">
        <f t="shared" si="351"/>
        <v>96</v>
      </c>
      <c r="CK79" s="74">
        <f t="shared" si="352"/>
        <v>101</v>
      </c>
      <c r="CL79" s="74">
        <f t="shared" si="353"/>
        <v>137</v>
      </c>
      <c r="CM79" s="74">
        <f t="shared" si="354"/>
        <v>145</v>
      </c>
      <c r="CN79" s="74">
        <f t="shared" si="355"/>
        <v>172</v>
      </c>
      <c r="CO79" s="74">
        <f t="shared" si="356"/>
        <v>193</v>
      </c>
      <c r="CP79" s="74">
        <f t="shared" si="357"/>
        <v>225</v>
      </c>
      <c r="CQ79" s="74">
        <f t="shared" si="358"/>
        <v>299</v>
      </c>
      <c r="CR79" s="74">
        <f t="shared" si="359"/>
        <v>328</v>
      </c>
      <c r="CS79" s="74">
        <f t="shared" si="360"/>
        <v>341</v>
      </c>
      <c r="CT79" s="23">
        <f t="shared" si="361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62"/>
        <v>adrb2_human_5D6L</v>
      </c>
      <c r="B80" s="3" t="s">
        <v>126</v>
      </c>
      <c r="C80" s="3" t="s">
        <v>1349</v>
      </c>
      <c r="D80" s="3" t="str">
        <f>IFERROR(MID(VLOOKUP($B80,Seqs!$A:$B,2,0),E80,1),"")</f>
        <v>D</v>
      </c>
      <c r="E80" s="3">
        <v>29</v>
      </c>
      <c r="F80" s="3" t="str">
        <f>IFERROR(MID(VLOOKUP($B80,Seqs!$A:$B,2,0),G80,1),"")</f>
        <v>F</v>
      </c>
      <c r="G80" s="3">
        <v>61</v>
      </c>
      <c r="H80" s="3" t="str">
        <f>IFERROR(MID(VLOOKUP($B80,Seqs!$A:$B,2,0),I80,1),"")</f>
        <v>E</v>
      </c>
      <c r="I80" s="23">
        <v>62</v>
      </c>
      <c r="J80" s="3" t="str">
        <f>IFERROR(MID(VLOOKUP($B80,Seqs!$A:$B,2,0),K80,1),"")</f>
        <v>Q</v>
      </c>
      <c r="K80" s="23">
        <v>65</v>
      </c>
      <c r="L80" s="3" t="str">
        <f>IFERROR(MID(VLOOKUP($B80,Seqs!$A:$B,2,0),M80,1),"")</f>
        <v>T</v>
      </c>
      <c r="M80" s="3">
        <v>66</v>
      </c>
      <c r="N80" s="3" t="str">
        <f>IFERROR(MID(VLOOKUP($B80,Seqs!$A:$B,2,0),O80,1),"")</f>
        <v>M</v>
      </c>
      <c r="O80" s="3">
        <v>96</v>
      </c>
      <c r="P80" s="3" t="str">
        <f>IFERROR(MID(VLOOKUP($B80,Seqs!$A:$B,2,0),Q80,1),"")</f>
        <v>M</v>
      </c>
      <c r="Q80" s="3">
        <v>98</v>
      </c>
      <c r="R80" s="3" t="str">
        <f>IFERROR(MID(VLOOKUP($B80,Seqs!$A:$B,2,0),S80,1),"")</f>
        <v>F</v>
      </c>
      <c r="S80" s="3">
        <v>101</v>
      </c>
      <c r="T80" s="3" t="str">
        <f>IFERROR(MID(VLOOKUP($B80,Seqs!$A:$B,2,0),U80,1),"")</f>
        <v>G</v>
      </c>
      <c r="U80" s="3">
        <v>102</v>
      </c>
      <c r="V80" s="3" t="str">
        <f>IFERROR(MID(VLOOKUP($B80,Seqs!$A:$B,2,0),W80,1),"")</f>
        <v>S</v>
      </c>
      <c r="W80" s="3">
        <v>137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T</v>
      </c>
      <c r="AC80" s="9">
        <v>146</v>
      </c>
      <c r="AD80" s="3" t="str">
        <f>IFERROR(MID(VLOOKUP($B80,Seqs!$A:$B,2,0),AE80,1),"")</f>
        <v>H</v>
      </c>
      <c r="AE80" s="3">
        <v>172</v>
      </c>
      <c r="AF80" s="3" t="str">
        <f>IFERROR(MID(VLOOKUP($B80,Seqs!$A:$B,2,0),AG80,1),"")</f>
        <v>C</v>
      </c>
      <c r="AG80" s="3">
        <v>191</v>
      </c>
      <c r="AH80" s="3" t="str">
        <f>IFERROR(MID(VLOOKUP($B80,Seqs!$A:$B,2,0),AI80,1),"")</f>
        <v>F</v>
      </c>
      <c r="AI80" s="3">
        <v>193</v>
      </c>
      <c r="AJ80" s="3" t="str">
        <f>IFERROR(MID(VLOOKUP($B80,Seqs!$A:$B,2,0),AK80,1),"")</f>
        <v>N</v>
      </c>
      <c r="AK80" s="3">
        <v>196</v>
      </c>
      <c r="AL80" s="3" t="str">
        <f>IFERROR(MID(VLOOKUP($B80,Seqs!$A:$B,2,0),AM80,1),"")</f>
        <v>Q</v>
      </c>
      <c r="AM80" s="3">
        <v>229</v>
      </c>
      <c r="AN80" s="3" t="str">
        <f>IFERROR(MID(VLOOKUP($B80,Seqs!$A:$B,2,0),AO80,1),"")</f>
        <v>K</v>
      </c>
      <c r="AO80" s="3">
        <v>267</v>
      </c>
      <c r="AP80" s="3" t="str">
        <f>IFERROR(MID(VLOOKUP($B80,Seqs!$A:$B,2,0),AQ80,1),"")</f>
        <v>Q</v>
      </c>
      <c r="AQ80" s="3">
        <v>299</v>
      </c>
      <c r="AR80" s="3" t="str">
        <f>IFERROR(MID(VLOOKUP($B80,Seqs!$A:$B,2,0),AS80,1),"")</f>
        <v>R</v>
      </c>
      <c r="AS80" s="3">
        <v>304</v>
      </c>
      <c r="AT80" s="3" t="str">
        <f>IFERROR(MID(VLOOKUP($B80,Seqs!$A:$B,2,0),AU80,1),"")</f>
        <v>R</v>
      </c>
      <c r="AU80" s="3">
        <v>328</v>
      </c>
      <c r="AV80" s="3" t="str">
        <f>IFERROR(MID(VLOOKUP($B80,Seqs!$A:$B,2,0),AW80,1),"")</f>
        <v>S</v>
      </c>
      <c r="AW80" s="3">
        <v>329</v>
      </c>
      <c r="AX80" s="3" t="str">
        <f>IFERROR(MID(VLOOKUP($B80,Seqs!$A:$B,2,0),AY80,1),"")</f>
        <v>C</v>
      </c>
      <c r="AY80" s="3">
        <v>341</v>
      </c>
      <c r="AZ80" s="79" t="str">
        <f>VLOOKUP(B80,Classification!A:D,2,0)</f>
        <v>A</v>
      </c>
      <c r="BA80" s="97" t="str">
        <f>VLOOKUP(B80,Classification!A:D,4,0)</f>
        <v>Adrenoceptors</v>
      </c>
      <c r="BB80" s="27" t="b">
        <f t="shared" si="363"/>
        <v>1</v>
      </c>
      <c r="BC80" s="23">
        <f t="shared" si="336"/>
        <v>244</v>
      </c>
      <c r="BD80" s="4" t="s">
        <v>23</v>
      </c>
      <c r="BE80" s="3" t="s">
        <v>1381</v>
      </c>
      <c r="BF80" s="124">
        <v>3.2</v>
      </c>
      <c r="BG80" s="50" t="s">
        <v>1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337"/>
        <v>29</v>
      </c>
      <c r="BW80" s="73">
        <f t="shared" si="338"/>
        <v>62</v>
      </c>
      <c r="BX80" s="74">
        <f t="shared" si="339"/>
        <v>66</v>
      </c>
      <c r="BY80" s="73">
        <f t="shared" si="340"/>
        <v>98</v>
      </c>
      <c r="BZ80" s="74">
        <f t="shared" si="341"/>
        <v>102</v>
      </c>
      <c r="CA80" s="73" t="str">
        <f t="shared" si="342"/>
        <v>-</v>
      </c>
      <c r="CB80" s="74">
        <f t="shared" si="343"/>
        <v>146</v>
      </c>
      <c r="CC80" s="73">
        <f t="shared" si="344"/>
        <v>191</v>
      </c>
      <c r="CD80" s="74">
        <f t="shared" si="345"/>
        <v>196</v>
      </c>
      <c r="CE80" s="73">
        <f t="shared" si="346"/>
        <v>267</v>
      </c>
      <c r="CF80" s="74">
        <f t="shared" si="347"/>
        <v>304</v>
      </c>
      <c r="CG80" s="73">
        <f t="shared" si="348"/>
        <v>329</v>
      </c>
      <c r="CH80" s="72">
        <f t="shared" si="349"/>
        <v>61</v>
      </c>
      <c r="CI80" s="73">
        <f t="shared" si="350"/>
        <v>65</v>
      </c>
      <c r="CJ80" s="74">
        <f t="shared" si="351"/>
        <v>96</v>
      </c>
      <c r="CK80" s="74">
        <f t="shared" si="352"/>
        <v>101</v>
      </c>
      <c r="CL80" s="74">
        <f t="shared" si="353"/>
        <v>137</v>
      </c>
      <c r="CM80" s="74" t="str">
        <f t="shared" si="354"/>
        <v>-</v>
      </c>
      <c r="CN80" s="74">
        <f t="shared" si="355"/>
        <v>172</v>
      </c>
      <c r="CO80" s="74">
        <f t="shared" si="356"/>
        <v>193</v>
      </c>
      <c r="CP80" s="74">
        <f t="shared" si="357"/>
        <v>229</v>
      </c>
      <c r="CQ80" s="74">
        <f t="shared" si="358"/>
        <v>299</v>
      </c>
      <c r="CR80" s="74">
        <f t="shared" si="359"/>
        <v>328</v>
      </c>
      <c r="CS80" s="74">
        <f t="shared" si="360"/>
        <v>341</v>
      </c>
      <c r="CT80" s="23">
        <f t="shared" si="361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si="362"/>
        <v>adrb2_human_5JQH</v>
      </c>
      <c r="B81" s="3" t="s">
        <v>126</v>
      </c>
      <c r="C81" s="3" t="s">
        <v>1350</v>
      </c>
      <c r="D81" s="3" t="str">
        <f>IFERROR(MID(VLOOKUP($B81,Seqs!$A:$B,2,0),E81,1),"")</f>
        <v>D</v>
      </c>
      <c r="E81" s="3">
        <v>23</v>
      </c>
      <c r="F81" s="3" t="str">
        <f>IFERROR(MID(VLOOKUP($B81,Seqs!$A:$B,2,0),G81,1),"")</f>
        <v>F</v>
      </c>
      <c r="G81" s="3">
        <v>61</v>
      </c>
      <c r="H81" s="3" t="str">
        <f>IFERROR(MID(VLOOKUP($B81,Seqs!$A:$B,2,0),I81,1),"")</f>
        <v>E</v>
      </c>
      <c r="I81" s="23">
        <v>62</v>
      </c>
      <c r="J81" s="3" t="str">
        <f>IFERROR(MID(VLOOKUP($B81,Seqs!$A:$B,2,0),K81,1),"")</f>
        <v>Q</v>
      </c>
      <c r="K81" s="23">
        <v>65</v>
      </c>
      <c r="L81" s="3" t="str">
        <f>IFERROR(MID(VLOOKUP($B81,Seqs!$A:$B,2,0),M81,1),"")</f>
        <v>T</v>
      </c>
      <c r="M81" s="3">
        <v>66</v>
      </c>
      <c r="N81" s="3" t="str">
        <f>IFERROR(MID(VLOOKUP($B81,Seqs!$A:$B,2,0),O81,1),"")</f>
        <v>M</v>
      </c>
      <c r="O81" s="3">
        <v>96</v>
      </c>
      <c r="P81" s="3" t="str">
        <f>IFERROR(MID(VLOOKUP($B81,Seqs!$A:$B,2,0),Q81,1),"")</f>
        <v>M</v>
      </c>
      <c r="Q81" s="3">
        <v>98</v>
      </c>
      <c r="R81" s="3" t="str">
        <f>IFERROR(MID(VLOOKUP($B81,Seqs!$A:$B,2,0),S81,1),"")</f>
        <v>F</v>
      </c>
      <c r="S81" s="3">
        <v>101</v>
      </c>
      <c r="T81" s="3" t="str">
        <f>IFERROR(MID(VLOOKUP($B81,Seqs!$A:$B,2,0),U81,1),"")</f>
        <v>G</v>
      </c>
      <c r="U81" s="3">
        <v>102</v>
      </c>
      <c r="V81" s="3" t="str">
        <f>IFERROR(MID(VLOOKUP($B81,Seqs!$A:$B,2,0),W81,1),"")</f>
        <v>S</v>
      </c>
      <c r="W81" s="3">
        <v>137</v>
      </c>
      <c r="X81" s="3" t="str">
        <f>IFERROR(MID(VLOOKUP($B81,Seqs!$A:$B,2,0),Y81,1),"")</f>
        <v/>
      </c>
      <c r="Y81" s="3" t="s">
        <v>23</v>
      </c>
      <c r="Z81" s="3" t="str">
        <f>IFERROR(MID(VLOOKUP($B81,Seqs!$A:$B,2,0),AA81,1),"")</f>
        <v/>
      </c>
      <c r="AA81" s="3" t="s">
        <v>23</v>
      </c>
      <c r="AB81" s="3" t="str">
        <f>IFERROR(MID(VLOOKUP($B81,Seqs!$A:$B,2,0),AC81,1),"")</f>
        <v>T</v>
      </c>
      <c r="AC81" s="9">
        <v>146</v>
      </c>
      <c r="AD81" s="3" t="str">
        <f>IFERROR(MID(VLOOKUP($B81,Seqs!$A:$B,2,0),AE81,1),"")</f>
        <v>H</v>
      </c>
      <c r="AE81" s="3">
        <v>172</v>
      </c>
      <c r="AF81" s="3" t="str">
        <f>IFERROR(MID(VLOOKUP($B81,Seqs!$A:$B,2,0),AG81,1),"")</f>
        <v>C</v>
      </c>
      <c r="AG81" s="3">
        <v>191</v>
      </c>
      <c r="AH81" s="3" t="str">
        <f>IFERROR(MID(VLOOKUP($B81,Seqs!$A:$B,2,0),AI81,1),"")</f>
        <v>F</v>
      </c>
      <c r="AI81" s="3">
        <v>193</v>
      </c>
      <c r="AJ81" s="3" t="str">
        <f>IFERROR(MID(VLOOKUP($B81,Seqs!$A:$B,2,0),AK81,1),"")</f>
        <v>N</v>
      </c>
      <c r="AK81" s="3">
        <v>196</v>
      </c>
      <c r="AL81" s="3" t="str">
        <f>IFERROR(MID(VLOOKUP($B81,Seqs!$A:$B,2,0),AM81,1),"")</f>
        <v>L</v>
      </c>
      <c r="AM81" s="3">
        <v>230</v>
      </c>
      <c r="AN81" s="3" t="str">
        <f>IFERROR(MID(VLOOKUP($B81,Seqs!$A:$B,2,0),AO81,1),"")</f>
        <v>A</v>
      </c>
      <c r="AO81" s="3">
        <v>271</v>
      </c>
      <c r="AP81" s="3" t="str">
        <f>IFERROR(MID(VLOOKUP($B81,Seqs!$A:$B,2,0),AQ81,1),"")</f>
        <v>Q</v>
      </c>
      <c r="AQ81" s="3">
        <v>299</v>
      </c>
      <c r="AR81" s="3" t="str">
        <f>IFERROR(MID(VLOOKUP($B81,Seqs!$A:$B,2,0),AS81,1),"")</f>
        <v>R</v>
      </c>
      <c r="AS81" s="3">
        <v>304</v>
      </c>
      <c r="AT81" s="3" t="str">
        <f>IFERROR(MID(VLOOKUP($B81,Seqs!$A:$B,2,0),AU81,1),"")</f>
        <v>R</v>
      </c>
      <c r="AU81" s="3">
        <v>328</v>
      </c>
      <c r="AV81" s="3" t="str">
        <f>IFERROR(MID(VLOOKUP($B81,Seqs!$A:$B,2,0),AW81,1),"")</f>
        <v>S</v>
      </c>
      <c r="AW81" s="3">
        <v>329</v>
      </c>
      <c r="AX81" s="3" t="str">
        <f>IFERROR(MID(VLOOKUP($B81,Seqs!$A:$B,2,0),AY81,1),"")</f>
        <v>C</v>
      </c>
      <c r="AY81" s="3">
        <v>341</v>
      </c>
      <c r="AZ81" s="79" t="str">
        <f>VLOOKUP(B81,Classification!A:D,2,0)</f>
        <v>A</v>
      </c>
      <c r="BA81" s="97" t="str">
        <f>VLOOKUP(B81,Classification!A:D,4,0)</f>
        <v>Adrenoceptors</v>
      </c>
      <c r="BB81" s="27" t="b">
        <f t="shared" si="363"/>
        <v>1</v>
      </c>
      <c r="BC81" s="23">
        <f t="shared" si="336"/>
        <v>247</v>
      </c>
      <c r="BD81" s="76" t="s">
        <v>1383</v>
      </c>
      <c r="BE81" s="3" t="s">
        <v>1381</v>
      </c>
      <c r="BF81" s="124">
        <v>3.2</v>
      </c>
      <c r="BG81" s="50" t="s">
        <v>1287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si="337"/>
        <v>23</v>
      </c>
      <c r="BW81" s="73">
        <f t="shared" si="338"/>
        <v>62</v>
      </c>
      <c r="BX81" s="74">
        <f t="shared" si="339"/>
        <v>66</v>
      </c>
      <c r="BY81" s="73">
        <f t="shared" si="340"/>
        <v>98</v>
      </c>
      <c r="BZ81" s="74">
        <f t="shared" si="341"/>
        <v>102</v>
      </c>
      <c r="CA81" s="73" t="str">
        <f t="shared" si="342"/>
        <v>-</v>
      </c>
      <c r="CB81" s="74">
        <f t="shared" si="343"/>
        <v>146</v>
      </c>
      <c r="CC81" s="73">
        <f t="shared" si="344"/>
        <v>191</v>
      </c>
      <c r="CD81" s="74">
        <f t="shared" si="345"/>
        <v>196</v>
      </c>
      <c r="CE81" s="73">
        <f t="shared" si="346"/>
        <v>271</v>
      </c>
      <c r="CF81" s="74">
        <f t="shared" si="347"/>
        <v>304</v>
      </c>
      <c r="CG81" s="73">
        <f t="shared" si="348"/>
        <v>329</v>
      </c>
      <c r="CH81" s="72">
        <f t="shared" si="349"/>
        <v>61</v>
      </c>
      <c r="CI81" s="73">
        <f t="shared" si="350"/>
        <v>65</v>
      </c>
      <c r="CJ81" s="74">
        <f t="shared" si="351"/>
        <v>96</v>
      </c>
      <c r="CK81" s="74">
        <f t="shared" si="352"/>
        <v>101</v>
      </c>
      <c r="CL81" s="74">
        <f t="shared" si="353"/>
        <v>137</v>
      </c>
      <c r="CM81" s="74" t="str">
        <f t="shared" si="354"/>
        <v>-</v>
      </c>
      <c r="CN81" s="74">
        <f t="shared" si="355"/>
        <v>172</v>
      </c>
      <c r="CO81" s="74">
        <f t="shared" si="356"/>
        <v>193</v>
      </c>
      <c r="CP81" s="74">
        <f t="shared" si="357"/>
        <v>230</v>
      </c>
      <c r="CQ81" s="74">
        <f t="shared" si="358"/>
        <v>299</v>
      </c>
      <c r="CR81" s="74">
        <f t="shared" si="359"/>
        <v>328</v>
      </c>
      <c r="CS81" s="74">
        <f t="shared" si="360"/>
        <v>341</v>
      </c>
      <c r="CT81" s="23">
        <f t="shared" si="361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s="12" customFormat="1" x14ac:dyDescent="0.2">
      <c r="A82" s="9" t="str">
        <f t="shared" ref="A82" si="364">CONCATENATE(B82,"_",C82)</f>
        <v>adrb2_human_5X7D</v>
      </c>
      <c r="B82" s="9" t="s">
        <v>126</v>
      </c>
      <c r="C82" s="9" t="s">
        <v>1448</v>
      </c>
      <c r="D82" s="9" t="str">
        <f>IFERROR(MID(VLOOKUP($B82,Seqs!$A:$B,2,0),E82,1),"")</f>
        <v>V</v>
      </c>
      <c r="E82" s="9">
        <v>33</v>
      </c>
      <c r="F82" s="9" t="str">
        <f>IFERROR(MID(VLOOKUP($B82,Seqs!$A:$B,2,0),G82,1),"")</f>
        <v>F</v>
      </c>
      <c r="G82" s="9">
        <v>61</v>
      </c>
      <c r="H82" s="9" t="str">
        <f>IFERROR(MID(VLOOKUP($B82,Seqs!$A:$B,2,0),I82,1),"")</f>
        <v>E</v>
      </c>
      <c r="I82" s="112">
        <v>62</v>
      </c>
      <c r="J82" s="9" t="str">
        <f>IFERROR(MID(VLOOKUP($B82,Seqs!$A:$B,2,0),K82,1),"")</f>
        <v>Q</v>
      </c>
      <c r="K82" s="112">
        <v>65</v>
      </c>
      <c r="L82" s="9" t="str">
        <f>IFERROR(MID(VLOOKUP($B82,Seqs!$A:$B,2,0),M82,1),"")</f>
        <v>T</v>
      </c>
      <c r="M82" s="9">
        <v>66</v>
      </c>
      <c r="N82" s="9" t="str">
        <f>IFERROR(MID(VLOOKUP($B82,Seqs!$A:$B,2,0),O82,1),"")</f>
        <v>M</v>
      </c>
      <c r="O82" s="9">
        <v>96</v>
      </c>
      <c r="P82" s="9" t="str">
        <f>IFERROR(MID(VLOOKUP($B82,Seqs!$A:$B,2,0),Q82,1),"")</f>
        <v>M</v>
      </c>
      <c r="Q82" s="9">
        <v>98</v>
      </c>
      <c r="R82" s="9" t="str">
        <f>IFERROR(MID(VLOOKUP($B82,Seqs!$A:$B,2,0),S82,1),"")</f>
        <v>F</v>
      </c>
      <c r="S82" s="9">
        <v>101</v>
      </c>
      <c r="T82" s="9" t="str">
        <f>IFERROR(MID(VLOOKUP($B82,Seqs!$A:$B,2,0),U82,1),"")</f>
        <v>G</v>
      </c>
      <c r="U82" s="9">
        <v>102</v>
      </c>
      <c r="V82" s="9" t="str">
        <f>IFERROR(MID(VLOOKUP($B82,Seqs!$A:$B,2,0),W82,1),"")</f>
        <v>T</v>
      </c>
      <c r="W82" s="9">
        <v>136</v>
      </c>
      <c r="X82" s="9" t="str">
        <f>IFERROR(MID(VLOOKUP($B82,Seqs!$A:$B,2,0),Y82,1),"")</f>
        <v/>
      </c>
      <c r="Y82" s="9" t="s">
        <v>23</v>
      </c>
      <c r="Z82" s="9" t="str">
        <f>IFERROR(MID(VLOOKUP($B82,Seqs!$A:$B,2,0),AA82,1),"")</f>
        <v/>
      </c>
      <c r="AA82" s="9" t="s">
        <v>23</v>
      </c>
      <c r="AB82" s="9" t="str">
        <f>IFERROR(MID(VLOOKUP($B82,Seqs!$A:$B,2,0),AC82,1),"")</f>
        <v>T</v>
      </c>
      <c r="AC82" s="9">
        <v>146</v>
      </c>
      <c r="AD82" s="9" t="str">
        <f>IFERROR(MID(VLOOKUP($B82,Seqs!$A:$B,2,0),AE82,1),"")</f>
        <v>H</v>
      </c>
      <c r="AE82" s="9">
        <v>172</v>
      </c>
      <c r="AF82" s="9" t="str">
        <f>IFERROR(MID(VLOOKUP($B82,Seqs!$A:$B,2,0),AG82,1),"")</f>
        <v>C</v>
      </c>
      <c r="AG82" s="9">
        <v>191</v>
      </c>
      <c r="AH82" s="9" t="str">
        <f>IFERROR(MID(VLOOKUP($B82,Seqs!$A:$B,2,0),AI82,1),"")</f>
        <v>F</v>
      </c>
      <c r="AI82" s="9">
        <v>193</v>
      </c>
      <c r="AJ82" s="9" t="str">
        <f>IFERROR(MID(VLOOKUP($B82,Seqs!$A:$B,2,0),AK82,1),"")</f>
        <v>N</v>
      </c>
      <c r="AK82" s="9">
        <v>196</v>
      </c>
      <c r="AL82" s="9" t="str">
        <f>IFERROR(MID(VLOOKUP($B82,Seqs!$A:$B,2,0),AM82,1),"")</f>
        <v>L</v>
      </c>
      <c r="AM82" s="9">
        <v>230</v>
      </c>
      <c r="AN82" s="9" t="str">
        <f>IFERROR(MID(VLOOKUP($B82,Seqs!$A:$B,2,0),AO82,1),"")</f>
        <v>A</v>
      </c>
      <c r="AO82" s="9">
        <v>271</v>
      </c>
      <c r="AP82" s="9" t="str">
        <f>IFERROR(MID(VLOOKUP($B82,Seqs!$A:$B,2,0),AQ82,1),"")</f>
        <v>Q</v>
      </c>
      <c r="AQ82" s="9">
        <v>299</v>
      </c>
      <c r="AR82" s="9" t="str">
        <f>IFERROR(MID(VLOOKUP($B82,Seqs!$A:$B,2,0),AS82,1),"")</f>
        <v>R</v>
      </c>
      <c r="AS82" s="9">
        <v>304</v>
      </c>
      <c r="AT82" s="9" t="str">
        <f>IFERROR(MID(VLOOKUP($B82,Seqs!$A:$B,2,0),AU82,1),"")</f>
        <v>R</v>
      </c>
      <c r="AU82" s="9">
        <v>328</v>
      </c>
      <c r="AV82" s="9" t="str">
        <f>IFERROR(MID(VLOOKUP($B82,Seqs!$A:$B,2,0),AW82,1),"")</f>
        <v>S</v>
      </c>
      <c r="AW82" s="9">
        <v>329</v>
      </c>
      <c r="AX82" s="9" t="str">
        <f>IFERROR(MID(VLOOKUP($B82,Seqs!$A:$B,2,0),AY82,1),"")</f>
        <v>C</v>
      </c>
      <c r="AY82" s="9">
        <v>341</v>
      </c>
      <c r="AZ82" s="113" t="str">
        <f>VLOOKUP(B82,Classification!A:D,2,0)</f>
        <v>A</v>
      </c>
      <c r="BA82" s="101" t="str">
        <f>VLOOKUP(B82,Classification!A:D,4,0)</f>
        <v>Adrenoceptors</v>
      </c>
      <c r="BB82" s="37" t="b">
        <f t="shared" ref="BB82" si="365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112">
        <f t="shared" ref="BC82" si="366">_xlfn.AGGREGATE(9,6,CH82:CS82)-_xlfn.AGGREGATE(9,6,BV82:CG82)+12</f>
        <v>236</v>
      </c>
      <c r="BD82" s="126" t="s">
        <v>23</v>
      </c>
      <c r="BE82" s="9" t="s">
        <v>1381</v>
      </c>
      <c r="BF82" s="125">
        <v>4.2</v>
      </c>
      <c r="BG82" s="52" t="s">
        <v>1287</v>
      </c>
      <c r="BH82" s="52" t="s">
        <v>1384</v>
      </c>
      <c r="BJ82" s="114" t="s">
        <v>1293</v>
      </c>
      <c r="BK82" s="115" t="s">
        <v>1293</v>
      </c>
      <c r="BL82" s="115" t="s">
        <v>1293</v>
      </c>
      <c r="BM82" s="115" t="s">
        <v>1293</v>
      </c>
      <c r="BN82" s="115" t="s">
        <v>1293</v>
      </c>
      <c r="BO82" s="115" t="s">
        <v>1293</v>
      </c>
      <c r="BP82" s="115" t="s">
        <v>1293</v>
      </c>
      <c r="BQ82" s="115" t="s">
        <v>1293</v>
      </c>
      <c r="BR82" s="115" t="s">
        <v>1293</v>
      </c>
      <c r="BS82" s="115" t="s">
        <v>1293</v>
      </c>
      <c r="BT82" s="115" t="s">
        <v>1293</v>
      </c>
      <c r="BU82" s="115" t="s">
        <v>1293</v>
      </c>
      <c r="BV82" s="114">
        <f t="shared" ref="BV82" si="367">E82</f>
        <v>33</v>
      </c>
      <c r="BW82" s="116">
        <f t="shared" ref="BW82" si="368">I82</f>
        <v>62</v>
      </c>
      <c r="BX82" s="117">
        <f t="shared" ref="BX82" si="369">M82</f>
        <v>66</v>
      </c>
      <c r="BY82" s="116">
        <f t="shared" ref="BY82" si="370">Q82</f>
        <v>98</v>
      </c>
      <c r="BZ82" s="117">
        <f t="shared" ref="BZ82" si="371">U82</f>
        <v>102</v>
      </c>
      <c r="CA82" s="116" t="str">
        <f t="shared" ref="CA82" si="372">Y82</f>
        <v>-</v>
      </c>
      <c r="CB82" s="117">
        <f t="shared" ref="CB82" si="373">AC82</f>
        <v>146</v>
      </c>
      <c r="CC82" s="116">
        <f t="shared" ref="CC82" si="374">AG82</f>
        <v>191</v>
      </c>
      <c r="CD82" s="117">
        <f t="shared" ref="CD82" si="375">AK82</f>
        <v>196</v>
      </c>
      <c r="CE82" s="116">
        <f t="shared" ref="CE82" si="376">AO82</f>
        <v>271</v>
      </c>
      <c r="CF82" s="117">
        <f t="shared" ref="CF82" si="377">AS82</f>
        <v>304</v>
      </c>
      <c r="CG82" s="116">
        <f t="shared" ref="CG82" si="378">AW82</f>
        <v>329</v>
      </c>
      <c r="CH82" s="114">
        <f t="shared" ref="CH82" si="379">G82</f>
        <v>61</v>
      </c>
      <c r="CI82" s="116">
        <f t="shared" ref="CI82" si="380">K82</f>
        <v>65</v>
      </c>
      <c r="CJ82" s="117">
        <f t="shared" ref="CJ82" si="381">O82</f>
        <v>96</v>
      </c>
      <c r="CK82" s="117">
        <f t="shared" ref="CK82" si="382">S82</f>
        <v>101</v>
      </c>
      <c r="CL82" s="117">
        <f t="shared" ref="CL82" si="383">W82</f>
        <v>136</v>
      </c>
      <c r="CM82" s="117" t="str">
        <f t="shared" ref="CM82" si="384">AA82</f>
        <v>-</v>
      </c>
      <c r="CN82" s="117">
        <f t="shared" ref="CN82" si="385">AE82</f>
        <v>172</v>
      </c>
      <c r="CO82" s="117">
        <f t="shared" ref="CO82" si="386">AI82</f>
        <v>193</v>
      </c>
      <c r="CP82" s="117">
        <f t="shared" ref="CP82" si="387">AM82</f>
        <v>230</v>
      </c>
      <c r="CQ82" s="117">
        <f t="shared" ref="CQ82" si="388">AQ82</f>
        <v>299</v>
      </c>
      <c r="CR82" s="117">
        <f t="shared" ref="CR82" si="389">AU82</f>
        <v>328</v>
      </c>
      <c r="CS82" s="117">
        <f t="shared" ref="CS82" si="390">AY82</f>
        <v>341</v>
      </c>
      <c r="CT82" s="112">
        <f t="shared" ref="CT82" si="391">M82-K82</f>
        <v>1</v>
      </c>
    </row>
    <row r="83" spans="1:1030" x14ac:dyDescent="0.2">
      <c r="A83" s="3" t="str">
        <f t="shared" si="362"/>
        <v>agtr1_human__wt</v>
      </c>
      <c r="B83" s="3" t="s">
        <v>158</v>
      </c>
      <c r="C83" s="3" t="s">
        <v>100</v>
      </c>
      <c r="D83" s="3" t="str">
        <f>IFERROR(MID(VLOOKUP($B83,Seqs!$A:$B,2,0),E83,1),"")</f>
        <v>Y</v>
      </c>
      <c r="E83" s="3">
        <v>26</v>
      </c>
      <c r="F83" s="3" t="str">
        <f>IFERROR(MID(VLOOKUP($B83,Seqs!$A:$B,2,0),G83,1),"")</f>
        <v>Y</v>
      </c>
      <c r="G83" s="3">
        <v>56</v>
      </c>
      <c r="H83" s="3" t="str">
        <f>IFERROR(MID(VLOOKUP($B83,Seqs!$A:$B,2,0),I83,1),"")</f>
        <v>M</v>
      </c>
      <c r="I83" s="23">
        <v>57</v>
      </c>
      <c r="J83" s="3" t="str">
        <f>IFERROR(MID(VLOOKUP($B83,Seqs!$A:$B,2,0),K83,1),"")</f>
        <v>K</v>
      </c>
      <c r="K83" s="23">
        <v>60</v>
      </c>
      <c r="L83" s="3" t="str">
        <f>IFERROR(MID(VLOOKUP($B83,Seqs!$A:$B,2,0),M83,1),"")</f>
        <v>T</v>
      </c>
      <c r="M83" s="3">
        <v>61</v>
      </c>
      <c r="N83" s="3" t="str">
        <f>IFERROR(MID(VLOOKUP($B83,Seqs!$A:$B,2,0),O83,1),"")</f>
        <v>M</v>
      </c>
      <c r="O83" s="3">
        <v>90</v>
      </c>
      <c r="P83" s="3" t="str">
        <f>IFERROR(MID(VLOOKUP($B83,Seqs!$A:$B,2,0),Q83,1),"")</f>
        <v>R</v>
      </c>
      <c r="Q83" s="3">
        <v>93</v>
      </c>
      <c r="R83" s="3" t="str">
        <f>IFERROR(MID(VLOOKUP($B83,Seqs!$A:$B,2,0),S83,1),"")</f>
        <v>F</v>
      </c>
      <c r="S83" s="3">
        <v>96</v>
      </c>
      <c r="T83" s="3" t="str">
        <f>IFERROR(MID(VLOOKUP($B83,Seqs!$A:$B,2,0),U83,1),"")</f>
        <v>G</v>
      </c>
      <c r="U83" s="3">
        <v>97</v>
      </c>
      <c r="V83" s="3" t="str">
        <f>IFERROR(MID(VLOOKUP($B83,Seqs!$A:$B,2,0),W83,1),"")</f>
        <v>H</v>
      </c>
      <c r="W83" s="3">
        <v>132</v>
      </c>
      <c r="X83" s="3" t="str">
        <f>IFERROR(MID(VLOOKUP($B83,Seqs!$A:$B,2,0),Y83,1),"")</f>
        <v>P</v>
      </c>
      <c r="Y83" s="3">
        <v>133</v>
      </c>
      <c r="Z83" s="3" t="str">
        <f>IFERROR(MID(VLOOKUP($B83,Seqs!$A:$B,2,0),AA83,1),"")</f>
        <v>R</v>
      </c>
      <c r="AA83" s="3">
        <v>140</v>
      </c>
      <c r="AB83" s="3" t="str">
        <f>IFERROR(MID(VLOOKUP($B83,Seqs!$A:$B,2,0),AC83,1),"")</f>
        <v>T</v>
      </c>
      <c r="AC83" s="9">
        <v>141</v>
      </c>
      <c r="AD83" s="3" t="str">
        <f>IFERROR(MID(VLOOKUP($B83,Seqs!$A:$B,2,0),AE83,1),"")</f>
        <v>R</v>
      </c>
      <c r="AE83" s="3">
        <v>167</v>
      </c>
      <c r="AF83" s="3" t="str">
        <f>IFERROR(MID(VLOOKUP($B83,Seqs!$A:$B,2,0),AG83,1),"")</f>
        <v>C</v>
      </c>
      <c r="AG83" s="3">
        <v>180</v>
      </c>
      <c r="AH83" s="3" t="str">
        <f>IFERROR(MID(VLOOKUP($B83,Seqs!$A:$B,2,0),AI83,1),"")</f>
        <v>F</v>
      </c>
      <c r="AI83" s="3">
        <v>182</v>
      </c>
      <c r="AJ83" s="3" t="str">
        <f>IFERROR(MID(VLOOKUP($B83,Seqs!$A:$B,2,0),AK83,1),"")</f>
        <v>L</v>
      </c>
      <c r="AK83" s="3">
        <v>191</v>
      </c>
      <c r="AL83" s="3" t="str">
        <f>IFERROR(MID(VLOOKUP($B83,Seqs!$A:$B,2,0),AM83,1),"")</f>
        <v>A</v>
      </c>
      <c r="AM83" s="3">
        <v>225</v>
      </c>
      <c r="AN83" s="3" t="str">
        <f>IFERROR(MID(VLOOKUP($B83,Seqs!$A:$B,2,0),AO83,1),"")</f>
        <v>P</v>
      </c>
      <c r="AO83" s="3">
        <v>233</v>
      </c>
      <c r="AP83" s="3" t="str">
        <f>IFERROR(MID(VLOOKUP($B83,Seqs!$A:$B,2,0),AQ83,1),"")</f>
        <v>G</v>
      </c>
      <c r="AQ83" s="3">
        <v>269</v>
      </c>
      <c r="AR83" s="3" t="str">
        <f>IFERROR(MID(VLOOKUP($B83,Seqs!$A:$B,2,0),AS83,1),"")</f>
        <v>D</v>
      </c>
      <c r="AS83" s="3">
        <v>273</v>
      </c>
      <c r="AT83" s="3" t="str">
        <f>IFERROR(MID(VLOOKUP($B83,Seqs!$A:$B,2,0),AU83,1),"")</f>
        <v>L</v>
      </c>
      <c r="AU83" s="3">
        <v>305</v>
      </c>
      <c r="AV83" s="3" t="str">
        <f>IFERROR(MID(VLOOKUP($B83,Seqs!$A:$B,2,0),AW83,1),"")</f>
        <v>G</v>
      </c>
      <c r="AW83" s="3">
        <v>306</v>
      </c>
      <c r="AX83" s="3" t="str">
        <f>IFERROR(MID(VLOOKUP($B83,Seqs!$A:$B,2,0),AY83,1),"")</f>
        <v>I</v>
      </c>
      <c r="AY83" s="3">
        <v>320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si="363"/>
        <v>1</v>
      </c>
      <c r="BC83" s="23">
        <f t="shared" si="336"/>
        <v>263</v>
      </c>
      <c r="BD83" s="57" t="s">
        <v>1379</v>
      </c>
      <c r="BE83" s="3" t="s">
        <v>23</v>
      </c>
      <c r="BF83" s="124" t="s">
        <v>23</v>
      </c>
      <c r="BG83" s="50" t="s">
        <v>1379</v>
      </c>
      <c r="BH83" s="50" t="s">
        <v>1384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si="337"/>
        <v>26</v>
      </c>
      <c r="BW83" s="73">
        <f t="shared" si="338"/>
        <v>57</v>
      </c>
      <c r="BX83" s="74">
        <f t="shared" si="339"/>
        <v>61</v>
      </c>
      <c r="BY83" s="73">
        <f t="shared" si="340"/>
        <v>93</v>
      </c>
      <c r="BZ83" s="74">
        <f t="shared" si="341"/>
        <v>97</v>
      </c>
      <c r="CA83" s="73">
        <f t="shared" si="342"/>
        <v>133</v>
      </c>
      <c r="CB83" s="74">
        <f t="shared" si="343"/>
        <v>141</v>
      </c>
      <c r="CC83" s="73">
        <f t="shared" si="344"/>
        <v>180</v>
      </c>
      <c r="CD83" s="74">
        <f t="shared" si="345"/>
        <v>191</v>
      </c>
      <c r="CE83" s="73">
        <f t="shared" si="346"/>
        <v>233</v>
      </c>
      <c r="CF83" s="74">
        <f t="shared" si="347"/>
        <v>273</v>
      </c>
      <c r="CG83" s="73">
        <f t="shared" si="348"/>
        <v>306</v>
      </c>
      <c r="CH83" s="72">
        <f t="shared" si="349"/>
        <v>56</v>
      </c>
      <c r="CI83" s="73">
        <f t="shared" si="350"/>
        <v>60</v>
      </c>
      <c r="CJ83" s="74">
        <f t="shared" si="351"/>
        <v>90</v>
      </c>
      <c r="CK83" s="74">
        <f t="shared" si="352"/>
        <v>96</v>
      </c>
      <c r="CL83" s="74">
        <f t="shared" si="353"/>
        <v>132</v>
      </c>
      <c r="CM83" s="74">
        <f t="shared" si="354"/>
        <v>140</v>
      </c>
      <c r="CN83" s="74">
        <f t="shared" si="355"/>
        <v>167</v>
      </c>
      <c r="CO83" s="74">
        <f t="shared" si="356"/>
        <v>182</v>
      </c>
      <c r="CP83" s="74">
        <f t="shared" si="357"/>
        <v>225</v>
      </c>
      <c r="CQ83" s="74">
        <f t="shared" si="358"/>
        <v>269</v>
      </c>
      <c r="CR83" s="74">
        <f t="shared" si="359"/>
        <v>305</v>
      </c>
      <c r="CS83" s="74">
        <f t="shared" si="360"/>
        <v>320</v>
      </c>
      <c r="CT83" s="23">
        <f t="shared" si="361"/>
        <v>1</v>
      </c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</row>
    <row r="84" spans="1:1030" x14ac:dyDescent="0.2">
      <c r="A84" s="3" t="str">
        <f t="shared" si="362"/>
        <v>agtr1_human_4YAY</v>
      </c>
      <c r="B84" s="3" t="s">
        <v>158</v>
      </c>
      <c r="C84" s="3" t="s">
        <v>69</v>
      </c>
      <c r="D84" s="3" t="str">
        <f>IFERROR(MID(VLOOKUP($B84,Seqs!$A:$B,2,0),E84,1),"")</f>
        <v>Y</v>
      </c>
      <c r="E84" s="3">
        <v>26</v>
      </c>
      <c r="F84" s="3" t="str">
        <f>IFERROR(MID(VLOOKUP($B84,Seqs!$A:$B,2,0),G84,1),"")</f>
        <v>Y</v>
      </c>
      <c r="G84" s="3">
        <v>56</v>
      </c>
      <c r="H84" s="3" t="str">
        <f>IFERROR(MID(VLOOKUP($B84,Seqs!$A:$B,2,0),I84,1),"")</f>
        <v>M</v>
      </c>
      <c r="I84" s="23">
        <v>57</v>
      </c>
      <c r="J84" s="3" t="str">
        <f>IFERROR(MID(VLOOKUP($B84,Seqs!$A:$B,2,0),K84,1),"")</f>
        <v>K</v>
      </c>
      <c r="K84" s="23">
        <v>60</v>
      </c>
      <c r="L84" s="3" t="str">
        <f>IFERROR(MID(VLOOKUP($B84,Seqs!$A:$B,2,0),M84,1),"")</f>
        <v>T</v>
      </c>
      <c r="M84" s="3">
        <v>61</v>
      </c>
      <c r="N84" s="3" t="str">
        <f>IFERROR(MID(VLOOKUP($B84,Seqs!$A:$B,2,0),O84,1),"")</f>
        <v>M</v>
      </c>
      <c r="O84" s="3">
        <v>90</v>
      </c>
      <c r="P84" s="3" t="str">
        <f>IFERROR(MID(VLOOKUP($B84,Seqs!$A:$B,2,0),Q84,1),"")</f>
        <v>R</v>
      </c>
      <c r="Q84" s="3">
        <v>93</v>
      </c>
      <c r="R84" s="3" t="str">
        <f>IFERROR(MID(VLOOKUP($B84,Seqs!$A:$B,2,0),S84,1),"")</f>
        <v>F</v>
      </c>
      <c r="S84" s="3">
        <v>96</v>
      </c>
      <c r="T84" s="3" t="str">
        <f>IFERROR(MID(VLOOKUP($B84,Seqs!$A:$B,2,0),U84,1),"")</f>
        <v>G</v>
      </c>
      <c r="U84" s="3">
        <v>97</v>
      </c>
      <c r="V84" s="3" t="str">
        <f>IFERROR(MID(VLOOKUP($B84,Seqs!$A:$B,2,0),W84,1),"")</f>
        <v>H</v>
      </c>
      <c r="W84" s="3">
        <v>132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R</v>
      </c>
      <c r="AC84" s="9">
        <v>137</v>
      </c>
      <c r="AD84" s="3" t="str">
        <f>IFERROR(MID(VLOOKUP($B84,Seqs!$A:$B,2,0),AE84,1),"")</f>
        <v>R</v>
      </c>
      <c r="AE84" s="3">
        <v>167</v>
      </c>
      <c r="AF84" s="3" t="str">
        <f>IFERROR(MID(VLOOKUP($B84,Seqs!$A:$B,2,0),AG84,1),"")</f>
        <v>C</v>
      </c>
      <c r="AG84" s="3">
        <v>180</v>
      </c>
      <c r="AH84" s="3" t="str">
        <f>IFERROR(MID(VLOOKUP($B84,Seqs!$A:$B,2,0),AI84,1),"")</f>
        <v>F</v>
      </c>
      <c r="AI84" s="3">
        <v>182</v>
      </c>
      <c r="AJ84" s="3" t="str">
        <f>IFERROR(MID(VLOOKUP($B84,Seqs!$A:$B,2,0),AK84,1),"")</f>
        <v>L</v>
      </c>
      <c r="AK84" s="3">
        <v>191</v>
      </c>
      <c r="AL84" s="3" t="str">
        <f>IFERROR(MID(VLOOKUP($B84,Seqs!$A:$B,2,0),AM84,1),"")</f>
        <v>L</v>
      </c>
      <c r="AM84" s="3">
        <v>222</v>
      </c>
      <c r="AN84" s="3" t="str">
        <f>IFERROR(MID(VLOOKUP($B84,Seqs!$A:$B,2,0),AO84,1),"")</f>
        <v>N</v>
      </c>
      <c r="AO84" s="3">
        <v>235</v>
      </c>
      <c r="AP84" s="3" t="str">
        <f>IFERROR(MID(VLOOKUP($B84,Seqs!$A:$B,2,0),AQ84,1),"")</f>
        <v>G</v>
      </c>
      <c r="AQ84" s="3">
        <v>269</v>
      </c>
      <c r="AR84" s="3" t="str">
        <f>IFERROR(MID(VLOOKUP($B84,Seqs!$A:$B,2,0),AS84,1),"")</f>
        <v>D</v>
      </c>
      <c r="AS84" s="3">
        <v>273</v>
      </c>
      <c r="AT84" s="3" t="str">
        <f>IFERROR(MID(VLOOKUP($B84,Seqs!$A:$B,2,0),AU84,1),"")</f>
        <v>N</v>
      </c>
      <c r="AU84" s="3">
        <v>298</v>
      </c>
      <c r="AV84" s="3" t="str">
        <f>IFERROR(MID(VLOOKUP($B84,Seqs!$A:$B,2,0),AW84,1),"")</f>
        <v/>
      </c>
      <c r="AW84" s="3" t="s">
        <v>23</v>
      </c>
      <c r="AX84" s="3" t="str">
        <f>IFERROR(MID(VLOOKUP($B84,Seqs!$A:$B,2,0),AY84,1),"")</f>
        <v/>
      </c>
      <c r="AY84" s="3" t="s">
        <v>23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si="363"/>
        <v>1</v>
      </c>
      <c r="BC84" s="23">
        <f t="shared" si="336"/>
        <v>234</v>
      </c>
      <c r="BD84" s="4" t="s">
        <v>23</v>
      </c>
      <c r="BE84" s="3" t="s">
        <v>1381</v>
      </c>
      <c r="BF84" s="124">
        <v>2.9</v>
      </c>
      <c r="BG84" s="50" t="s">
        <v>1384</v>
      </c>
      <c r="BH84" s="50" t="s">
        <v>1384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si="337"/>
        <v>26</v>
      </c>
      <c r="BW84" s="73">
        <f t="shared" si="338"/>
        <v>57</v>
      </c>
      <c r="BX84" s="74">
        <f t="shared" si="339"/>
        <v>61</v>
      </c>
      <c r="BY84" s="73">
        <f t="shared" si="340"/>
        <v>93</v>
      </c>
      <c r="BZ84" s="74">
        <f t="shared" si="341"/>
        <v>97</v>
      </c>
      <c r="CA84" s="73" t="str">
        <f t="shared" si="342"/>
        <v>-</v>
      </c>
      <c r="CB84" s="74">
        <f t="shared" si="343"/>
        <v>137</v>
      </c>
      <c r="CC84" s="73">
        <f t="shared" si="344"/>
        <v>180</v>
      </c>
      <c r="CD84" s="74">
        <f t="shared" si="345"/>
        <v>191</v>
      </c>
      <c r="CE84" s="73">
        <f t="shared" si="346"/>
        <v>235</v>
      </c>
      <c r="CF84" s="74">
        <f t="shared" si="347"/>
        <v>273</v>
      </c>
      <c r="CG84" s="73" t="str">
        <f t="shared" si="348"/>
        <v>-</v>
      </c>
      <c r="CH84" s="72">
        <f t="shared" si="349"/>
        <v>56</v>
      </c>
      <c r="CI84" s="73">
        <f t="shared" si="350"/>
        <v>60</v>
      </c>
      <c r="CJ84" s="74">
        <f t="shared" si="351"/>
        <v>90</v>
      </c>
      <c r="CK84" s="74">
        <f t="shared" si="352"/>
        <v>96</v>
      </c>
      <c r="CL84" s="74">
        <f t="shared" si="353"/>
        <v>132</v>
      </c>
      <c r="CM84" s="74" t="str">
        <f t="shared" si="354"/>
        <v>-</v>
      </c>
      <c r="CN84" s="74">
        <f t="shared" si="355"/>
        <v>167</v>
      </c>
      <c r="CO84" s="74">
        <f t="shared" si="356"/>
        <v>182</v>
      </c>
      <c r="CP84" s="74">
        <f t="shared" si="357"/>
        <v>222</v>
      </c>
      <c r="CQ84" s="74">
        <f t="shared" si="358"/>
        <v>269</v>
      </c>
      <c r="CR84" s="74">
        <f t="shared" si="359"/>
        <v>298</v>
      </c>
      <c r="CS84" s="74" t="str">
        <f t="shared" si="360"/>
        <v>-</v>
      </c>
      <c r="CT84" s="23">
        <f t="shared" si="361"/>
        <v>1</v>
      </c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</row>
    <row r="85" spans="1:1030" x14ac:dyDescent="0.2">
      <c r="A85" s="3" t="str">
        <f t="shared" si="362"/>
        <v>agtr1_human_4YAY_dist</v>
      </c>
      <c r="B85" s="3" t="s">
        <v>158</v>
      </c>
      <c r="C85" s="3" t="s">
        <v>1160</v>
      </c>
      <c r="D85" s="3" t="str">
        <f>IFERROR(MID(VLOOKUP($B85,Seqs!$A:$B,2,0),E85,1),"")</f>
        <v>Y</v>
      </c>
      <c r="E85" s="3">
        <v>26</v>
      </c>
      <c r="F85" s="3" t="str">
        <f>IFERROR(MID(VLOOKUP($B85,Seqs!$A:$B,2,0),G85,1),"")</f>
        <v>Y</v>
      </c>
      <c r="G85" s="3">
        <v>56</v>
      </c>
      <c r="H85" s="3" t="str">
        <f>IFERROR(MID(VLOOKUP($B85,Seqs!$A:$B,2,0),I85,1),"")</f>
        <v>M</v>
      </c>
      <c r="I85" s="23">
        <v>57</v>
      </c>
      <c r="J85" s="3" t="str">
        <f>IFERROR(MID(VLOOKUP($B85,Seqs!$A:$B,2,0),K85,1),"")</f>
        <v>K</v>
      </c>
      <c r="K85" s="23">
        <v>60</v>
      </c>
      <c r="L85" s="3" t="str">
        <f>IFERROR(MID(VLOOKUP($B85,Seqs!$A:$B,2,0),M85,1),"")</f>
        <v>T</v>
      </c>
      <c r="M85" s="3">
        <v>61</v>
      </c>
      <c r="N85" s="3" t="str">
        <f>IFERROR(MID(VLOOKUP($B85,Seqs!$A:$B,2,0),O85,1),"")</f>
        <v>M</v>
      </c>
      <c r="O85" s="3">
        <v>90</v>
      </c>
      <c r="P85" s="3" t="str">
        <f>IFERROR(MID(VLOOKUP($B85,Seqs!$A:$B,2,0),Q85,1),"")</f>
        <v>R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R</v>
      </c>
      <c r="AC85" s="9">
        <v>137</v>
      </c>
      <c r="AD85" s="3" t="str">
        <f>IFERROR(MID(VLOOKUP($B85,Seqs!$A:$B,2,0),AE85,1),"")</f>
        <v>R</v>
      </c>
      <c r="AE85" s="3">
        <v>167</v>
      </c>
      <c r="AF85" s="3" t="str">
        <f>IFERROR(MID(VLOOKUP($B85,Seqs!$A:$B,2,0),AG85,1),"")</f>
        <v>C</v>
      </c>
      <c r="AG85" s="3">
        <v>180</v>
      </c>
      <c r="AH85" s="3" t="str">
        <f>IFERROR(MID(VLOOKUP($B85,Seqs!$A:$B,2,0),AI85,1),"")</f>
        <v>F</v>
      </c>
      <c r="AI85" s="3">
        <v>182</v>
      </c>
      <c r="AJ85" s="3" t="str">
        <f>IFERROR(MID(VLOOKUP($B85,Seqs!$A:$B,2,0),AK85,1),"")</f>
        <v>L</v>
      </c>
      <c r="AK85" s="3">
        <v>191</v>
      </c>
      <c r="AL85" s="3" t="str">
        <f>IFERROR(MID(VLOOKUP($B85,Seqs!$A:$B,2,0),AM85,1),"")</f>
        <v>L</v>
      </c>
      <c r="AM85" s="3">
        <v>222</v>
      </c>
      <c r="AN85" s="3" t="str">
        <f>IFERROR(MID(VLOOKUP($B85,Seqs!$A:$B,2,0),AO85,1),"")</f>
        <v>N</v>
      </c>
      <c r="AO85" s="3">
        <v>235</v>
      </c>
      <c r="AP85" s="3" t="str">
        <f>IFERROR(MID(VLOOKUP($B85,Seqs!$A:$B,2,0),AQ85,1),"")</f>
        <v>G</v>
      </c>
      <c r="AQ85" s="3">
        <v>269</v>
      </c>
      <c r="AR85" s="3" t="str">
        <f>IFERROR(MID(VLOOKUP($B85,Seqs!$A:$B,2,0),AS85,1),"")</f>
        <v>D</v>
      </c>
      <c r="AS85" s="3">
        <v>273</v>
      </c>
      <c r="AT85" s="3" t="str">
        <f>IFERROR(MID(VLOOKUP($B85,Seqs!$A:$B,2,0),AU85,1),"")</f>
        <v>F</v>
      </c>
      <c r="AU85" s="3">
        <v>304</v>
      </c>
      <c r="AV85" s="3" t="str">
        <f>IFERROR(MID(VLOOKUP($B85,Seqs!$A:$B,2,0),AW85,1),"")</f>
        <v>G</v>
      </c>
      <c r="AW85" s="3">
        <v>306</v>
      </c>
      <c r="AX85" s="3" t="str">
        <f>IFERROR(MID(VLOOKUP($B85,Seqs!$A:$B,2,0),AY85,1),"")</f>
        <v>L</v>
      </c>
      <c r="AY85" s="3">
        <v>317</v>
      </c>
      <c r="AZ85" s="79" t="str">
        <f>VLOOKUP(B85,Classification!A:D,2,0)</f>
        <v>A</v>
      </c>
      <c r="BA85" s="97" t="str">
        <f>VLOOKUP(B85,Classification!A:D,4,0)</f>
        <v>Angiotensin</v>
      </c>
      <c r="BB85" s="27" t="b">
        <f t="shared" si="363"/>
        <v>1</v>
      </c>
      <c r="BC85" s="23">
        <f t="shared" si="336"/>
        <v>251</v>
      </c>
      <c r="BD85" s="5"/>
      <c r="BE85" s="3" t="s">
        <v>1381</v>
      </c>
      <c r="BF85" s="124">
        <v>2.9</v>
      </c>
      <c r="BG85" s="50" t="s">
        <v>1384</v>
      </c>
      <c r="BH85" s="50" t="s">
        <v>1384</v>
      </c>
      <c r="BI85" s="1"/>
      <c r="BJ85" s="72" t="s">
        <v>1293</v>
      </c>
      <c r="BK85" s="58" t="s">
        <v>1293</v>
      </c>
      <c r="BL85" s="58" t="s">
        <v>1293</v>
      </c>
      <c r="BM85" s="58" t="s">
        <v>1293</v>
      </c>
      <c r="BN85" s="58" t="s">
        <v>1293</v>
      </c>
      <c r="BO85" s="58" t="s">
        <v>1293</v>
      </c>
      <c r="BP85" s="58" t="s">
        <v>1293</v>
      </c>
      <c r="BQ85" s="58" t="s">
        <v>1293</v>
      </c>
      <c r="BR85" s="58" t="s">
        <v>1293</v>
      </c>
      <c r="BS85" s="58" t="s">
        <v>1293</v>
      </c>
      <c r="BT85" s="58" t="s">
        <v>1293</v>
      </c>
      <c r="BU85" s="58" t="s">
        <v>1293</v>
      </c>
      <c r="BV85" s="72">
        <f t="shared" si="337"/>
        <v>26</v>
      </c>
      <c r="BW85" s="73">
        <f t="shared" si="338"/>
        <v>57</v>
      </c>
      <c r="BX85" s="74">
        <f t="shared" si="339"/>
        <v>61</v>
      </c>
      <c r="BY85" s="73">
        <f t="shared" si="340"/>
        <v>93</v>
      </c>
      <c r="BZ85" s="74">
        <f t="shared" si="341"/>
        <v>97</v>
      </c>
      <c r="CA85" s="73" t="str">
        <f t="shared" si="342"/>
        <v>-</v>
      </c>
      <c r="CB85" s="74">
        <f t="shared" si="343"/>
        <v>137</v>
      </c>
      <c r="CC85" s="73">
        <f t="shared" si="344"/>
        <v>180</v>
      </c>
      <c r="CD85" s="74">
        <f t="shared" si="345"/>
        <v>191</v>
      </c>
      <c r="CE85" s="73">
        <f t="shared" si="346"/>
        <v>235</v>
      </c>
      <c r="CF85" s="74">
        <f t="shared" si="347"/>
        <v>273</v>
      </c>
      <c r="CG85" s="73">
        <f t="shared" si="348"/>
        <v>306</v>
      </c>
      <c r="CH85" s="72">
        <f t="shared" si="349"/>
        <v>56</v>
      </c>
      <c r="CI85" s="73">
        <f t="shared" si="350"/>
        <v>60</v>
      </c>
      <c r="CJ85" s="74">
        <f t="shared" si="351"/>
        <v>90</v>
      </c>
      <c r="CK85" s="74">
        <f t="shared" si="352"/>
        <v>96</v>
      </c>
      <c r="CL85" s="74">
        <f t="shared" si="353"/>
        <v>132</v>
      </c>
      <c r="CM85" s="74" t="str">
        <f t="shared" si="354"/>
        <v>-</v>
      </c>
      <c r="CN85" s="74">
        <f t="shared" si="355"/>
        <v>167</v>
      </c>
      <c r="CO85" s="74">
        <f t="shared" si="356"/>
        <v>182</v>
      </c>
      <c r="CP85" s="74">
        <f t="shared" si="357"/>
        <v>222</v>
      </c>
      <c r="CQ85" s="74">
        <f t="shared" si="358"/>
        <v>269</v>
      </c>
      <c r="CR85" s="74">
        <f t="shared" si="359"/>
        <v>304</v>
      </c>
      <c r="CS85" s="74">
        <f t="shared" si="360"/>
        <v>317</v>
      </c>
      <c r="CT85" s="23">
        <f t="shared" si="361"/>
        <v>1</v>
      </c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</row>
    <row r="86" spans="1:1030" x14ac:dyDescent="0.2">
      <c r="A86" s="3" t="str">
        <f t="shared" si="362"/>
        <v>agtr1_human_4ZUD</v>
      </c>
      <c r="B86" s="3" t="s">
        <v>158</v>
      </c>
      <c r="C86" s="3" t="s">
        <v>1342</v>
      </c>
      <c r="D86" s="3" t="str">
        <f>IFERROR(MID(VLOOKUP($B86,Seqs!$A:$B,2,0),E86,1),"")</f>
        <v>Y</v>
      </c>
      <c r="E86" s="3">
        <v>26</v>
      </c>
      <c r="F86" s="3" t="str">
        <f>IFERROR(MID(VLOOKUP($B86,Seqs!$A:$B,2,0),G86,1),"")</f>
        <v>Y</v>
      </c>
      <c r="G86" s="3">
        <v>56</v>
      </c>
      <c r="H86" s="3" t="str">
        <f>IFERROR(MID(VLOOKUP($B86,Seqs!$A:$B,2,0),I86,1),"")</f>
        <v>M</v>
      </c>
      <c r="I86" s="23">
        <v>57</v>
      </c>
      <c r="J86" s="3" t="str">
        <f>IFERROR(MID(VLOOKUP($B86,Seqs!$A:$B,2,0),K86,1),"")</f>
        <v>K</v>
      </c>
      <c r="K86" s="23">
        <v>60</v>
      </c>
      <c r="L86" s="3" t="str">
        <f>IFERROR(MID(VLOOKUP($B86,Seqs!$A:$B,2,0),M86,1),"")</f>
        <v>T</v>
      </c>
      <c r="M86" s="3">
        <v>61</v>
      </c>
      <c r="N86" s="3" t="str">
        <f>IFERROR(MID(VLOOKUP($B86,Seqs!$A:$B,2,0),O86,1),"")</f>
        <v>M</v>
      </c>
      <c r="O86" s="3">
        <v>90</v>
      </c>
      <c r="P86" s="3" t="str">
        <f>IFERROR(MID(VLOOKUP($B86,Seqs!$A:$B,2,0),Q86,1),"")</f>
        <v>R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M</v>
      </c>
      <c r="AC86" s="9">
        <v>142</v>
      </c>
      <c r="AD86" s="3" t="str">
        <f>IFERROR(MID(VLOOKUP($B86,Seqs!$A:$B,2,0),AE86,1),"")</f>
        <v>R</v>
      </c>
      <c r="AE86" s="3">
        <v>167</v>
      </c>
      <c r="AF86" s="3" t="str">
        <f>IFERROR(MID(VLOOKUP($B86,Seqs!$A:$B,2,0),AG86,1),"")</f>
        <v>C</v>
      </c>
      <c r="AG86" s="3">
        <v>180</v>
      </c>
      <c r="AH86" s="3" t="str">
        <f>IFERROR(MID(VLOOKUP($B86,Seqs!$A:$B,2,0),AI86,1),"")</f>
        <v>F</v>
      </c>
      <c r="AI86" s="3">
        <v>182</v>
      </c>
      <c r="AJ86" s="3" t="str">
        <f>IFERROR(MID(VLOOKUP($B86,Seqs!$A:$B,2,0),AK86,1),"")</f>
        <v>L</v>
      </c>
      <c r="AK86" s="3">
        <v>191</v>
      </c>
      <c r="AL86" s="3" t="str">
        <f>IFERROR(MID(VLOOKUP($B86,Seqs!$A:$B,2,0),AM86,1),"")</f>
        <v>L</v>
      </c>
      <c r="AM86" s="3">
        <v>222</v>
      </c>
      <c r="AN86" s="3" t="str">
        <f>IFERROR(MID(VLOOKUP($B86,Seqs!$A:$B,2,0),AO86,1),"")</f>
        <v>D</v>
      </c>
      <c r="AO86" s="3">
        <v>236</v>
      </c>
      <c r="AP86" s="3" t="str">
        <f>IFERROR(MID(VLOOKUP($B86,Seqs!$A:$B,2,0),AQ86,1),"")</f>
        <v>G</v>
      </c>
      <c r="AQ86" s="3">
        <v>269</v>
      </c>
      <c r="AR86" s="3" t="str">
        <f>IFERROR(MID(VLOOKUP($B86,Seqs!$A:$B,2,0),AS86,1),"")</f>
        <v>D</v>
      </c>
      <c r="AS86" s="3">
        <v>273</v>
      </c>
      <c r="AT86" s="3" t="str">
        <f>IFERROR(MID(VLOOKUP($B86,Seqs!$A:$B,2,0),AU86,1),"")</f>
        <v>F</v>
      </c>
      <c r="AU86" s="3">
        <v>304</v>
      </c>
      <c r="AV86" s="3" t="str">
        <f>IFERROR(MID(VLOOKUP($B86,Seqs!$A:$B,2,0),AW86,1),"")</f>
        <v/>
      </c>
      <c r="AW86" s="3" t="s">
        <v>23</v>
      </c>
      <c r="AX86" s="3" t="str">
        <f>IFERROR(MID(VLOOKUP($B86,Seqs!$A:$B,2,0),AY86,1),"")</f>
        <v/>
      </c>
      <c r="AY86" s="3" t="s">
        <v>23</v>
      </c>
      <c r="AZ86" s="79" t="str">
        <f>VLOOKUP(B86,Classification!A:D,2,0)</f>
        <v>A</v>
      </c>
      <c r="BA86" s="97" t="str">
        <f>VLOOKUP(B86,Classification!A:D,4,0)</f>
        <v>Angiotensin</v>
      </c>
      <c r="BB86" s="27" t="b">
        <f t="shared" si="363"/>
        <v>1</v>
      </c>
      <c r="BC86" s="23">
        <f t="shared" si="336"/>
        <v>234</v>
      </c>
      <c r="BD86" s="2" t="s">
        <v>1383</v>
      </c>
      <c r="BE86" s="3" t="s">
        <v>1381</v>
      </c>
      <c r="BF86" s="124">
        <v>2.8</v>
      </c>
      <c r="BG86" s="50" t="s">
        <v>1384</v>
      </c>
      <c r="BH86" s="50" t="s">
        <v>1384</v>
      </c>
      <c r="BI86" s="1"/>
      <c r="BJ86" s="72" t="s">
        <v>1293</v>
      </c>
      <c r="BK86" s="58" t="s">
        <v>1293</v>
      </c>
      <c r="BL86" s="58" t="s">
        <v>1293</v>
      </c>
      <c r="BM86" s="58" t="s">
        <v>1293</v>
      </c>
      <c r="BN86" s="58" t="s">
        <v>1293</v>
      </c>
      <c r="BO86" s="58" t="s">
        <v>1293</v>
      </c>
      <c r="BP86" s="58" t="s">
        <v>1293</v>
      </c>
      <c r="BQ86" s="58" t="s">
        <v>1293</v>
      </c>
      <c r="BR86" s="58" t="s">
        <v>1293</v>
      </c>
      <c r="BS86" s="58" t="s">
        <v>1293</v>
      </c>
      <c r="BT86" s="58" t="s">
        <v>1293</v>
      </c>
      <c r="BU86" s="58" t="s">
        <v>1293</v>
      </c>
      <c r="BV86" s="72">
        <f t="shared" si="337"/>
        <v>26</v>
      </c>
      <c r="BW86" s="73">
        <f t="shared" si="338"/>
        <v>57</v>
      </c>
      <c r="BX86" s="74">
        <f t="shared" si="339"/>
        <v>61</v>
      </c>
      <c r="BY86" s="73">
        <f t="shared" si="340"/>
        <v>93</v>
      </c>
      <c r="BZ86" s="74">
        <f t="shared" si="341"/>
        <v>97</v>
      </c>
      <c r="CA86" s="73" t="str">
        <f t="shared" si="342"/>
        <v>-</v>
      </c>
      <c r="CB86" s="74">
        <f t="shared" si="343"/>
        <v>142</v>
      </c>
      <c r="CC86" s="73">
        <f t="shared" si="344"/>
        <v>180</v>
      </c>
      <c r="CD86" s="74">
        <f t="shared" si="345"/>
        <v>191</v>
      </c>
      <c r="CE86" s="73">
        <f t="shared" si="346"/>
        <v>236</v>
      </c>
      <c r="CF86" s="74">
        <f t="shared" si="347"/>
        <v>273</v>
      </c>
      <c r="CG86" s="73" t="str">
        <f t="shared" si="348"/>
        <v>-</v>
      </c>
      <c r="CH86" s="72">
        <f t="shared" si="349"/>
        <v>56</v>
      </c>
      <c r="CI86" s="73">
        <f t="shared" si="350"/>
        <v>60</v>
      </c>
      <c r="CJ86" s="74">
        <f t="shared" si="351"/>
        <v>90</v>
      </c>
      <c r="CK86" s="74">
        <f t="shared" si="352"/>
        <v>96</v>
      </c>
      <c r="CL86" s="74">
        <f t="shared" si="353"/>
        <v>132</v>
      </c>
      <c r="CM86" s="74" t="str">
        <f t="shared" si="354"/>
        <v>-</v>
      </c>
      <c r="CN86" s="74">
        <f t="shared" si="355"/>
        <v>167</v>
      </c>
      <c r="CO86" s="74">
        <f t="shared" si="356"/>
        <v>182</v>
      </c>
      <c r="CP86" s="74">
        <f t="shared" si="357"/>
        <v>222</v>
      </c>
      <c r="CQ86" s="74">
        <f t="shared" si="358"/>
        <v>269</v>
      </c>
      <c r="CR86" s="74">
        <f t="shared" si="359"/>
        <v>304</v>
      </c>
      <c r="CS86" s="74" t="str">
        <f t="shared" si="360"/>
        <v>-</v>
      </c>
      <c r="CT86" s="23">
        <f t="shared" si="361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30" x14ac:dyDescent="0.2">
      <c r="A87" s="3" t="str">
        <f t="shared" ref="A87:A88" si="392">CONCATENATE(B87,"_",C87)</f>
        <v>agtr2_human__wt</v>
      </c>
      <c r="B87" s="3" t="s">
        <v>159</v>
      </c>
      <c r="C87" s="3" t="s">
        <v>100</v>
      </c>
      <c r="D87" s="3" t="str">
        <f>IFERROR(MID(VLOOKUP($B87,Seqs!$A:$B,2,0),E87,1),"")</f>
        <v>D</v>
      </c>
      <c r="E87" s="3">
        <v>45</v>
      </c>
      <c r="F87" s="3" t="str">
        <f>IFERROR(MID(VLOOKUP($B87,Seqs!$A:$B,2,0),G87,1),"")</f>
        <v>Q</v>
      </c>
      <c r="G87" s="3">
        <v>72</v>
      </c>
      <c r="H87" s="3" t="str">
        <f>IFERROR(MID(VLOOKUP($B87,Seqs!$A:$B,2,0),I87,1),"")</f>
        <v/>
      </c>
      <c r="I87" s="23" t="s">
        <v>23</v>
      </c>
      <c r="J87" s="3" t="str">
        <f>IFERROR(MID(VLOOKUP($B87,Seqs!$A:$B,2,0),K87,1),"")</f>
        <v/>
      </c>
      <c r="K87" s="23" t="s">
        <v>23</v>
      </c>
      <c r="L87" s="3" t="str">
        <f>IFERROR(MID(VLOOKUP($B87,Seqs!$A:$B,2,0),M87,1),"")</f>
        <v>V</v>
      </c>
      <c r="M87" s="3">
        <v>78</v>
      </c>
      <c r="N87" s="3" t="str">
        <f>IFERROR(MID(VLOOKUP($B87,Seqs!$A:$B,2,0),O87,1),"")</f>
        <v>Y</v>
      </c>
      <c r="O87" s="3">
        <v>106</v>
      </c>
      <c r="P87" s="3" t="str">
        <f>IFERROR(MID(VLOOKUP($B87,Seqs!$A:$B,2,0),Q87,1),"")</f>
        <v>R</v>
      </c>
      <c r="Q87" s="3">
        <v>107</v>
      </c>
      <c r="R87" s="3" t="str">
        <f>IFERROR(MID(VLOOKUP($B87,Seqs!$A:$B,2,0),S87,1),"")</f>
        <v>F</v>
      </c>
      <c r="S87" s="3">
        <v>112</v>
      </c>
      <c r="T87" s="3" t="str">
        <f>IFERROR(MID(VLOOKUP($B87,Seqs!$A:$B,2,0),U87,1),"")</f>
        <v>G</v>
      </c>
      <c r="U87" s="3">
        <v>113</v>
      </c>
      <c r="V87" s="3" t="str">
        <f>IFERROR(MID(VLOOKUP($B87,Seqs!$A:$B,2,0),W87,1),"")</f>
        <v>Y</v>
      </c>
      <c r="W87" s="3">
        <v>148</v>
      </c>
      <c r="X87" s="3" t="str">
        <f>IFERROR(MID(VLOOKUP($B87,Seqs!$A:$B,2,0),Y87,1),"")</f>
        <v>P</v>
      </c>
      <c r="Y87" s="3">
        <v>149</v>
      </c>
      <c r="Z87" s="3" t="str">
        <f>IFERROR(MID(VLOOKUP($B87,Seqs!$A:$B,2,0),AA87,1),"")</f>
        <v>R</v>
      </c>
      <c r="AA87" s="3">
        <v>155</v>
      </c>
      <c r="AB87" s="3" t="str">
        <f>IFERROR(MID(VLOOKUP($B87,Seqs!$A:$B,2,0),AC87,1),"")</f>
        <v>N</v>
      </c>
      <c r="AC87" s="3">
        <v>156</v>
      </c>
      <c r="AD87" s="3" t="str">
        <f>IFERROR(MID(VLOOKUP($B87,Seqs!$A:$B,2,0),AE87,1),"")</f>
        <v>R</v>
      </c>
      <c r="AE87" s="3">
        <v>182</v>
      </c>
      <c r="AF87" s="3" t="str">
        <f>IFERROR(MID(VLOOKUP($B87,Seqs!$A:$B,2,0),AG87,1),"")</f>
        <v>C</v>
      </c>
      <c r="AG87" s="3">
        <v>195</v>
      </c>
      <c r="AH87" s="3" t="str">
        <f>IFERROR(MID(VLOOKUP($B87,Seqs!$A:$B,2,0),AI87,1),"")</f>
        <v>M</v>
      </c>
      <c r="AI87" s="3">
        <v>197</v>
      </c>
      <c r="AJ87" s="3" t="str">
        <f>IFERROR(MID(VLOOKUP($B87,Seqs!$A:$B,2,0),AK87,1),"")</f>
        <v>K</v>
      </c>
      <c r="AK87" s="3">
        <v>203</v>
      </c>
      <c r="AL87" s="3" t="str">
        <f>IFERROR(MID(VLOOKUP($B87,Seqs!$A:$B,2,0),AM87,1),"")</f>
        <v>T</v>
      </c>
      <c r="AM87" s="3">
        <v>241</v>
      </c>
      <c r="AN87" s="3" t="str">
        <f>IFERROR(MID(VLOOKUP($B87,Seqs!$A:$B,2,0),AO87,1),"")</f>
        <v>G</v>
      </c>
      <c r="AO87" s="3">
        <v>245</v>
      </c>
      <c r="AP87" s="3" t="str">
        <f>IFERROR(MID(VLOOKUP($B87,Seqs!$A:$B,2,0),AQ87,1),"")</f>
        <v>G</v>
      </c>
      <c r="AQ87" s="3">
        <v>285</v>
      </c>
      <c r="AR87" s="3" t="str">
        <f>IFERROR(MID(VLOOKUP($B87,Seqs!$A:$B,2,0),AS87,1),"")</f>
        <v>S</v>
      </c>
      <c r="AS87" s="3">
        <v>289</v>
      </c>
      <c r="AT87" s="3" t="str">
        <f>IFERROR(MID(VLOOKUP($B87,Seqs!$A:$B,2,0),AU87,1),"")</f>
        <v>V</v>
      </c>
      <c r="AU87" s="3">
        <v>321</v>
      </c>
      <c r="AV87" s="3" t="str">
        <f>IFERROR(MID(VLOOKUP($B87,Seqs!$A:$B,2,0),AW87,1),"")</f>
        <v>G</v>
      </c>
      <c r="AW87" s="3">
        <v>322</v>
      </c>
      <c r="AX87" s="3" t="str">
        <f>IFERROR(MID(VLOOKUP($B87,Seqs!$A:$B,2,0),AY87,1),"")</f>
        <v>P</v>
      </c>
      <c r="AY87" s="3">
        <v>336</v>
      </c>
      <c r="AZ87" s="79" t="str">
        <f>VLOOKUP(B87,Classification!A:D,2,0)</f>
        <v>A</v>
      </c>
      <c r="BA87" s="97" t="str">
        <f>VLOOKUP(B87,Classification!A:D,4,0)</f>
        <v>Angiotensin</v>
      </c>
      <c r="BB87" s="27" t="b">
        <f t="shared" ref="BB87:BB88" si="393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:BC88" si="394">_xlfn.AGGREGATE(9,6,CH87:CS87)-_xlfn.AGGREGATE(9,6,BV87:CG87)+12</f>
        <v>265</v>
      </c>
      <c r="BD87" s="2" t="s">
        <v>23</v>
      </c>
      <c r="BE87" s="3" t="s">
        <v>23</v>
      </c>
      <c r="BF87" s="124" t="s">
        <v>23</v>
      </c>
      <c r="BG87" s="50" t="s">
        <v>1384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ref="BV87:BV88" si="395">E87</f>
        <v>45</v>
      </c>
      <c r="BW87" s="73" t="str">
        <f t="shared" ref="BW87:BW88" si="396">I87</f>
        <v>-</v>
      </c>
      <c r="BX87" s="74">
        <f t="shared" ref="BX87:BX88" si="397">M87</f>
        <v>78</v>
      </c>
      <c r="BY87" s="73">
        <f t="shared" ref="BY87:BY88" si="398">Q87</f>
        <v>107</v>
      </c>
      <c r="BZ87" s="74">
        <f t="shared" ref="BZ87:BZ88" si="399">U87</f>
        <v>113</v>
      </c>
      <c r="CA87" s="73">
        <f t="shared" ref="CA87:CA88" si="400">Y87</f>
        <v>149</v>
      </c>
      <c r="CB87" s="74">
        <f t="shared" ref="CB87:CB88" si="401">AC87</f>
        <v>156</v>
      </c>
      <c r="CC87" s="73">
        <f t="shared" ref="CC87:CC88" si="402">AG87</f>
        <v>195</v>
      </c>
      <c r="CD87" s="74">
        <f t="shared" ref="CD87:CD88" si="403">AK87</f>
        <v>203</v>
      </c>
      <c r="CE87" s="73">
        <f t="shared" ref="CE87:CE88" si="404">AO87</f>
        <v>245</v>
      </c>
      <c r="CF87" s="74">
        <f t="shared" ref="CF87:CF88" si="405">AS87</f>
        <v>289</v>
      </c>
      <c r="CG87" s="73">
        <f t="shared" ref="CG87:CG88" si="406">AW87</f>
        <v>322</v>
      </c>
      <c r="CH87" s="72">
        <f t="shared" ref="CH87:CH88" si="407">G87</f>
        <v>72</v>
      </c>
      <c r="CI87" s="73" t="str">
        <f t="shared" ref="CI87:CI88" si="408">K87</f>
        <v>-</v>
      </c>
      <c r="CJ87" s="74">
        <f t="shared" ref="CJ87:CJ88" si="409">O87</f>
        <v>106</v>
      </c>
      <c r="CK87" s="74">
        <f t="shared" ref="CK87:CK88" si="410">S87</f>
        <v>112</v>
      </c>
      <c r="CL87" s="74">
        <f t="shared" ref="CL87:CL88" si="411">W87</f>
        <v>148</v>
      </c>
      <c r="CM87" s="74">
        <f t="shared" ref="CM87:CM88" si="412">AA87</f>
        <v>155</v>
      </c>
      <c r="CN87" s="74">
        <f t="shared" ref="CN87:CN88" si="413">AE87</f>
        <v>182</v>
      </c>
      <c r="CO87" s="74">
        <f t="shared" ref="CO87:CO88" si="414">AI87</f>
        <v>197</v>
      </c>
      <c r="CP87" s="74">
        <f t="shared" ref="CP87:CP88" si="415">AM87</f>
        <v>241</v>
      </c>
      <c r="CQ87" s="74">
        <f t="shared" ref="CQ87:CQ88" si="416">AQ87</f>
        <v>285</v>
      </c>
      <c r="CR87" s="74">
        <f t="shared" ref="CR87:CR88" si="417">AU87</f>
        <v>321</v>
      </c>
      <c r="CS87" s="74">
        <f t="shared" ref="CS87:CS88" si="418">AY87</f>
        <v>336</v>
      </c>
      <c r="CT87" s="23" t="e">
        <f t="shared" ref="CT87:CT88" si="419">M87-K87</f>
        <v>#VALUE!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30" x14ac:dyDescent="0.2">
      <c r="A88" s="3" t="str">
        <f t="shared" si="392"/>
        <v>agtr2_human_5UNF</v>
      </c>
      <c r="B88" s="3" t="s">
        <v>159</v>
      </c>
      <c r="C88" s="3" t="s">
        <v>1399</v>
      </c>
      <c r="D88" s="3" t="str">
        <f>IFERROR(MID(VLOOKUP($B88,Seqs!$A:$B,2,0),E88,1),"")</f>
        <v>A</v>
      </c>
      <c r="E88" s="3">
        <v>46</v>
      </c>
      <c r="F88" s="3" t="str">
        <f>IFERROR(MID(VLOOKUP($B88,Seqs!$A:$B,2,0),G88,1),"")</f>
        <v>Q</v>
      </c>
      <c r="G88" s="3">
        <v>72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V</v>
      </c>
      <c r="M88" s="3">
        <v>78</v>
      </c>
      <c r="N88" s="3" t="str">
        <f>IFERROR(MID(VLOOKUP($B88,Seqs!$A:$B,2,0),O88,1),"")</f>
        <v>Y</v>
      </c>
      <c r="O88" s="3">
        <v>106</v>
      </c>
      <c r="P88" s="3" t="str">
        <f>IFERROR(MID(VLOOKUP($B88,Seqs!$A:$B,2,0),Q88,1),"")</f>
        <v>R</v>
      </c>
      <c r="Q88" s="3">
        <v>107</v>
      </c>
      <c r="R88" s="3" t="str">
        <f>IFERROR(MID(VLOOKUP($B88,Seqs!$A:$B,2,0),S88,1),"")</f>
        <v>F</v>
      </c>
      <c r="S88" s="3">
        <v>112</v>
      </c>
      <c r="T88" s="3" t="str">
        <f>IFERROR(MID(VLOOKUP($B88,Seqs!$A:$B,2,0),U88,1),"")</f>
        <v>G</v>
      </c>
      <c r="U88" s="3">
        <v>113</v>
      </c>
      <c r="V88" s="3" t="str">
        <f>IFERROR(MID(VLOOKUP($B88,Seqs!$A:$B,2,0),W88,1),"")</f>
        <v>Y</v>
      </c>
      <c r="W88" s="3">
        <v>148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W</v>
      </c>
      <c r="AC88" s="3">
        <v>158</v>
      </c>
      <c r="AD88" s="3" t="str">
        <f>IFERROR(MID(VLOOKUP($B88,Seqs!$A:$B,2,0),AE88,1),"")</f>
        <v>R</v>
      </c>
      <c r="AE88" s="3">
        <v>182</v>
      </c>
      <c r="AF88" s="3" t="str">
        <f>IFERROR(MID(VLOOKUP($B88,Seqs!$A:$B,2,0),AG88,1),"")</f>
        <v>C</v>
      </c>
      <c r="AG88" s="3">
        <v>195</v>
      </c>
      <c r="AH88" s="3" t="str">
        <f>IFERROR(MID(VLOOKUP($B88,Seqs!$A:$B,2,0),AI88,1),"")</f>
        <v>M</v>
      </c>
      <c r="AI88" s="3">
        <v>197</v>
      </c>
      <c r="AJ88" s="3" t="str">
        <f>IFERROR(MID(VLOOKUP($B88,Seqs!$A:$B,2,0),AK88,1),"")</f>
        <v>Y</v>
      </c>
      <c r="AK88" s="3">
        <v>204</v>
      </c>
      <c r="AL88" s="3" t="str">
        <f>IFERROR(MID(VLOOKUP($B88,Seqs!$A:$B,2,0),AM88,1),"")</f>
        <v>T</v>
      </c>
      <c r="AM88" s="3">
        <v>241</v>
      </c>
      <c r="AN88" s="3" t="str">
        <f>IFERROR(MID(VLOOKUP($B88,Seqs!$A:$B,2,0),AO88,1),"")</f>
        <v>G</v>
      </c>
      <c r="AO88" s="3">
        <v>245</v>
      </c>
      <c r="AP88" s="3" t="str">
        <f>IFERROR(MID(VLOOKUP($B88,Seqs!$A:$B,2,0),AQ88,1),"")</f>
        <v>G</v>
      </c>
      <c r="AQ88" s="3">
        <v>285</v>
      </c>
      <c r="AR88" s="3" t="str">
        <f>IFERROR(MID(VLOOKUP($B88,Seqs!$A:$B,2,0),AS88,1),"")</f>
        <v>C</v>
      </c>
      <c r="AS88" s="3">
        <v>290</v>
      </c>
      <c r="AT88" s="3" t="str">
        <f>IFERROR(MID(VLOOKUP($B88,Seqs!$A:$B,2,0),AU88,1),"")</f>
        <v>V</v>
      </c>
      <c r="AU88" s="3">
        <v>321</v>
      </c>
      <c r="AV88" s="3" t="str">
        <f>IFERROR(MID(VLOOKUP($B88,Seqs!$A:$B,2,0),AW88,1),"")</f>
        <v>G</v>
      </c>
      <c r="AW88" s="3">
        <v>322</v>
      </c>
      <c r="AX88" s="3" t="str">
        <f>IFERROR(MID(VLOOKUP($B88,Seqs!$A:$B,2,0),AY88,1),"")</f>
        <v>R</v>
      </c>
      <c r="AY88" s="3">
        <v>334</v>
      </c>
      <c r="AZ88" s="79"/>
      <c r="BA88" s="97" t="str">
        <f>VLOOKUP(B88,Classification!A:D,4,0)</f>
        <v>Angiotensin</v>
      </c>
      <c r="BB88" s="27" t="b">
        <f t="shared" si="393"/>
        <v>1</v>
      </c>
      <c r="BC88" s="23">
        <f t="shared" si="394"/>
        <v>252</v>
      </c>
      <c r="BD88" s="2" t="s">
        <v>23</v>
      </c>
      <c r="BE88" s="3" t="s">
        <v>1297</v>
      </c>
      <c r="BF88" s="124">
        <v>2.8</v>
      </c>
      <c r="BG88" s="50" t="s">
        <v>1384</v>
      </c>
      <c r="BH88" s="50" t="s">
        <v>1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395"/>
        <v>46</v>
      </c>
      <c r="BW88" s="73" t="str">
        <f t="shared" si="396"/>
        <v>-</v>
      </c>
      <c r="BX88" s="74">
        <f t="shared" si="397"/>
        <v>78</v>
      </c>
      <c r="BY88" s="73">
        <f t="shared" si="398"/>
        <v>107</v>
      </c>
      <c r="BZ88" s="74">
        <f t="shared" si="399"/>
        <v>113</v>
      </c>
      <c r="CA88" s="73" t="str">
        <f t="shared" si="400"/>
        <v>-</v>
      </c>
      <c r="CB88" s="74">
        <f t="shared" si="401"/>
        <v>158</v>
      </c>
      <c r="CC88" s="73">
        <f t="shared" si="402"/>
        <v>195</v>
      </c>
      <c r="CD88" s="74">
        <f t="shared" si="403"/>
        <v>204</v>
      </c>
      <c r="CE88" s="73">
        <f t="shared" si="404"/>
        <v>245</v>
      </c>
      <c r="CF88" s="74">
        <f t="shared" si="405"/>
        <v>290</v>
      </c>
      <c r="CG88" s="73">
        <f t="shared" si="406"/>
        <v>322</v>
      </c>
      <c r="CH88" s="72">
        <f t="shared" si="407"/>
        <v>72</v>
      </c>
      <c r="CI88" s="73" t="str">
        <f t="shared" si="408"/>
        <v>-</v>
      </c>
      <c r="CJ88" s="74">
        <f t="shared" si="409"/>
        <v>106</v>
      </c>
      <c r="CK88" s="74">
        <f t="shared" si="410"/>
        <v>112</v>
      </c>
      <c r="CL88" s="74">
        <f t="shared" si="411"/>
        <v>148</v>
      </c>
      <c r="CM88" s="74" t="str">
        <f t="shared" si="412"/>
        <v>-</v>
      </c>
      <c r="CN88" s="74">
        <f t="shared" si="413"/>
        <v>182</v>
      </c>
      <c r="CO88" s="74">
        <f t="shared" si="414"/>
        <v>197</v>
      </c>
      <c r="CP88" s="74">
        <f t="shared" si="415"/>
        <v>241</v>
      </c>
      <c r="CQ88" s="74">
        <f t="shared" si="416"/>
        <v>285</v>
      </c>
      <c r="CR88" s="74">
        <f t="shared" si="417"/>
        <v>321</v>
      </c>
      <c r="CS88" s="74">
        <f t="shared" si="418"/>
        <v>334</v>
      </c>
      <c r="CT88" s="23" t="e">
        <f t="shared" si="419"/>
        <v>#VALUE!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30" x14ac:dyDescent="0.2">
      <c r="A89" s="3" t="str">
        <f t="shared" ref="A89" si="420">CONCATENATE(B89,"_",C89)</f>
        <v>agtr2_human_5UNG</v>
      </c>
      <c r="B89" s="3" t="s">
        <v>159</v>
      </c>
      <c r="C89" s="3" t="s">
        <v>1401</v>
      </c>
      <c r="D89" s="3" t="str">
        <f>IFERROR(MID(VLOOKUP($B89,Seqs!$A:$B,2,0),E89,1),"")</f>
        <v>D</v>
      </c>
      <c r="E89" s="3">
        <v>45</v>
      </c>
      <c r="F89" s="3" t="str">
        <f>IFERROR(MID(VLOOKUP($B89,Seqs!$A:$B,2,0),G89,1),"")</f>
        <v>C</v>
      </c>
      <c r="G89" s="3">
        <v>71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V</v>
      </c>
      <c r="M89" s="3">
        <v>78</v>
      </c>
      <c r="N89" s="3" t="str">
        <f>IFERROR(MID(VLOOKUP($B89,Seqs!$A:$B,2,0),O89,1),"")</f>
        <v>Y</v>
      </c>
      <c r="O89" s="3">
        <v>106</v>
      </c>
      <c r="P89" s="3" t="str">
        <f>IFERROR(MID(VLOOKUP($B89,Seqs!$A:$B,2,0),Q89,1),"")</f>
        <v>R</v>
      </c>
      <c r="Q89" s="3">
        <v>107</v>
      </c>
      <c r="R89" s="3" t="str">
        <f>IFERROR(MID(VLOOKUP($B89,Seqs!$A:$B,2,0),S89,1),"")</f>
        <v>F</v>
      </c>
      <c r="S89" s="3">
        <v>112</v>
      </c>
      <c r="T89" s="3" t="str">
        <f>IFERROR(MID(VLOOKUP($B89,Seqs!$A:$B,2,0),U89,1),"")</f>
        <v>G</v>
      </c>
      <c r="U89" s="3">
        <v>113</v>
      </c>
      <c r="V89" s="3" t="str">
        <f>IFERROR(MID(VLOOKUP($B89,Seqs!$A:$B,2,0),W89,1),"")</f>
        <v>Y</v>
      </c>
      <c r="W89" s="3">
        <v>148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Q</v>
      </c>
      <c r="AC89" s="3">
        <v>159</v>
      </c>
      <c r="AD89" s="3" t="str">
        <f>IFERROR(MID(VLOOKUP($B89,Seqs!$A:$B,2,0),AE89,1),"")</f>
        <v>R</v>
      </c>
      <c r="AE89" s="3">
        <v>182</v>
      </c>
      <c r="AF89" s="3" t="str">
        <f>IFERROR(MID(VLOOKUP($B89,Seqs!$A:$B,2,0),AG89,1),"")</f>
        <v>C</v>
      </c>
      <c r="AG89" s="3">
        <v>195</v>
      </c>
      <c r="AH89" s="3" t="str">
        <f>IFERROR(MID(VLOOKUP($B89,Seqs!$A:$B,2,0),AI89,1),"")</f>
        <v>M</v>
      </c>
      <c r="AI89" s="3">
        <v>197</v>
      </c>
      <c r="AJ89" s="3" t="str">
        <f>IFERROR(MID(VLOOKUP($B89,Seqs!$A:$B,2,0),AK89,1),"")</f>
        <v>K</v>
      </c>
      <c r="AK89" s="3">
        <v>203</v>
      </c>
      <c r="AL89" s="3" t="str">
        <f>IFERROR(MID(VLOOKUP($B89,Seqs!$A:$B,2,0),AM89,1),"")</f>
        <v>T</v>
      </c>
      <c r="AM89" s="3">
        <v>241</v>
      </c>
      <c r="AN89" s="3" t="str">
        <f>IFERROR(MID(VLOOKUP($B89,Seqs!$A:$B,2,0),AO89,1),"")</f>
        <v>G</v>
      </c>
      <c r="AO89" s="3">
        <v>245</v>
      </c>
      <c r="AP89" s="3" t="str">
        <f>IFERROR(MID(VLOOKUP($B89,Seqs!$A:$B,2,0),AQ89,1),"")</f>
        <v>G</v>
      </c>
      <c r="AQ89" s="3">
        <v>285</v>
      </c>
      <c r="AR89" s="3" t="str">
        <f>IFERROR(MID(VLOOKUP($B89,Seqs!$A:$B,2,0),AS89,1),"")</f>
        <v>S</v>
      </c>
      <c r="AS89" s="3">
        <v>289</v>
      </c>
      <c r="AT89" s="3" t="str">
        <f>IFERROR(MID(VLOOKUP($B89,Seqs!$A:$B,2,0),AU89,1),"")</f>
        <v>V</v>
      </c>
      <c r="AU89" s="3">
        <v>321</v>
      </c>
      <c r="AV89" s="3" t="str">
        <f>IFERROR(MID(VLOOKUP($B89,Seqs!$A:$B,2,0),AW89,1),"")</f>
        <v>G</v>
      </c>
      <c r="AW89" s="3">
        <v>322</v>
      </c>
      <c r="AX89" s="3" t="str">
        <f>IFERROR(MID(VLOOKUP($B89,Seqs!$A:$B,2,0),AY89,1),"")</f>
        <v>R</v>
      </c>
      <c r="AY89" s="3">
        <v>334</v>
      </c>
      <c r="AZ89" s="79" t="str">
        <f>VLOOKUP(B89,Classification!A:D,2,0)</f>
        <v>A</v>
      </c>
      <c r="BA89" s="97" t="str">
        <f>VLOOKUP(B89,Classification!A:D,4,0)</f>
        <v>Angiotensin</v>
      </c>
      <c r="BB89" s="27" t="b">
        <f t="shared" ref="BB89" si="421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422">_xlfn.AGGREGATE(9,6,CH89:CS89)-_xlfn.AGGREGATE(9,6,BV89:CG89)+12</f>
        <v>253</v>
      </c>
      <c r="BD89" s="2" t="s">
        <v>1382</v>
      </c>
      <c r="BE89" s="3" t="s">
        <v>1297</v>
      </c>
      <c r="BF89" s="124">
        <v>2.8</v>
      </c>
      <c r="BG89" s="50" t="s">
        <v>1384</v>
      </c>
      <c r="BH89" s="50" t="s">
        <v>1287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ref="BV89" si="423">E89</f>
        <v>45</v>
      </c>
      <c r="BW89" s="73" t="str">
        <f t="shared" ref="BW89" si="424">I89</f>
        <v>-</v>
      </c>
      <c r="BX89" s="74">
        <f t="shared" ref="BX89" si="425">M89</f>
        <v>78</v>
      </c>
      <c r="BY89" s="73">
        <f t="shared" ref="BY89" si="426">Q89</f>
        <v>107</v>
      </c>
      <c r="BZ89" s="74">
        <f t="shared" ref="BZ89" si="427">U89</f>
        <v>113</v>
      </c>
      <c r="CA89" s="73" t="str">
        <f t="shared" ref="CA89" si="428">Y89</f>
        <v>-</v>
      </c>
      <c r="CB89" s="74">
        <f t="shared" ref="CB89" si="429">AC89</f>
        <v>159</v>
      </c>
      <c r="CC89" s="73">
        <f t="shared" ref="CC89" si="430">AG89</f>
        <v>195</v>
      </c>
      <c r="CD89" s="74">
        <f t="shared" ref="CD89" si="431">AK89</f>
        <v>203</v>
      </c>
      <c r="CE89" s="73">
        <f t="shared" ref="CE89" si="432">AO89</f>
        <v>245</v>
      </c>
      <c r="CF89" s="74">
        <f t="shared" ref="CF89" si="433">AS89</f>
        <v>289</v>
      </c>
      <c r="CG89" s="73">
        <f t="shared" ref="CG89" si="434">AW89</f>
        <v>322</v>
      </c>
      <c r="CH89" s="72">
        <f t="shared" ref="CH89" si="435">G89</f>
        <v>71</v>
      </c>
      <c r="CI89" s="73" t="str">
        <f t="shared" ref="CI89" si="436">K89</f>
        <v>-</v>
      </c>
      <c r="CJ89" s="74">
        <f t="shared" ref="CJ89" si="437">O89</f>
        <v>106</v>
      </c>
      <c r="CK89" s="74">
        <f t="shared" ref="CK89" si="438">S89</f>
        <v>112</v>
      </c>
      <c r="CL89" s="74">
        <f t="shared" ref="CL89" si="439">W89</f>
        <v>148</v>
      </c>
      <c r="CM89" s="74" t="str">
        <f t="shared" ref="CM89" si="440">AA89</f>
        <v>-</v>
      </c>
      <c r="CN89" s="74">
        <f t="shared" ref="CN89" si="441">AE89</f>
        <v>182</v>
      </c>
      <c r="CO89" s="74">
        <f t="shared" ref="CO89" si="442">AI89</f>
        <v>197</v>
      </c>
      <c r="CP89" s="74">
        <f t="shared" ref="CP89" si="443">AM89</f>
        <v>241</v>
      </c>
      <c r="CQ89" s="74">
        <f t="shared" ref="CQ89" si="444">AQ89</f>
        <v>285</v>
      </c>
      <c r="CR89" s="74">
        <f t="shared" ref="CR89" si="445">AU89</f>
        <v>321</v>
      </c>
      <c r="CS89" s="74">
        <f t="shared" ref="CS89" si="446">AY89</f>
        <v>334</v>
      </c>
      <c r="CT89" s="23" t="e">
        <f t="shared" ref="CT89" si="447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ref="A90" si="448">CONCATENATE(B90,"_",C90)</f>
        <v>agtr2_human_5UNH</v>
      </c>
      <c r="B90" s="3" t="s">
        <v>159</v>
      </c>
      <c r="C90" s="3" t="s">
        <v>1402</v>
      </c>
      <c r="D90" s="3" t="str">
        <f>IFERROR(MID(VLOOKUP($B90,Seqs!$A:$B,2,0),E90,1),"")</f>
        <v>D</v>
      </c>
      <c r="E90" s="3">
        <v>45</v>
      </c>
      <c r="F90" s="3" t="str">
        <f>IFERROR(MID(VLOOKUP($B90,Seqs!$A:$B,2,0),G90,1),"")</f>
        <v>C</v>
      </c>
      <c r="G90" s="3">
        <v>70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K</v>
      </c>
      <c r="M90" s="3">
        <v>77</v>
      </c>
      <c r="N90" s="3" t="str">
        <f>IFERROR(MID(VLOOKUP($B90,Seqs!$A:$B,2,0),O90,1),"")</f>
        <v>Y</v>
      </c>
      <c r="O90" s="3">
        <v>106</v>
      </c>
      <c r="P90" s="3" t="str">
        <f>IFERROR(MID(VLOOKUP($B90,Seqs!$A:$B,2,0),Q90,1),"")</f>
        <v>R</v>
      </c>
      <c r="Q90" s="3">
        <v>107</v>
      </c>
      <c r="R90" s="3" t="str">
        <f>IFERROR(MID(VLOOKUP($B90,Seqs!$A:$B,2,0),S90,1),"")</f>
        <v>F</v>
      </c>
      <c r="S90" s="3">
        <v>112</v>
      </c>
      <c r="T90" s="3" t="str">
        <f>IFERROR(MID(VLOOKUP($B90,Seqs!$A:$B,2,0),U90,1),"")</f>
        <v>G</v>
      </c>
      <c r="U90" s="3">
        <v>113</v>
      </c>
      <c r="V90" s="3" t="str">
        <f>IFERROR(MID(VLOOKUP($B90,Seqs!$A:$B,2,0),W90,1),"")</f>
        <v>Y</v>
      </c>
      <c r="W90" s="3">
        <v>148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Y</v>
      </c>
      <c r="AC90" s="3">
        <v>162</v>
      </c>
      <c r="AD90" s="3" t="str">
        <f>IFERROR(MID(VLOOKUP($B90,Seqs!$A:$B,2,0),AE90,1),"")</f>
        <v>R</v>
      </c>
      <c r="AE90" s="3">
        <v>182</v>
      </c>
      <c r="AF90" s="3" t="str">
        <f>IFERROR(MID(VLOOKUP($B90,Seqs!$A:$B,2,0),AG90,1),"")</f>
        <v>C</v>
      </c>
      <c r="AG90" s="3">
        <v>195</v>
      </c>
      <c r="AH90" s="3" t="str">
        <f>IFERROR(MID(VLOOKUP($B90,Seqs!$A:$B,2,0),AI90,1),"")</f>
        <v>M</v>
      </c>
      <c r="AI90" s="3">
        <v>197</v>
      </c>
      <c r="AJ90" s="3" t="str">
        <f>IFERROR(MID(VLOOKUP($B90,Seqs!$A:$B,2,0),AK90,1),"")</f>
        <v>Y</v>
      </c>
      <c r="AK90" s="3">
        <v>204</v>
      </c>
      <c r="AL90" s="3" t="str">
        <f>IFERROR(MID(VLOOKUP($B90,Seqs!$A:$B,2,0),AM90,1),"")</f>
        <v>T</v>
      </c>
      <c r="AM90" s="3">
        <v>241</v>
      </c>
      <c r="AN90" s="3" t="str">
        <f>IFERROR(MID(VLOOKUP($B90,Seqs!$A:$B,2,0),AO90,1),"")</f>
        <v>G</v>
      </c>
      <c r="AO90" s="3">
        <v>245</v>
      </c>
      <c r="AP90" s="3" t="str">
        <f>IFERROR(MID(VLOOKUP($B90,Seqs!$A:$B,2,0),AQ90,1),"")</f>
        <v>G</v>
      </c>
      <c r="AQ90" s="3">
        <v>285</v>
      </c>
      <c r="AR90" s="3" t="str">
        <f>IFERROR(MID(VLOOKUP($B90,Seqs!$A:$B,2,0),AS90,1),"")</f>
        <v>S</v>
      </c>
      <c r="AS90" s="3">
        <v>289</v>
      </c>
      <c r="AT90" s="3" t="str">
        <f>IFERROR(MID(VLOOKUP($B90,Seqs!$A:$B,2,0),AU90,1),"")</f>
        <v>V</v>
      </c>
      <c r="AU90" s="3">
        <v>321</v>
      </c>
      <c r="AV90" s="3" t="str">
        <f>IFERROR(MID(VLOOKUP($B90,Seqs!$A:$B,2,0),AW90,1),"")</f>
        <v>G</v>
      </c>
      <c r="AW90" s="3">
        <v>322</v>
      </c>
      <c r="AX90" s="3" t="str">
        <f>IFERROR(MID(VLOOKUP($B90,Seqs!$A:$B,2,0),AY90,1),"")</f>
        <v>V</v>
      </c>
      <c r="AY90" s="3">
        <v>332</v>
      </c>
      <c r="AZ90" s="79" t="str">
        <f>VLOOKUP(B90,Classification!A:D,2,0)</f>
        <v>A</v>
      </c>
      <c r="BA90" s="97" t="str">
        <f>VLOOKUP(B90,Classification!A:D,4,0)</f>
        <v>Angiotensin</v>
      </c>
      <c r="BB90" s="27" t="b">
        <f t="shared" ref="BB90" si="449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450">_xlfn.AGGREGATE(9,6,CH90:CS90)-_xlfn.AGGREGATE(9,6,BV90:CG90)+12</f>
        <v>247</v>
      </c>
      <c r="BD90" s="2" t="s">
        <v>23</v>
      </c>
      <c r="BE90" s="3" t="s">
        <v>1297</v>
      </c>
      <c r="BF90" s="124">
        <v>2.9</v>
      </c>
      <c r="BG90" s="50" t="s">
        <v>1384</v>
      </c>
      <c r="BH90" s="50" t="s">
        <v>1287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ref="BV90" si="451">E90</f>
        <v>45</v>
      </c>
      <c r="BW90" s="73" t="str">
        <f t="shared" ref="BW90" si="452">I90</f>
        <v>-</v>
      </c>
      <c r="BX90" s="74">
        <f t="shared" ref="BX90" si="453">M90</f>
        <v>77</v>
      </c>
      <c r="BY90" s="73">
        <f t="shared" ref="BY90" si="454">Q90</f>
        <v>107</v>
      </c>
      <c r="BZ90" s="74">
        <f t="shared" ref="BZ90" si="455">U90</f>
        <v>113</v>
      </c>
      <c r="CA90" s="73" t="str">
        <f t="shared" ref="CA90" si="456">Y90</f>
        <v>-</v>
      </c>
      <c r="CB90" s="74">
        <f t="shared" ref="CB90" si="457">AC90</f>
        <v>162</v>
      </c>
      <c r="CC90" s="73">
        <f t="shared" ref="CC90" si="458">AG90</f>
        <v>195</v>
      </c>
      <c r="CD90" s="74">
        <f t="shared" ref="CD90" si="459">AK90</f>
        <v>204</v>
      </c>
      <c r="CE90" s="73">
        <f t="shared" ref="CE90" si="460">AO90</f>
        <v>245</v>
      </c>
      <c r="CF90" s="74">
        <f t="shared" ref="CF90" si="461">AS90</f>
        <v>289</v>
      </c>
      <c r="CG90" s="73">
        <f t="shared" ref="CG90" si="462">AW90</f>
        <v>322</v>
      </c>
      <c r="CH90" s="72">
        <f t="shared" ref="CH90" si="463">G90</f>
        <v>70</v>
      </c>
      <c r="CI90" s="73" t="str">
        <f t="shared" ref="CI90" si="464">K90</f>
        <v>-</v>
      </c>
      <c r="CJ90" s="74">
        <f t="shared" ref="CJ90" si="465">O90</f>
        <v>106</v>
      </c>
      <c r="CK90" s="74">
        <f t="shared" ref="CK90" si="466">S90</f>
        <v>112</v>
      </c>
      <c r="CL90" s="74">
        <f t="shared" ref="CL90" si="467">W90</f>
        <v>148</v>
      </c>
      <c r="CM90" s="74" t="str">
        <f t="shared" ref="CM90" si="468">AA90</f>
        <v>-</v>
      </c>
      <c r="CN90" s="74">
        <f t="shared" ref="CN90" si="469">AE90</f>
        <v>182</v>
      </c>
      <c r="CO90" s="74">
        <f t="shared" ref="CO90" si="470">AI90</f>
        <v>197</v>
      </c>
      <c r="CP90" s="74">
        <f t="shared" ref="CP90" si="471">AM90</f>
        <v>241</v>
      </c>
      <c r="CQ90" s="74">
        <f t="shared" ref="CQ90" si="472">AQ90</f>
        <v>285</v>
      </c>
      <c r="CR90" s="74">
        <f t="shared" ref="CR90" si="473">AU90</f>
        <v>321</v>
      </c>
      <c r="CS90" s="74">
        <f t="shared" ref="CS90" si="474">AY90</f>
        <v>332</v>
      </c>
      <c r="CT90" s="23" t="e">
        <f t="shared" ref="CT90" si="475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s="12" customFormat="1" x14ac:dyDescent="0.2">
      <c r="A91" s="9" t="str">
        <f t="shared" ref="A91:A92" si="476">CONCATENATE(B91,"_",C91)</f>
        <v>apj_human__wt</v>
      </c>
      <c r="B91" s="9" t="s">
        <v>160</v>
      </c>
      <c r="C91" s="9" t="s">
        <v>100</v>
      </c>
      <c r="D91" s="9" t="str">
        <f>IFERROR(MID(VLOOKUP($B91,Seqs!$A:$B,2,0),E91,1),"")</f>
        <v>A</v>
      </c>
      <c r="E91" s="9">
        <v>29</v>
      </c>
      <c r="F91" s="9" t="str">
        <f>IFERROR(MID(VLOOKUP($B91,Seqs!$A:$B,2,0),G91,1),"")</f>
        <v>S</v>
      </c>
      <c r="G91" s="9">
        <v>56</v>
      </c>
      <c r="H91" s="9" t="str">
        <f>IFERROR(MID(VLOOKUP($B91,Seqs!$A:$B,2,0),I91,1),"")</f>
        <v>S</v>
      </c>
      <c r="I91" s="112">
        <v>57</v>
      </c>
      <c r="J91" s="9" t="str">
        <f>IFERROR(MID(VLOOKUP($B91,Seqs!$A:$B,2,0),K91,1),"")</f>
        <v>R</v>
      </c>
      <c r="K91" s="112">
        <v>61</v>
      </c>
      <c r="L91" s="9" t="str">
        <f>IFERROR(MID(VLOOKUP($B91,Seqs!$A:$B,2,0),M91,1),"")</f>
        <v>R</v>
      </c>
      <c r="M91" s="9">
        <v>62</v>
      </c>
      <c r="N91" s="9" t="str">
        <f>IFERROR(MID(VLOOKUP($B91,Seqs!$A:$B,2,0),O91,1),"")</f>
        <v>D</v>
      </c>
      <c r="O91" s="9">
        <v>92</v>
      </c>
      <c r="P91" s="9" t="str">
        <f>IFERROR(MID(VLOOKUP($B91,Seqs!$A:$B,2,0),Q91,1),"")</f>
        <v>D</v>
      </c>
      <c r="Q91" s="9">
        <v>94</v>
      </c>
      <c r="R91" s="9" t="str">
        <f>IFERROR(MID(VLOOKUP($B91,Seqs!$A:$B,2,0),S91,1),"")</f>
        <v>F</v>
      </c>
      <c r="S91" s="9">
        <v>97</v>
      </c>
      <c r="T91" s="9" t="str">
        <f>IFERROR(MID(VLOOKUP($B91,Seqs!$A:$B,2,0),U91,1),"")</f>
        <v>G</v>
      </c>
      <c r="U91" s="9">
        <v>98</v>
      </c>
      <c r="V91" s="9" t="str">
        <f>IFERROR(MID(VLOOKUP($B91,Seqs!$A:$B,2,0),W91,1),"")</f>
        <v>R</v>
      </c>
      <c r="W91" s="9">
        <v>133</v>
      </c>
      <c r="X91" s="9" t="str">
        <f>IFERROR(MID(VLOOKUP($B91,Seqs!$A:$B,2,0),Y91,1),"")</f>
        <v>P</v>
      </c>
      <c r="Y91" s="9">
        <v>134</v>
      </c>
      <c r="Z91" s="9" t="str">
        <f>IFERROR(MID(VLOOKUP($B91,Seqs!$A:$B,2,0),AA91,1),"")</f>
        <v>R</v>
      </c>
      <c r="AA91" s="9">
        <v>141</v>
      </c>
      <c r="AB91" s="9" t="str">
        <f>IFERROR(MID(VLOOKUP($B91,Seqs!$A:$B,2,0),AC91,1),"")</f>
        <v>L</v>
      </c>
      <c r="AC91" s="9">
        <v>142</v>
      </c>
      <c r="AD91" s="9" t="str">
        <f>IFERROR(MID(VLOOKUP($B91,Seqs!$A:$B,2,0),AE91,1),"")</f>
        <v>R</v>
      </c>
      <c r="AE91" s="9">
        <v>168</v>
      </c>
      <c r="AF91" s="9" t="str">
        <f>IFERROR(MID(VLOOKUP($B91,Seqs!$A:$B,2,0),AG91,1),"")</f>
        <v>C</v>
      </c>
      <c r="AG91" s="9">
        <v>181</v>
      </c>
      <c r="AH91" s="9" t="str">
        <f>IFERROR(MID(VLOOKUP($B91,Seqs!$A:$B,2,0),AI91,1),"")</f>
        <v>M</v>
      </c>
      <c r="AI91" s="9">
        <v>183</v>
      </c>
      <c r="AJ91" s="9" t="str">
        <f>IFERROR(MID(VLOOKUP($B91,Seqs!$A:$B,2,0),AK91,1),"")</f>
        <v>S</v>
      </c>
      <c r="AK91" s="9">
        <v>193</v>
      </c>
      <c r="AL91" s="9" t="str">
        <f>IFERROR(MID(VLOOKUP($B91,Seqs!$A:$B,2,0),AM91,1),"")</f>
        <v>E</v>
      </c>
      <c r="AM91" s="9">
        <v>235</v>
      </c>
      <c r="AN91" s="9" t="str">
        <f>IFERROR(MID(VLOOKUP($B91,Seqs!$A:$B,2,0),AO91,1),"")</f>
        <v>K</v>
      </c>
      <c r="AO91" s="9">
        <v>242</v>
      </c>
      <c r="AP91" s="9" t="str">
        <f>IFERROR(MID(VLOOKUP($B91,Seqs!$A:$B,2,0),AQ91,1),"")</f>
        <v>L</v>
      </c>
      <c r="AQ91" s="9">
        <v>276</v>
      </c>
      <c r="AR91" s="9" t="str">
        <f>IFERROR(MID(VLOOKUP($B91,Seqs!$A:$B,2,0),AS91,1),"")</f>
        <v>P</v>
      </c>
      <c r="AS91" s="9">
        <v>280</v>
      </c>
      <c r="AT91" s="9" t="str">
        <f>IFERROR(MID(VLOOKUP($B91,Seqs!$A:$B,2,0),AU91,1),"")</f>
        <v>F</v>
      </c>
      <c r="AU91" s="9">
        <v>312</v>
      </c>
      <c r="AV91" s="9" t="str">
        <f>IFERROR(MID(VLOOKUP($B91,Seqs!$A:$B,2,0),AW91,1),"")</f>
        <v>D</v>
      </c>
      <c r="AW91" s="9">
        <v>313</v>
      </c>
      <c r="AX91" s="9" t="str">
        <f>IFERROR(MID(VLOOKUP($B91,Seqs!$A:$B,2,0),AY91,1),"")</f>
        <v>G</v>
      </c>
      <c r="AY91" s="9">
        <v>327</v>
      </c>
      <c r="AZ91" s="113" t="str">
        <f>VLOOKUP(B91,Classification!A:D,2,0)</f>
        <v>A</v>
      </c>
      <c r="BA91" s="101" t="str">
        <f>VLOOKUP(B91,Classification!A:D,4,0)</f>
        <v>Apelin</v>
      </c>
      <c r="BB91" s="37" t="b">
        <f t="shared" ref="BB91:BB92" si="47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12">
        <f t="shared" ref="BC91:BC92" si="478">_xlfn.AGGREGATE(9,6,CH91:CS91)-_xlfn.AGGREGATE(9,6,BV91:CG91)+12</f>
        <v>268</v>
      </c>
      <c r="BD91" s="41"/>
      <c r="BE91" s="9" t="s">
        <v>23</v>
      </c>
      <c r="BF91" s="125" t="s">
        <v>23</v>
      </c>
      <c r="BG91" s="52" t="s">
        <v>1287</v>
      </c>
      <c r="BH91" s="52" t="s">
        <v>1287</v>
      </c>
      <c r="BJ91" s="114" t="s">
        <v>1293</v>
      </c>
      <c r="BK91" s="115" t="s">
        <v>1293</v>
      </c>
      <c r="BL91" s="115" t="s">
        <v>1293</v>
      </c>
      <c r="BM91" s="115" t="s">
        <v>1293</v>
      </c>
      <c r="BN91" s="115" t="s">
        <v>1293</v>
      </c>
      <c r="BO91" s="115" t="s">
        <v>1293</v>
      </c>
      <c r="BP91" s="115" t="s">
        <v>1293</v>
      </c>
      <c r="BQ91" s="115" t="s">
        <v>1293</v>
      </c>
      <c r="BR91" s="115" t="s">
        <v>1293</v>
      </c>
      <c r="BS91" s="115" t="s">
        <v>1293</v>
      </c>
      <c r="BT91" s="115" t="s">
        <v>1293</v>
      </c>
      <c r="BU91" s="115" t="s">
        <v>1293</v>
      </c>
      <c r="BV91" s="114">
        <f t="shared" ref="BV91:BV92" si="479">E91</f>
        <v>29</v>
      </c>
      <c r="BW91" s="116">
        <f t="shared" ref="BW91:BW92" si="480">I91</f>
        <v>57</v>
      </c>
      <c r="BX91" s="117">
        <f t="shared" ref="BX91:BX92" si="481">M91</f>
        <v>62</v>
      </c>
      <c r="BY91" s="116">
        <f t="shared" ref="BY91:BY92" si="482">Q91</f>
        <v>94</v>
      </c>
      <c r="BZ91" s="117">
        <f t="shared" ref="BZ91:BZ92" si="483">U91</f>
        <v>98</v>
      </c>
      <c r="CA91" s="116">
        <f t="shared" ref="CA91:CA92" si="484">Y91</f>
        <v>134</v>
      </c>
      <c r="CB91" s="117">
        <f t="shared" ref="CB91:CB92" si="485">AC91</f>
        <v>142</v>
      </c>
      <c r="CC91" s="116">
        <f t="shared" ref="CC91:CC92" si="486">AG91</f>
        <v>181</v>
      </c>
      <c r="CD91" s="117">
        <f t="shared" ref="CD91:CD92" si="487">AK91</f>
        <v>193</v>
      </c>
      <c r="CE91" s="116">
        <f t="shared" ref="CE91:CE92" si="488">AO91</f>
        <v>242</v>
      </c>
      <c r="CF91" s="117">
        <f t="shared" ref="CF91:CF92" si="489">AS91</f>
        <v>280</v>
      </c>
      <c r="CG91" s="116">
        <f t="shared" ref="CG91:CG92" si="490">AW91</f>
        <v>313</v>
      </c>
      <c r="CH91" s="114">
        <f t="shared" ref="CH91:CH92" si="491">G91</f>
        <v>56</v>
      </c>
      <c r="CI91" s="116">
        <f t="shared" ref="CI91:CI92" si="492">K91</f>
        <v>61</v>
      </c>
      <c r="CJ91" s="117">
        <f t="shared" ref="CJ91:CJ92" si="493">O91</f>
        <v>92</v>
      </c>
      <c r="CK91" s="117">
        <f t="shared" ref="CK91:CK92" si="494">S91</f>
        <v>97</v>
      </c>
      <c r="CL91" s="117">
        <f t="shared" ref="CL91:CL92" si="495">W91</f>
        <v>133</v>
      </c>
      <c r="CM91" s="117">
        <f t="shared" ref="CM91:CM92" si="496">AA91</f>
        <v>141</v>
      </c>
      <c r="CN91" s="117">
        <f t="shared" ref="CN91:CN92" si="497">AE91</f>
        <v>168</v>
      </c>
      <c r="CO91" s="117">
        <f t="shared" ref="CO91:CO92" si="498">AI91</f>
        <v>183</v>
      </c>
      <c r="CP91" s="117">
        <f t="shared" ref="CP91:CP92" si="499">AM91</f>
        <v>235</v>
      </c>
      <c r="CQ91" s="117">
        <f t="shared" ref="CQ91:CQ92" si="500">AQ91</f>
        <v>276</v>
      </c>
      <c r="CR91" s="117">
        <f t="shared" ref="CR91:CR92" si="501">AU91</f>
        <v>312</v>
      </c>
      <c r="CS91" s="117">
        <f t="shared" ref="CS91:CS92" si="502">AY91</f>
        <v>327</v>
      </c>
      <c r="CT91" s="112">
        <f t="shared" ref="CT91:CT92" si="503">M91-K91</f>
        <v>1</v>
      </c>
    </row>
    <row r="92" spans="1:1030" s="12" customFormat="1" x14ac:dyDescent="0.2">
      <c r="A92" s="9" t="str">
        <f t="shared" si="476"/>
        <v>apj_human_5VBL</v>
      </c>
      <c r="B92" s="9" t="s">
        <v>160</v>
      </c>
      <c r="C92" s="9" t="s">
        <v>1424</v>
      </c>
      <c r="D92" s="9" t="str">
        <f>IFERROR(MID(VLOOKUP($B92,Seqs!$A:$B,2,0),E92,1),"")</f>
        <v>A</v>
      </c>
      <c r="E92" s="9">
        <v>29</v>
      </c>
      <c r="F92" s="9" t="str">
        <f>IFERROR(MID(VLOOKUP($B92,Seqs!$A:$B,2,0),G92,1),"")</f>
        <v>S</v>
      </c>
      <c r="G92" s="9">
        <v>56</v>
      </c>
      <c r="H92" s="9" t="str">
        <f>IFERROR(MID(VLOOKUP($B92,Seqs!$A:$B,2,0),I92,1),"")</f>
        <v>S</v>
      </c>
      <c r="I92" s="112">
        <v>57</v>
      </c>
      <c r="J92" s="9" t="str">
        <f>IFERROR(MID(VLOOKUP($B92,Seqs!$A:$B,2,0),K92,1),"")</f>
        <v>R</v>
      </c>
      <c r="K92" s="112">
        <v>61</v>
      </c>
      <c r="L92" s="9" t="str">
        <f>IFERROR(MID(VLOOKUP($B92,Seqs!$A:$B,2,0),M92,1),"")</f>
        <v>R</v>
      </c>
      <c r="M92" s="9">
        <v>62</v>
      </c>
      <c r="N92" s="9" t="str">
        <f>IFERROR(MID(VLOOKUP($B92,Seqs!$A:$B,2,0),O92,1),"")</f>
        <v>D</v>
      </c>
      <c r="O92" s="9">
        <v>92</v>
      </c>
      <c r="P92" s="9" t="str">
        <f>IFERROR(MID(VLOOKUP($B92,Seqs!$A:$B,2,0),Q92,1),"")</f>
        <v>D</v>
      </c>
      <c r="Q92" s="9">
        <v>94</v>
      </c>
      <c r="R92" s="9" t="str">
        <f>IFERROR(MID(VLOOKUP($B92,Seqs!$A:$B,2,0),S92,1),"")</f>
        <v>F</v>
      </c>
      <c r="S92" s="9">
        <v>97</v>
      </c>
      <c r="T92" s="9" t="str">
        <f>IFERROR(MID(VLOOKUP($B92,Seqs!$A:$B,2,0),U92,1),"")</f>
        <v>G</v>
      </c>
      <c r="U92" s="9">
        <v>98</v>
      </c>
      <c r="V92" s="9" t="str">
        <f>IFERROR(MID(VLOOKUP($B92,Seqs!$A:$B,2,0),W92,1),"")</f>
        <v>R</v>
      </c>
      <c r="W92" s="9">
        <v>133</v>
      </c>
      <c r="X92" s="9" t="str">
        <f>IFERROR(MID(VLOOKUP($B92,Seqs!$A:$B,2,0),Y92,1),"")</f>
        <v/>
      </c>
      <c r="Y92" s="9" t="s">
        <v>23</v>
      </c>
      <c r="Z92" s="9" t="str">
        <f>IFERROR(MID(VLOOKUP($B92,Seqs!$A:$B,2,0),AA92,1),"")</f>
        <v/>
      </c>
      <c r="AA92" s="9" t="s">
        <v>23</v>
      </c>
      <c r="AB92" s="9" t="str">
        <f>IFERROR(MID(VLOOKUP($B92,Seqs!$A:$B,2,0),AC92,1),"")</f>
        <v>R</v>
      </c>
      <c r="AC92" s="9">
        <v>141</v>
      </c>
      <c r="AD92" s="9" t="str">
        <f>IFERROR(MID(VLOOKUP($B92,Seqs!$A:$B,2,0),AE92,1),"")</f>
        <v>R</v>
      </c>
      <c r="AE92" s="9">
        <v>168</v>
      </c>
      <c r="AF92" s="9" t="str">
        <f>IFERROR(MID(VLOOKUP($B92,Seqs!$A:$B,2,0),AG92,1),"")</f>
        <v>C</v>
      </c>
      <c r="AG92" s="9">
        <v>181</v>
      </c>
      <c r="AH92" s="9" t="str">
        <f>IFERROR(MID(VLOOKUP($B92,Seqs!$A:$B,2,0),AI92,1),"")</f>
        <v>M</v>
      </c>
      <c r="AI92" s="9">
        <v>183</v>
      </c>
      <c r="AJ92" s="9" t="str">
        <f>IFERROR(MID(VLOOKUP($B92,Seqs!$A:$B,2,0),AK92,1),"")</f>
        <v>S</v>
      </c>
      <c r="AK92" s="9">
        <v>193</v>
      </c>
      <c r="AL92" s="9" t="str">
        <f>IFERROR(MID(VLOOKUP($B92,Seqs!$A:$B,2,0),AM92,1),"")</f>
        <v>A</v>
      </c>
      <c r="AM92" s="9">
        <v>229</v>
      </c>
      <c r="AN92" s="9" t="str">
        <f>IFERROR(MID(VLOOKUP($B92,Seqs!$A:$B,2,0),AO92,1),"")</f>
        <v>R</v>
      </c>
      <c r="AO92" s="9">
        <v>244</v>
      </c>
      <c r="AP92" s="9" t="str">
        <f>IFERROR(MID(VLOOKUP($B92,Seqs!$A:$B,2,0),AQ92,1),"")</f>
        <v>L</v>
      </c>
      <c r="AQ92" s="9">
        <v>276</v>
      </c>
      <c r="AR92" s="9" t="str">
        <f>IFERROR(MID(VLOOKUP($B92,Seqs!$A:$B,2,0),AS92,1),"")</f>
        <v>P</v>
      </c>
      <c r="AS92" s="9">
        <v>280</v>
      </c>
      <c r="AT92" s="9" t="str">
        <f>IFERROR(MID(VLOOKUP($B92,Seqs!$A:$B,2,0),AU92,1),"")</f>
        <v>F</v>
      </c>
      <c r="AU92" s="9">
        <v>312</v>
      </c>
      <c r="AV92" s="9" t="str">
        <f>IFERROR(MID(VLOOKUP($B92,Seqs!$A:$B,2,0),AW92,1),"")</f>
        <v>D</v>
      </c>
      <c r="AW92" s="9">
        <v>313</v>
      </c>
      <c r="AX92" s="9" t="str">
        <f>IFERROR(MID(VLOOKUP($B92,Seqs!$A:$B,2,0),AY92,1),"")</f>
        <v>G</v>
      </c>
      <c r="AY92" s="9">
        <v>327</v>
      </c>
      <c r="AZ92" s="113" t="str">
        <f>VLOOKUP(B92,Classification!A:D,2,0)</f>
        <v>A</v>
      </c>
      <c r="BA92" s="101" t="str">
        <f>VLOOKUP(B92,Classification!A:D,4,0)</f>
        <v>Apelin</v>
      </c>
      <c r="BB92" s="37" t="b">
        <f t="shared" si="477"/>
        <v>1</v>
      </c>
      <c r="BC92" s="112">
        <f t="shared" si="478"/>
        <v>254</v>
      </c>
      <c r="BD92" s="41" t="s">
        <v>1383</v>
      </c>
      <c r="BE92" s="9" t="s">
        <v>1381</v>
      </c>
      <c r="BF92" s="125">
        <v>2.6</v>
      </c>
      <c r="BG92" s="52" t="s">
        <v>1287</v>
      </c>
      <c r="BH92" s="52" t="s">
        <v>1287</v>
      </c>
      <c r="BJ92" s="114" t="s">
        <v>1293</v>
      </c>
      <c r="BK92" s="115" t="s">
        <v>1293</v>
      </c>
      <c r="BL92" s="115" t="s">
        <v>1293</v>
      </c>
      <c r="BM92" s="115" t="s">
        <v>1293</v>
      </c>
      <c r="BN92" s="115" t="s">
        <v>1293</v>
      </c>
      <c r="BO92" s="115" t="s">
        <v>1293</v>
      </c>
      <c r="BP92" s="115" t="s">
        <v>1293</v>
      </c>
      <c r="BQ92" s="115" t="s">
        <v>1293</v>
      </c>
      <c r="BR92" s="115" t="s">
        <v>1293</v>
      </c>
      <c r="BS92" s="115" t="s">
        <v>1293</v>
      </c>
      <c r="BT92" s="115" t="s">
        <v>1293</v>
      </c>
      <c r="BU92" s="115" t="s">
        <v>1293</v>
      </c>
      <c r="BV92" s="114">
        <f t="shared" si="479"/>
        <v>29</v>
      </c>
      <c r="BW92" s="116">
        <f t="shared" si="480"/>
        <v>57</v>
      </c>
      <c r="BX92" s="117">
        <f t="shared" si="481"/>
        <v>62</v>
      </c>
      <c r="BY92" s="116">
        <f t="shared" si="482"/>
        <v>94</v>
      </c>
      <c r="BZ92" s="117">
        <f t="shared" si="483"/>
        <v>98</v>
      </c>
      <c r="CA92" s="116" t="str">
        <f t="shared" si="484"/>
        <v>-</v>
      </c>
      <c r="CB92" s="117">
        <f t="shared" si="485"/>
        <v>141</v>
      </c>
      <c r="CC92" s="116">
        <f t="shared" si="486"/>
        <v>181</v>
      </c>
      <c r="CD92" s="117">
        <f t="shared" si="487"/>
        <v>193</v>
      </c>
      <c r="CE92" s="116">
        <f t="shared" si="488"/>
        <v>244</v>
      </c>
      <c r="CF92" s="117">
        <f t="shared" si="489"/>
        <v>280</v>
      </c>
      <c r="CG92" s="116">
        <f t="shared" si="490"/>
        <v>313</v>
      </c>
      <c r="CH92" s="114">
        <f t="shared" si="491"/>
        <v>56</v>
      </c>
      <c r="CI92" s="116">
        <f t="shared" si="492"/>
        <v>61</v>
      </c>
      <c r="CJ92" s="117">
        <f t="shared" si="493"/>
        <v>92</v>
      </c>
      <c r="CK92" s="117">
        <f t="shared" si="494"/>
        <v>97</v>
      </c>
      <c r="CL92" s="117">
        <f t="shared" si="495"/>
        <v>133</v>
      </c>
      <c r="CM92" s="117" t="str">
        <f t="shared" si="496"/>
        <v>-</v>
      </c>
      <c r="CN92" s="117">
        <f t="shared" si="497"/>
        <v>168</v>
      </c>
      <c r="CO92" s="117">
        <f t="shared" si="498"/>
        <v>183</v>
      </c>
      <c r="CP92" s="117">
        <f t="shared" si="499"/>
        <v>229</v>
      </c>
      <c r="CQ92" s="117">
        <f t="shared" si="500"/>
        <v>276</v>
      </c>
      <c r="CR92" s="117">
        <f t="shared" si="501"/>
        <v>312</v>
      </c>
      <c r="CS92" s="117">
        <f t="shared" si="502"/>
        <v>327</v>
      </c>
      <c r="CT92" s="112">
        <f t="shared" si="503"/>
        <v>1</v>
      </c>
    </row>
    <row r="93" spans="1:1030" x14ac:dyDescent="0.2">
      <c r="A93" s="3" t="str">
        <f t="shared" si="362"/>
        <v>ccr2_human__wt</v>
      </c>
      <c r="B93" s="3" t="s">
        <v>170</v>
      </c>
      <c r="C93" s="3" t="s">
        <v>100</v>
      </c>
      <c r="D93" s="3" t="str">
        <f>IFERROR(MID(VLOOKUP($B93,Seqs!$A:$B,2,0),E93,1),"")</f>
        <v>V</v>
      </c>
      <c r="E93" s="3">
        <v>37</v>
      </c>
      <c r="F93" s="3" t="str">
        <f>IFERROR(MID(VLOOKUP($B93,Seqs!$A:$B,2,0),G93,1),"")</f>
        <v>C</v>
      </c>
      <c r="G93" s="3">
        <v>70</v>
      </c>
      <c r="H93" s="3" t="str">
        <f>IFERROR(MID(VLOOKUP($B93,Seqs!$A:$B,2,0),I93,1),"")</f>
        <v>K</v>
      </c>
      <c r="I93" s="23">
        <v>71</v>
      </c>
      <c r="J93" s="3" t="str">
        <f>IFERROR(MID(VLOOKUP($B93,Seqs!$A:$B,2,0),K93,1),"")</f>
        <v>K</v>
      </c>
      <c r="K93" s="23">
        <v>74</v>
      </c>
      <c r="L93" s="3" t="str">
        <f>IFERROR(MID(VLOOKUP($B93,Seqs!$A:$B,2,0),M93,1),"")</f>
        <v>C</v>
      </c>
      <c r="M93" s="3">
        <v>75</v>
      </c>
      <c r="N93" s="3" t="str">
        <f>IFERROR(MID(VLOOKUP($B93,Seqs!$A:$B,2,0),O93,1),"")</f>
        <v>N</v>
      </c>
      <c r="O93" s="3">
        <v>104</v>
      </c>
      <c r="P93" s="3" t="str">
        <f>IFERROR(MID(VLOOKUP($B93,Seqs!$A:$B,2,0),Q93,1),"")</f>
        <v>E</v>
      </c>
      <c r="Q93" s="3">
        <v>105</v>
      </c>
      <c r="R93" s="3" t="str">
        <f>IFERROR(MID(VLOOKUP($B93,Seqs!$A:$B,2,0),S93,1),"")</f>
        <v>F</v>
      </c>
      <c r="S93" s="3">
        <v>108</v>
      </c>
      <c r="T93" s="3" t="str">
        <f>IFERROR(MID(VLOOKUP($B93,Seqs!$A:$B,2,0),U93,1),"")</f>
        <v>G</v>
      </c>
      <c r="U93" s="3">
        <v>109</v>
      </c>
      <c r="V93" s="3" t="str">
        <f>IFERROR(MID(VLOOKUP($B93,Seqs!$A:$B,2,0),W93,1),"")</f>
        <v>H</v>
      </c>
      <c r="W93" s="3">
        <v>144</v>
      </c>
      <c r="X93" s="3" t="str">
        <f>IFERROR(MID(VLOOKUP($B93,Seqs!$A:$B,2,0),Y93,1),"")</f>
        <v>A</v>
      </c>
      <c r="Y93" s="3">
        <v>145</v>
      </c>
      <c r="Z93" s="3" t="str">
        <f>IFERROR(MID(VLOOKUP($B93,Seqs!$A:$B,2,0),AA93,1),"")</f>
        <v>R</v>
      </c>
      <c r="AA93" s="3">
        <v>152</v>
      </c>
      <c r="AB93" s="3" t="str">
        <f>IFERROR(MID(VLOOKUP($B93,Seqs!$A:$B,2,0),AC93,1),"")</f>
        <v>T</v>
      </c>
      <c r="AC93" s="9">
        <v>153</v>
      </c>
      <c r="AD93" s="3" t="str">
        <f>IFERROR(MID(VLOOKUP($B93,Seqs!$A:$B,2,0),AE93,1),"")</f>
        <v>T</v>
      </c>
      <c r="AE93" s="3">
        <v>179</v>
      </c>
      <c r="AF93" s="3" t="str">
        <f>IFERROR(MID(VLOOKUP($B93,Seqs!$A:$B,2,0),AG93,1),"")</f>
        <v>C</v>
      </c>
      <c r="AG93" s="3">
        <v>190</v>
      </c>
      <c r="AH93" s="3" t="str">
        <f>IFERROR(MID(VLOOKUP($B93,Seqs!$A:$B,2,0),AI93,1),"")</f>
        <v>P</v>
      </c>
      <c r="AI93" s="3">
        <v>192</v>
      </c>
      <c r="AJ93" s="3" t="str">
        <f>IFERROR(MID(VLOOKUP($B93,Seqs!$A:$B,2,0),AK93,1),"")</f>
        <v>P</v>
      </c>
      <c r="AK93" s="3">
        <v>195</v>
      </c>
      <c r="AL93" s="3" t="str">
        <f>IFERROR(MID(VLOOKUP($B93,Seqs!$A:$B,2,0),AM93,1),"")</f>
        <v>C</v>
      </c>
      <c r="AM93" s="3">
        <v>232</v>
      </c>
      <c r="AN93" s="3" t="str">
        <f>IFERROR(MID(VLOOKUP($B93,Seqs!$A:$B,2,0),AO93,1),"")</f>
        <v>K</v>
      </c>
      <c r="AO93" s="3">
        <v>236</v>
      </c>
      <c r="AP93" s="3" t="str">
        <f>IFERROR(MID(VLOOKUP($B93,Seqs!$A:$B,2,0),AQ93,1),"")</f>
        <v>G</v>
      </c>
      <c r="AQ93" s="3">
        <v>273</v>
      </c>
      <c r="AR93" s="3" t="str">
        <f>IFERROR(MID(VLOOKUP($B93,Seqs!$A:$B,2,0),AS93,1),"")</f>
        <v>E</v>
      </c>
      <c r="AS93" s="3">
        <v>278</v>
      </c>
      <c r="AT93" s="3" t="str">
        <f>IFERROR(MID(VLOOKUP($B93,Seqs!$A:$B,2,0),AU93,1),"")</f>
        <v>V</v>
      </c>
      <c r="AU93" s="3">
        <v>308</v>
      </c>
      <c r="AV93" s="3" t="str">
        <f>IFERROR(MID(VLOOKUP($B93,Seqs!$A:$B,2,0),AW93,1),"")</f>
        <v>G</v>
      </c>
      <c r="AW93" s="3">
        <v>309</v>
      </c>
      <c r="AX93" s="3" t="str">
        <f>IFERROR(MID(VLOOKUP($B93,Seqs!$A:$B,2,0),AY93,1),"")</f>
        <v>L</v>
      </c>
      <c r="AY93" s="3">
        <v>320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363"/>
        <v>1</v>
      </c>
      <c r="BC93" s="23">
        <f t="shared" si="336"/>
        <v>265</v>
      </c>
      <c r="BD93" s="2" t="s">
        <v>23</v>
      </c>
      <c r="BE93" s="3" t="s">
        <v>23</v>
      </c>
      <c r="BF93" s="124" t="s">
        <v>23</v>
      </c>
      <c r="BG93" s="50" t="s">
        <v>1379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337"/>
        <v>37</v>
      </c>
      <c r="BW93" s="73">
        <f t="shared" si="338"/>
        <v>71</v>
      </c>
      <c r="BX93" s="74">
        <f t="shared" si="339"/>
        <v>75</v>
      </c>
      <c r="BY93" s="73">
        <f t="shared" si="340"/>
        <v>105</v>
      </c>
      <c r="BZ93" s="74">
        <f t="shared" si="341"/>
        <v>109</v>
      </c>
      <c r="CA93" s="73">
        <f t="shared" si="342"/>
        <v>145</v>
      </c>
      <c r="CB93" s="74">
        <f t="shared" si="343"/>
        <v>153</v>
      </c>
      <c r="CC93" s="73">
        <f t="shared" si="344"/>
        <v>190</v>
      </c>
      <c r="CD93" s="74">
        <f t="shared" si="345"/>
        <v>195</v>
      </c>
      <c r="CE93" s="73">
        <f t="shared" si="346"/>
        <v>236</v>
      </c>
      <c r="CF93" s="74">
        <f t="shared" si="347"/>
        <v>278</v>
      </c>
      <c r="CG93" s="73">
        <f t="shared" si="348"/>
        <v>309</v>
      </c>
      <c r="CH93" s="72">
        <f t="shared" si="349"/>
        <v>70</v>
      </c>
      <c r="CI93" s="73">
        <f t="shared" si="350"/>
        <v>74</v>
      </c>
      <c r="CJ93" s="74">
        <f t="shared" si="351"/>
        <v>104</v>
      </c>
      <c r="CK93" s="74">
        <f t="shared" si="352"/>
        <v>108</v>
      </c>
      <c r="CL93" s="74">
        <f t="shared" si="353"/>
        <v>144</v>
      </c>
      <c r="CM93" s="74">
        <f t="shared" si="354"/>
        <v>152</v>
      </c>
      <c r="CN93" s="74">
        <f t="shared" si="355"/>
        <v>179</v>
      </c>
      <c r="CO93" s="74">
        <f t="shared" si="356"/>
        <v>192</v>
      </c>
      <c r="CP93" s="74">
        <f t="shared" si="357"/>
        <v>232</v>
      </c>
      <c r="CQ93" s="74">
        <f t="shared" si="358"/>
        <v>273</v>
      </c>
      <c r="CR93" s="74">
        <f t="shared" si="359"/>
        <v>308</v>
      </c>
      <c r="CS93" s="74">
        <f t="shared" si="360"/>
        <v>320</v>
      </c>
      <c r="CT93" s="23">
        <f t="shared" si="361"/>
        <v>1</v>
      </c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</row>
    <row r="94" spans="1:1030" x14ac:dyDescent="0.2">
      <c r="A94" s="3" t="str">
        <f t="shared" si="362"/>
        <v>ccr2_human_5T1A</v>
      </c>
      <c r="B94" s="3" t="s">
        <v>170</v>
      </c>
      <c r="C94" s="3" t="s">
        <v>1385</v>
      </c>
      <c r="D94" s="3" t="str">
        <f>IFERROR(MID(VLOOKUP($B94,Seqs!$A:$B,2,0),E94,1),"")</f>
        <v>V</v>
      </c>
      <c r="E94" s="3">
        <v>37</v>
      </c>
      <c r="F94" s="3" t="str">
        <f>IFERROR(MID(VLOOKUP($B94,Seqs!$A:$B,2,0),G94,1),"")</f>
        <v>C</v>
      </c>
      <c r="G94" s="3">
        <v>70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C</v>
      </c>
      <c r="M94" s="3">
        <v>75</v>
      </c>
      <c r="N94" s="3" t="str">
        <f>IFERROR(MID(VLOOKUP($B94,Seqs!$A:$B,2,0),O94,1),"")</f>
        <v>N</v>
      </c>
      <c r="O94" s="3">
        <v>104</v>
      </c>
      <c r="P94" s="3" t="str">
        <f>IFERROR(MID(VLOOKUP($B94,Seqs!$A:$B,2,0),Q94,1),"")</f>
        <v>E</v>
      </c>
      <c r="Q94" s="3">
        <v>105</v>
      </c>
      <c r="R94" s="3" t="str">
        <f>IFERROR(MID(VLOOKUP($B94,Seqs!$A:$B,2,0),S94,1),"")</f>
        <v>F</v>
      </c>
      <c r="S94" s="3">
        <v>108</v>
      </c>
      <c r="T94" s="3" t="str">
        <f>IFERROR(MID(VLOOKUP($B94,Seqs!$A:$B,2,0),U94,1),"")</f>
        <v>G</v>
      </c>
      <c r="U94" s="3">
        <v>109</v>
      </c>
      <c r="V94" s="3" t="str">
        <f>IFERROR(MID(VLOOKUP($B94,Seqs!$A:$B,2,0),W94,1),"")</f>
        <v>H</v>
      </c>
      <c r="W94" s="3">
        <v>144</v>
      </c>
      <c r="X94" s="3" t="str">
        <f>IFERROR(MID(VLOOKUP($B94,Seqs!$A:$B,2,0),Y94,1),"")</f>
        <v>A</v>
      </c>
      <c r="Y94" s="3">
        <v>145</v>
      </c>
      <c r="Z94" s="3" t="str">
        <f>IFERROR(MID(VLOOKUP($B94,Seqs!$A:$B,2,0),AA94,1),"")</f>
        <v>R</v>
      </c>
      <c r="AA94" s="3">
        <v>152</v>
      </c>
      <c r="AB94" s="3" t="str">
        <f>IFERROR(MID(VLOOKUP($B94,Seqs!$A:$B,2,0),AC94,1),"")</f>
        <v>T</v>
      </c>
      <c r="AC94" s="9">
        <v>153</v>
      </c>
      <c r="AD94" s="3" t="str">
        <f>IFERROR(MID(VLOOKUP($B94,Seqs!$A:$B,2,0),AE94,1),"")</f>
        <v>T</v>
      </c>
      <c r="AE94" s="3">
        <v>179</v>
      </c>
      <c r="AF94" s="3" t="str">
        <f>IFERROR(MID(VLOOKUP($B94,Seqs!$A:$B,2,0),AG94,1),"")</f>
        <v>C</v>
      </c>
      <c r="AG94" s="3">
        <v>190</v>
      </c>
      <c r="AH94" s="3" t="str">
        <f>IFERROR(MID(VLOOKUP($B94,Seqs!$A:$B,2,0),AI94,1),"")</f>
        <v>P</v>
      </c>
      <c r="AI94" s="3">
        <v>192</v>
      </c>
      <c r="AJ94" s="3" t="str">
        <f>IFERROR(MID(VLOOKUP($B94,Seqs!$A:$B,2,0),AK94,1),"")</f>
        <v>P</v>
      </c>
      <c r="AK94" s="3">
        <v>195</v>
      </c>
      <c r="AL94" s="3" t="str">
        <f>IFERROR(MID(VLOOKUP($B94,Seqs!$A:$B,2,0),AM94,1),"")</f>
        <v>T</v>
      </c>
      <c r="AM94" s="3">
        <v>228</v>
      </c>
      <c r="AN94" s="3" t="str">
        <f>IFERROR(MID(VLOOKUP($B94,Seqs!$A:$B,2,0),AO94,1),"")</f>
        <v>K</v>
      </c>
      <c r="AO94" s="3">
        <v>236</v>
      </c>
      <c r="AP94" s="3" t="str">
        <f>IFERROR(MID(VLOOKUP($B94,Seqs!$A:$B,2,0),AQ94,1),"")</f>
        <v>G</v>
      </c>
      <c r="AQ94" s="3">
        <v>273</v>
      </c>
      <c r="AR94" s="3" t="str">
        <f>IFERROR(MID(VLOOKUP($B94,Seqs!$A:$B,2,0),AS94,1),"")</f>
        <v>E</v>
      </c>
      <c r="AS94" s="3">
        <v>278</v>
      </c>
      <c r="AT94" s="3" t="str">
        <f>IFERROR(MID(VLOOKUP($B94,Seqs!$A:$B,2,0),AU94,1),"")</f>
        <v>V</v>
      </c>
      <c r="AU94" s="3">
        <v>308</v>
      </c>
      <c r="AV94" s="3" t="str">
        <f>IFERROR(MID(VLOOKUP($B94,Seqs!$A:$B,2,0),AW94,1),"")</f>
        <v>G</v>
      </c>
      <c r="AW94" s="3">
        <v>309</v>
      </c>
      <c r="AX94" s="3" t="str">
        <f>IFERROR(MID(VLOOKUP($B94,Seqs!$A:$B,2,0),AY94,1),"")</f>
        <v>L</v>
      </c>
      <c r="AY94" s="3">
        <v>320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si="363"/>
        <v>1</v>
      </c>
      <c r="BC94" s="23">
        <f t="shared" si="336"/>
        <v>258</v>
      </c>
      <c r="BD94" s="16" t="s">
        <v>1440</v>
      </c>
      <c r="BE94" s="3" t="s">
        <v>1439</v>
      </c>
      <c r="BF94" s="124">
        <v>2.81</v>
      </c>
      <c r="BG94" s="50" t="s">
        <v>1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si="337"/>
        <v>37</v>
      </c>
      <c r="BW94" s="73" t="str">
        <f t="shared" si="338"/>
        <v>-</v>
      </c>
      <c r="BX94" s="74">
        <f t="shared" si="339"/>
        <v>75</v>
      </c>
      <c r="BY94" s="73">
        <f t="shared" si="340"/>
        <v>105</v>
      </c>
      <c r="BZ94" s="74">
        <f t="shared" si="341"/>
        <v>109</v>
      </c>
      <c r="CA94" s="73">
        <f t="shared" si="342"/>
        <v>145</v>
      </c>
      <c r="CB94" s="74">
        <f t="shared" si="343"/>
        <v>153</v>
      </c>
      <c r="CC94" s="73">
        <f t="shared" si="344"/>
        <v>190</v>
      </c>
      <c r="CD94" s="74">
        <f t="shared" si="345"/>
        <v>195</v>
      </c>
      <c r="CE94" s="73">
        <f t="shared" si="346"/>
        <v>236</v>
      </c>
      <c r="CF94" s="74">
        <f t="shared" si="347"/>
        <v>278</v>
      </c>
      <c r="CG94" s="73">
        <f t="shared" si="348"/>
        <v>309</v>
      </c>
      <c r="CH94" s="72">
        <f t="shared" si="349"/>
        <v>70</v>
      </c>
      <c r="CI94" s="73" t="str">
        <f t="shared" si="350"/>
        <v>-</v>
      </c>
      <c r="CJ94" s="74">
        <f t="shared" si="351"/>
        <v>104</v>
      </c>
      <c r="CK94" s="74">
        <f t="shared" si="352"/>
        <v>108</v>
      </c>
      <c r="CL94" s="74">
        <f t="shared" si="353"/>
        <v>144</v>
      </c>
      <c r="CM94" s="74">
        <f t="shared" si="354"/>
        <v>152</v>
      </c>
      <c r="CN94" s="74">
        <f t="shared" si="355"/>
        <v>179</v>
      </c>
      <c r="CO94" s="74">
        <f t="shared" si="356"/>
        <v>192</v>
      </c>
      <c r="CP94" s="74">
        <f t="shared" si="357"/>
        <v>228</v>
      </c>
      <c r="CQ94" s="74">
        <f t="shared" si="358"/>
        <v>273</v>
      </c>
      <c r="CR94" s="74">
        <f t="shared" si="359"/>
        <v>308</v>
      </c>
      <c r="CS94" s="74">
        <f t="shared" si="360"/>
        <v>320</v>
      </c>
      <c r="CT94" s="23" t="e">
        <f t="shared" si="361"/>
        <v>#VALUE!</v>
      </c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</row>
    <row r="95" spans="1:1030" x14ac:dyDescent="0.2">
      <c r="A95" s="3" t="str">
        <f t="shared" si="362"/>
        <v>ccr5_human__wt</v>
      </c>
      <c r="B95" s="3" t="s">
        <v>173</v>
      </c>
      <c r="C95" s="3" t="s">
        <v>100</v>
      </c>
      <c r="D95" s="3" t="str">
        <f>IFERROR(MID(VLOOKUP($B95,Seqs!$A:$B,2,0),E95,1),"")</f>
        <v>K</v>
      </c>
      <c r="E95" s="3">
        <v>22</v>
      </c>
      <c r="F95" s="3" t="str">
        <f>IFERROR(MID(VLOOKUP($B95,Seqs!$A:$B,2,0),G95,1),"")</f>
        <v>C</v>
      </c>
      <c r="G95" s="3">
        <v>58</v>
      </c>
      <c r="H95" s="3" t="str">
        <f>IFERROR(MID(VLOOKUP($B95,Seqs!$A:$B,2,0),I95,1),"")</f>
        <v>K</v>
      </c>
      <c r="I95" s="23">
        <v>59</v>
      </c>
      <c r="J95" s="3" t="str">
        <f>IFERROR(MID(VLOOKUP($B95,Seqs!$A:$B,2,0),K95,1),"")</f>
        <v>K</v>
      </c>
      <c r="K95" s="23">
        <v>62</v>
      </c>
      <c r="L95" s="3" t="str">
        <f>IFERROR(MID(VLOOKUP($B95,Seqs!$A:$B,2,0),M95,1),"")</f>
        <v>S</v>
      </c>
      <c r="M95" s="3">
        <v>63</v>
      </c>
      <c r="N95" s="3" t="str">
        <f>IFERROR(MID(VLOOKUP($B95,Seqs!$A:$B,2,0),O95,1),"")</f>
        <v>A</v>
      </c>
      <c r="O95" s="3">
        <v>92</v>
      </c>
      <c r="P95" s="3" t="str">
        <f>IFERROR(MID(VLOOKUP($B95,Seqs!$A:$B,2,0),Q95,1),"")</f>
        <v>Q</v>
      </c>
      <c r="Q95" s="3">
        <v>93</v>
      </c>
      <c r="R95" s="3" t="str">
        <f>IFERROR(MID(VLOOKUP($B95,Seqs!$A:$B,2,0),S95,1),"")</f>
        <v>F</v>
      </c>
      <c r="S95" s="3">
        <v>96</v>
      </c>
      <c r="T95" s="3" t="str">
        <f>IFERROR(MID(VLOOKUP($B95,Seqs!$A:$B,2,0),U95,1),"")</f>
        <v>G</v>
      </c>
      <c r="U95" s="3">
        <v>97</v>
      </c>
      <c r="V95" s="3" t="str">
        <f>IFERROR(MID(VLOOKUP($B95,Seqs!$A:$B,2,0),W95,1),"")</f>
        <v>H</v>
      </c>
      <c r="W95" s="3">
        <v>132</v>
      </c>
      <c r="X95" s="3" t="str">
        <f>IFERROR(MID(VLOOKUP($B95,Seqs!$A:$B,2,0),Y95,1),"")</f>
        <v>A</v>
      </c>
      <c r="Y95" s="3">
        <v>133</v>
      </c>
      <c r="Z95" s="3" t="str">
        <f>IFERROR(MID(VLOOKUP($B95,Seqs!$A:$B,2,0),AA95,1),"")</f>
        <v>R</v>
      </c>
      <c r="AA95" s="3">
        <v>140</v>
      </c>
      <c r="AB95" s="3" t="str">
        <f>IFERROR(MID(VLOOKUP($B95,Seqs!$A:$B,2,0),AC95,1),"")</f>
        <v>T</v>
      </c>
      <c r="AC95" s="9">
        <v>141</v>
      </c>
      <c r="AD95" s="3" t="str">
        <f>IFERROR(MID(VLOOKUP($B95,Seqs!$A:$B,2,0),AE95,1),"")</f>
        <v>T</v>
      </c>
      <c r="AE95" s="3">
        <v>167</v>
      </c>
      <c r="AF95" s="3" t="str">
        <f>IFERROR(MID(VLOOKUP($B95,Seqs!$A:$B,2,0),AG95,1),"")</f>
        <v>C</v>
      </c>
      <c r="AG95" s="3">
        <v>178</v>
      </c>
      <c r="AH95" s="3" t="str">
        <f>IFERROR(MID(VLOOKUP($B95,Seqs!$A:$B,2,0),AI95,1),"")</f>
        <v>S</v>
      </c>
      <c r="AI95" s="3">
        <v>180</v>
      </c>
      <c r="AJ95" s="3" t="str">
        <f>IFERROR(MID(VLOOKUP($B95,Seqs!$A:$B,2,0),AK95,1),"")</f>
        <v>Q</v>
      </c>
      <c r="AK95" s="3">
        <v>186</v>
      </c>
      <c r="AL95" s="3" t="str">
        <f>IFERROR(MID(VLOOKUP($B95,Seqs!$A:$B,2,0),AM95,1),"")</f>
        <v>C</v>
      </c>
      <c r="AM95" s="3">
        <v>224</v>
      </c>
      <c r="AN95" s="3" t="str">
        <f>IFERROR(MID(VLOOKUP($B95,Seqs!$A:$B,2,0),AO95,1),"")</f>
        <v>K</v>
      </c>
      <c r="AO95" s="3">
        <v>228</v>
      </c>
      <c r="AP95" s="3" t="str">
        <f>IFERROR(MID(VLOOKUP($B95,Seqs!$A:$B,2,0),AQ95,1),"")</f>
        <v>G</v>
      </c>
      <c r="AQ95" s="3">
        <v>265</v>
      </c>
      <c r="AR95" s="3" t="str">
        <f>IFERROR(MID(VLOOKUP($B95,Seqs!$A:$B,2,0),AS95,1),"")</f>
        <v>N</v>
      </c>
      <c r="AS95" s="3">
        <v>268</v>
      </c>
      <c r="AT95" s="3" t="str">
        <f>IFERROR(MID(VLOOKUP($B95,Seqs!$A:$B,2,0),AU95,1),"")</f>
        <v>V</v>
      </c>
      <c r="AU95" s="3">
        <v>300</v>
      </c>
      <c r="AV95" s="3" t="str">
        <f>IFERROR(MID(VLOOKUP($B95,Seqs!$A:$B,2,0),AW95,1),"")</f>
        <v>G</v>
      </c>
      <c r="AW95" s="3">
        <v>301</v>
      </c>
      <c r="AX95" s="3" t="str">
        <f>IFERROR(MID(VLOOKUP($B95,Seqs!$A:$B,2,0),AY95,1),"")</f>
        <v>Q</v>
      </c>
      <c r="AY95" s="3">
        <v>313</v>
      </c>
      <c r="AZ95" s="79" t="str">
        <f>VLOOKUP(B95,Classification!A:D,2,0)</f>
        <v>A</v>
      </c>
      <c r="BA95" s="97" t="str">
        <f>VLOOKUP(B95,Classification!A:D,4,0)</f>
        <v>Chemokine</v>
      </c>
      <c r="BB95" s="27" t="b">
        <f t="shared" si="363"/>
        <v>1</v>
      </c>
      <c r="BC95" s="23">
        <f t="shared" si="336"/>
        <v>272</v>
      </c>
      <c r="BD95" s="35" t="s">
        <v>1379</v>
      </c>
      <c r="BE95" s="3" t="s">
        <v>23</v>
      </c>
      <c r="BF95" s="124" t="s">
        <v>23</v>
      </c>
      <c r="BG95" s="50" t="s">
        <v>1379</v>
      </c>
      <c r="BH95" s="50" t="s">
        <v>1384</v>
      </c>
      <c r="BI95" s="1"/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337"/>
        <v>22</v>
      </c>
      <c r="BW95" s="73">
        <f t="shared" si="338"/>
        <v>59</v>
      </c>
      <c r="BX95" s="74">
        <f t="shared" si="339"/>
        <v>63</v>
      </c>
      <c r="BY95" s="73">
        <f t="shared" si="340"/>
        <v>93</v>
      </c>
      <c r="BZ95" s="74">
        <f t="shared" si="341"/>
        <v>97</v>
      </c>
      <c r="CA95" s="73">
        <f t="shared" si="342"/>
        <v>133</v>
      </c>
      <c r="CB95" s="74">
        <f t="shared" si="343"/>
        <v>141</v>
      </c>
      <c r="CC95" s="73">
        <f t="shared" si="344"/>
        <v>178</v>
      </c>
      <c r="CD95" s="74">
        <f t="shared" si="345"/>
        <v>186</v>
      </c>
      <c r="CE95" s="73">
        <f t="shared" si="346"/>
        <v>228</v>
      </c>
      <c r="CF95" s="74">
        <f t="shared" si="347"/>
        <v>268</v>
      </c>
      <c r="CG95" s="73">
        <f t="shared" si="348"/>
        <v>301</v>
      </c>
      <c r="CH95" s="72">
        <f t="shared" si="349"/>
        <v>58</v>
      </c>
      <c r="CI95" s="73">
        <f t="shared" si="350"/>
        <v>62</v>
      </c>
      <c r="CJ95" s="74">
        <f t="shared" si="351"/>
        <v>92</v>
      </c>
      <c r="CK95" s="74">
        <f t="shared" si="352"/>
        <v>96</v>
      </c>
      <c r="CL95" s="74">
        <f t="shared" si="353"/>
        <v>132</v>
      </c>
      <c r="CM95" s="74">
        <f t="shared" si="354"/>
        <v>140</v>
      </c>
      <c r="CN95" s="74">
        <f t="shared" si="355"/>
        <v>167</v>
      </c>
      <c r="CO95" s="74">
        <f t="shared" si="356"/>
        <v>180</v>
      </c>
      <c r="CP95" s="74">
        <f t="shared" si="357"/>
        <v>224</v>
      </c>
      <c r="CQ95" s="74">
        <f t="shared" si="358"/>
        <v>265</v>
      </c>
      <c r="CR95" s="74">
        <f t="shared" si="359"/>
        <v>300</v>
      </c>
      <c r="CS95" s="74">
        <f t="shared" si="360"/>
        <v>313</v>
      </c>
      <c r="CT95" s="23">
        <f t="shared" si="361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30" x14ac:dyDescent="0.2">
      <c r="A96" s="3" t="str">
        <f t="shared" si="362"/>
        <v>ccr5_human_4MBS</v>
      </c>
      <c r="B96" s="3" t="s">
        <v>173</v>
      </c>
      <c r="C96" s="3" t="s">
        <v>74</v>
      </c>
      <c r="D96" s="3" t="str">
        <f>IFERROR(MID(VLOOKUP($B96,Seqs!$A:$B,2,0),E96,1),"")</f>
        <v>V</v>
      </c>
      <c r="E96" s="3">
        <v>25</v>
      </c>
      <c r="F96" s="3" t="str">
        <f>IFERROR(MID(VLOOKUP($B96,Seqs!$A:$B,2,0),G96,1),"")</f>
        <v>C</v>
      </c>
      <c r="G96" s="3">
        <v>58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S</v>
      </c>
      <c r="M96" s="3">
        <v>63</v>
      </c>
      <c r="N96" s="3" t="str">
        <f>IFERROR(MID(VLOOKUP($B96,Seqs!$A:$B,2,0),O96,1),"")</f>
        <v>A</v>
      </c>
      <c r="O96" s="3">
        <v>92</v>
      </c>
      <c r="P96" s="3" t="str">
        <f>IFERROR(MID(VLOOKUP($B96,Seqs!$A:$B,2,0),Q96,1),"")</f>
        <v>Q</v>
      </c>
      <c r="Q96" s="3">
        <v>93</v>
      </c>
      <c r="R96" s="3" t="str">
        <f>IFERROR(MID(VLOOKUP($B96,Seqs!$A:$B,2,0),S96,1),"")</f>
        <v>F</v>
      </c>
      <c r="S96" s="3">
        <v>96</v>
      </c>
      <c r="T96" s="3" t="str">
        <f>IFERROR(MID(VLOOKUP($B96,Seqs!$A:$B,2,0),U96,1),"")</f>
        <v>G</v>
      </c>
      <c r="U96" s="3">
        <v>97</v>
      </c>
      <c r="V96" s="3" t="str">
        <f>IFERROR(MID(VLOOKUP($B96,Seqs!$A:$B,2,0),W96,1),"")</f>
        <v>H</v>
      </c>
      <c r="W96" s="3">
        <v>132</v>
      </c>
      <c r="X96" s="3" t="str">
        <f>IFERROR(MID(VLOOKUP($B96,Seqs!$A:$B,2,0),Y96,1),"")</f>
        <v>A</v>
      </c>
      <c r="Y96" s="3">
        <v>133</v>
      </c>
      <c r="Z96" s="3" t="str">
        <f>IFERROR(MID(VLOOKUP($B96,Seqs!$A:$B,2,0),AA96,1),"")</f>
        <v>R</v>
      </c>
      <c r="AA96" s="3">
        <v>140</v>
      </c>
      <c r="AB96" s="3" t="str">
        <f>IFERROR(MID(VLOOKUP($B96,Seqs!$A:$B,2,0),AC96,1),"")</f>
        <v>T</v>
      </c>
      <c r="AC96" s="9">
        <v>141</v>
      </c>
      <c r="AD96" s="3" t="str">
        <f>IFERROR(MID(VLOOKUP($B96,Seqs!$A:$B,2,0),AE96,1),"")</f>
        <v>T</v>
      </c>
      <c r="AE96" s="3">
        <v>167</v>
      </c>
      <c r="AF96" s="3" t="str">
        <f>IFERROR(MID(VLOOKUP($B96,Seqs!$A:$B,2,0),AG96,1),"")</f>
        <v>C</v>
      </c>
      <c r="AG96" s="3">
        <v>178</v>
      </c>
      <c r="AH96" s="3" t="str">
        <f>IFERROR(MID(VLOOKUP($B96,Seqs!$A:$B,2,0),AI96,1),"")</f>
        <v>S</v>
      </c>
      <c r="AI96" s="3">
        <v>180</v>
      </c>
      <c r="AJ96" s="3" t="str">
        <f>IFERROR(MID(VLOOKUP($B96,Seqs!$A:$B,2,0),AK96,1),"")</f>
        <v>Q</v>
      </c>
      <c r="AK96" s="3">
        <v>186</v>
      </c>
      <c r="AL96" s="3" t="str">
        <f>IFERROR(MID(VLOOKUP($B96,Seqs!$A:$B,2,0),AM96,1),"")</f>
        <v>R</v>
      </c>
      <c r="AM96" s="3">
        <v>223</v>
      </c>
      <c r="AN96" s="3" t="str">
        <f>IFERROR(MID(VLOOKUP($B96,Seqs!$A:$B,2,0),AO96,1),"")</f>
        <v>K</v>
      </c>
      <c r="AO96" s="3">
        <v>228</v>
      </c>
      <c r="AP96" s="3" t="str">
        <f>IFERROR(MID(VLOOKUP($B96,Seqs!$A:$B,2,0),AQ96,1),"")</f>
        <v>G</v>
      </c>
      <c r="AQ96" s="3">
        <v>265</v>
      </c>
      <c r="AR96" s="3" t="str">
        <f>IFERROR(MID(VLOOKUP($B96,Seqs!$A:$B,2,0),AS96,1),"")</f>
        <v>N</v>
      </c>
      <c r="AS96" s="3">
        <v>268</v>
      </c>
      <c r="AT96" s="3" t="str">
        <f>IFERROR(MID(VLOOKUP($B96,Seqs!$A:$B,2,0),AU96,1),"")</f>
        <v>V</v>
      </c>
      <c r="AU96" s="3">
        <v>300</v>
      </c>
      <c r="AV96" s="3" t="str">
        <f>IFERROR(MID(VLOOKUP($B96,Seqs!$A:$B,2,0),AW96,1),"")</f>
        <v>G</v>
      </c>
      <c r="AW96" s="3">
        <v>301</v>
      </c>
      <c r="AX96" s="3" t="str">
        <f>IFERROR(MID(VLOOKUP($B96,Seqs!$A:$B,2,0),AY96,1),"")</f>
        <v>Q</v>
      </c>
      <c r="AY96" s="3">
        <v>313</v>
      </c>
      <c r="AZ96" s="79" t="str">
        <f>VLOOKUP(B96,Classification!A:D,2,0)</f>
        <v>A</v>
      </c>
      <c r="BA96" s="97" t="str">
        <f>VLOOKUP(B96,Classification!A:D,4,0)</f>
        <v>Chemokine</v>
      </c>
      <c r="BB96" s="27" t="b">
        <f t="shared" si="363"/>
        <v>1</v>
      </c>
      <c r="BC96" s="23">
        <f t="shared" si="336"/>
        <v>265</v>
      </c>
      <c r="BD96" s="2" t="s">
        <v>23</v>
      </c>
      <c r="BE96" s="3" t="s">
        <v>1381</v>
      </c>
      <c r="BF96" s="124">
        <v>2.71</v>
      </c>
      <c r="BG96" s="50" t="s">
        <v>1384</v>
      </c>
      <c r="BH96" s="50" t="s">
        <v>1384</v>
      </c>
      <c r="BI96" s="1"/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337"/>
        <v>25</v>
      </c>
      <c r="BW96" s="73" t="str">
        <f t="shared" si="338"/>
        <v>-</v>
      </c>
      <c r="BX96" s="74">
        <f t="shared" si="339"/>
        <v>63</v>
      </c>
      <c r="BY96" s="73">
        <f t="shared" si="340"/>
        <v>93</v>
      </c>
      <c r="BZ96" s="74">
        <f t="shared" si="341"/>
        <v>97</v>
      </c>
      <c r="CA96" s="73">
        <f t="shared" si="342"/>
        <v>133</v>
      </c>
      <c r="CB96" s="74">
        <f t="shared" si="343"/>
        <v>141</v>
      </c>
      <c r="CC96" s="73">
        <f t="shared" si="344"/>
        <v>178</v>
      </c>
      <c r="CD96" s="74">
        <f t="shared" si="345"/>
        <v>186</v>
      </c>
      <c r="CE96" s="73">
        <f t="shared" si="346"/>
        <v>228</v>
      </c>
      <c r="CF96" s="74">
        <f t="shared" si="347"/>
        <v>268</v>
      </c>
      <c r="CG96" s="73">
        <f t="shared" si="348"/>
        <v>301</v>
      </c>
      <c r="CH96" s="72">
        <f t="shared" si="349"/>
        <v>58</v>
      </c>
      <c r="CI96" s="73" t="str">
        <f t="shared" si="350"/>
        <v>-</v>
      </c>
      <c r="CJ96" s="74">
        <f t="shared" si="351"/>
        <v>92</v>
      </c>
      <c r="CK96" s="74">
        <f t="shared" si="352"/>
        <v>96</v>
      </c>
      <c r="CL96" s="74">
        <f t="shared" si="353"/>
        <v>132</v>
      </c>
      <c r="CM96" s="74">
        <f t="shared" si="354"/>
        <v>140</v>
      </c>
      <c r="CN96" s="74">
        <f t="shared" si="355"/>
        <v>167</v>
      </c>
      <c r="CO96" s="74">
        <f t="shared" si="356"/>
        <v>180</v>
      </c>
      <c r="CP96" s="74">
        <f t="shared" si="357"/>
        <v>223</v>
      </c>
      <c r="CQ96" s="74">
        <f t="shared" si="358"/>
        <v>265</v>
      </c>
      <c r="CR96" s="74">
        <f t="shared" si="359"/>
        <v>300</v>
      </c>
      <c r="CS96" s="74">
        <f t="shared" si="360"/>
        <v>313</v>
      </c>
      <c r="CT96" s="23" t="e">
        <f t="shared" si="361"/>
        <v>#VALUE!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s="12" customFormat="1" x14ac:dyDescent="0.2">
      <c r="A97" s="9" t="str">
        <f t="shared" ref="A97" si="504">CONCATENATE(B97,"_",C97)</f>
        <v>ccr5_human_5UIW</v>
      </c>
      <c r="B97" s="9" t="s">
        <v>173</v>
      </c>
      <c r="C97" s="9" t="s">
        <v>1434</v>
      </c>
      <c r="D97" s="9" t="str">
        <f>IFERROR(MID(VLOOKUP($B97,Seqs!$A:$B,2,0),E97,1),"")</f>
        <v>K</v>
      </c>
      <c r="E97" s="9">
        <v>22</v>
      </c>
      <c r="F97" s="9" t="str">
        <f>IFERROR(MID(VLOOKUP($B97,Seqs!$A:$B,2,0),G97,1),"")</f>
        <v>C</v>
      </c>
      <c r="G97" s="9">
        <v>58</v>
      </c>
      <c r="H97" s="9" t="str">
        <f>IFERROR(MID(VLOOKUP($B97,Seqs!$A:$B,2,0),I97,1),"")</f>
        <v/>
      </c>
      <c r="I97" s="112" t="s">
        <v>23</v>
      </c>
      <c r="J97" s="9" t="str">
        <f>IFERROR(MID(VLOOKUP($B97,Seqs!$A:$B,2,0),K97,1),"")</f>
        <v/>
      </c>
      <c r="K97" s="112" t="s">
        <v>23</v>
      </c>
      <c r="L97" s="9" t="str">
        <f>IFERROR(MID(VLOOKUP($B97,Seqs!$A:$B,2,0),M97,1),"")</f>
        <v>S</v>
      </c>
      <c r="M97" s="9">
        <v>63</v>
      </c>
      <c r="N97" s="9" t="str">
        <f>IFERROR(MID(VLOOKUP($B97,Seqs!$A:$B,2,0),O97,1),"")</f>
        <v>A</v>
      </c>
      <c r="O97" s="9">
        <v>92</v>
      </c>
      <c r="P97" s="9" t="str">
        <f>IFERROR(MID(VLOOKUP($B97,Seqs!$A:$B,2,0),Q97,1),"")</f>
        <v>Q</v>
      </c>
      <c r="Q97" s="9">
        <v>93</v>
      </c>
      <c r="R97" s="9" t="str">
        <f>IFERROR(MID(VLOOKUP($B97,Seqs!$A:$B,2,0),S97,1),"")</f>
        <v>F</v>
      </c>
      <c r="S97" s="9">
        <v>96</v>
      </c>
      <c r="T97" s="9" t="str">
        <f>IFERROR(MID(VLOOKUP($B97,Seqs!$A:$B,2,0),U97,1),"")</f>
        <v>G</v>
      </c>
      <c r="U97" s="9">
        <v>97</v>
      </c>
      <c r="V97" s="9" t="str">
        <f>IFERROR(MID(VLOOKUP($B97,Seqs!$A:$B,2,0),W97,1),"")</f>
        <v>H</v>
      </c>
      <c r="W97" s="9">
        <v>132</v>
      </c>
      <c r="X97" s="9" t="str">
        <f>IFERROR(MID(VLOOKUP($B97,Seqs!$A:$B,2,0),Y97,1),"")</f>
        <v>A</v>
      </c>
      <c r="Y97" s="9">
        <v>133</v>
      </c>
      <c r="Z97" s="9" t="str">
        <f>IFERROR(MID(VLOOKUP($B97,Seqs!$A:$B,2,0),AA97,1),"")</f>
        <v>R</v>
      </c>
      <c r="AA97" s="9">
        <v>140</v>
      </c>
      <c r="AB97" s="9" t="str">
        <f>IFERROR(MID(VLOOKUP($B97,Seqs!$A:$B,2,0),AC97,1),"")</f>
        <v>T</v>
      </c>
      <c r="AC97" s="9">
        <v>141</v>
      </c>
      <c r="AD97" s="9" t="str">
        <f>IFERROR(MID(VLOOKUP($B97,Seqs!$A:$B,2,0),AE97,1),"")</f>
        <v>T</v>
      </c>
      <c r="AE97" s="9">
        <v>167</v>
      </c>
      <c r="AF97" s="9" t="str">
        <f>IFERROR(MID(VLOOKUP($B97,Seqs!$A:$B,2,0),AG97,1),"")</f>
        <v>C</v>
      </c>
      <c r="AG97" s="9">
        <v>178</v>
      </c>
      <c r="AH97" s="9" t="str">
        <f>IFERROR(MID(VLOOKUP($B97,Seqs!$A:$B,2,0),AI97,1),"")</f>
        <v>S</v>
      </c>
      <c r="AI97" s="9">
        <v>180</v>
      </c>
      <c r="AJ97" s="9" t="str">
        <f>IFERROR(MID(VLOOKUP($B97,Seqs!$A:$B,2,0),AK97,1),"")</f>
        <v>Q</v>
      </c>
      <c r="AK97" s="9">
        <v>186</v>
      </c>
      <c r="AL97" s="9" t="str">
        <f>IFERROR(MID(VLOOKUP($B97,Seqs!$A:$B,2,0),AM97,1),"")</f>
        <v>R</v>
      </c>
      <c r="AM97" s="9">
        <v>223</v>
      </c>
      <c r="AN97" s="9" t="str">
        <f>IFERROR(MID(VLOOKUP($B97,Seqs!$A:$B,2,0),AO97,1),"")</f>
        <v>E</v>
      </c>
      <c r="AO97" s="9">
        <v>227</v>
      </c>
      <c r="AP97" s="9" t="str">
        <f>IFERROR(MID(VLOOKUP($B97,Seqs!$A:$B,2,0),AQ97,1),"")</f>
        <v>Q</v>
      </c>
      <c r="AQ97" s="9">
        <v>261</v>
      </c>
      <c r="AR97" s="9" t="str">
        <f>IFERROR(MID(VLOOKUP($B97,Seqs!$A:$B,2,0),AS97,1),"")</f>
        <v>N</v>
      </c>
      <c r="AS97" s="9">
        <v>268</v>
      </c>
      <c r="AT97" s="9" t="str">
        <f>IFERROR(MID(VLOOKUP($B97,Seqs!$A:$B,2,0),AU97,1),"")</f>
        <v>V</v>
      </c>
      <c r="AU97" s="9">
        <v>300</v>
      </c>
      <c r="AV97" s="9" t="str">
        <f>IFERROR(MID(VLOOKUP($B97,Seqs!$A:$B,2,0),AW97,1),"")</f>
        <v>G</v>
      </c>
      <c r="AW97" s="9">
        <v>301</v>
      </c>
      <c r="AX97" s="9" t="str">
        <f>IFERROR(MID(VLOOKUP($B97,Seqs!$A:$B,2,0),AY97,1),"")</f>
        <v>I</v>
      </c>
      <c r="AY97" s="9">
        <v>316</v>
      </c>
      <c r="AZ97" s="113" t="str">
        <f>VLOOKUP(B97,Classification!A:D,2,0)</f>
        <v>A</v>
      </c>
      <c r="BA97" s="101" t="str">
        <f>VLOOKUP(B97,Classification!A:D,4,0)</f>
        <v>Chemokine</v>
      </c>
      <c r="BB97" s="37" t="b">
        <f t="shared" ref="BB97" si="505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112">
        <f>_xlfn.AGGREGATE(9,6,CH97:CS97)-_xlfn.AGGREGATE(9,6,BV97:CG97)+12</f>
        <v>268</v>
      </c>
      <c r="BD97" s="41" t="s">
        <v>1383</v>
      </c>
      <c r="BE97" s="9" t="s">
        <v>1381</v>
      </c>
      <c r="BF97" s="125">
        <v>2.2000000000000002</v>
      </c>
      <c r="BG97" s="52" t="s">
        <v>1384</v>
      </c>
      <c r="BH97" s="52" t="s">
        <v>1384</v>
      </c>
      <c r="BJ97" s="114" t="s">
        <v>1293</v>
      </c>
      <c r="BK97" s="115" t="s">
        <v>1293</v>
      </c>
      <c r="BL97" s="115" t="s">
        <v>1293</v>
      </c>
      <c r="BM97" s="115" t="s">
        <v>1293</v>
      </c>
      <c r="BN97" s="115" t="s">
        <v>1293</v>
      </c>
      <c r="BO97" s="115" t="s">
        <v>1293</v>
      </c>
      <c r="BP97" s="115" t="s">
        <v>1293</v>
      </c>
      <c r="BQ97" s="115" t="s">
        <v>1293</v>
      </c>
      <c r="BR97" s="115" t="s">
        <v>1293</v>
      </c>
      <c r="BS97" s="115" t="s">
        <v>1293</v>
      </c>
      <c r="BT97" s="115" t="s">
        <v>1293</v>
      </c>
      <c r="BU97" s="115" t="s">
        <v>1293</v>
      </c>
      <c r="BV97" s="114">
        <f t="shared" ref="BV97" si="506">E97</f>
        <v>22</v>
      </c>
      <c r="BW97" s="116" t="str">
        <f t="shared" ref="BW97" si="507">I97</f>
        <v>-</v>
      </c>
      <c r="BX97" s="117">
        <f t="shared" ref="BX97" si="508">M97</f>
        <v>63</v>
      </c>
      <c r="BY97" s="116">
        <f t="shared" ref="BY97" si="509">Q97</f>
        <v>93</v>
      </c>
      <c r="BZ97" s="117">
        <f t="shared" ref="BZ97" si="510">U97</f>
        <v>97</v>
      </c>
      <c r="CA97" s="116">
        <f t="shared" ref="CA97" si="511">Y97</f>
        <v>133</v>
      </c>
      <c r="CB97" s="117">
        <f t="shared" ref="CB97" si="512">AC97</f>
        <v>141</v>
      </c>
      <c r="CC97" s="116">
        <f t="shared" ref="CC97" si="513">AG97</f>
        <v>178</v>
      </c>
      <c r="CD97" s="117">
        <f t="shared" ref="CD97" si="514">AK97</f>
        <v>186</v>
      </c>
      <c r="CE97" s="116">
        <f t="shared" ref="CE97" si="515">AO97</f>
        <v>227</v>
      </c>
      <c r="CF97" s="117">
        <f t="shared" ref="CF97" si="516">AS97</f>
        <v>268</v>
      </c>
      <c r="CG97" s="116">
        <f t="shared" ref="CG97" si="517">AW97</f>
        <v>301</v>
      </c>
      <c r="CH97" s="114">
        <f t="shared" ref="CH97" si="518">G97</f>
        <v>58</v>
      </c>
      <c r="CI97" s="116" t="str">
        <f t="shared" ref="CI97" si="519">K97</f>
        <v>-</v>
      </c>
      <c r="CJ97" s="117">
        <f t="shared" ref="CJ97" si="520">O97</f>
        <v>92</v>
      </c>
      <c r="CK97" s="117">
        <f t="shared" ref="CK97" si="521">S97</f>
        <v>96</v>
      </c>
      <c r="CL97" s="117">
        <f t="shared" ref="CL97" si="522">W97</f>
        <v>132</v>
      </c>
      <c r="CM97" s="117">
        <f t="shared" ref="CM97" si="523">AA97</f>
        <v>140</v>
      </c>
      <c r="CN97" s="117">
        <f t="shared" ref="CN97" si="524">AE97</f>
        <v>167</v>
      </c>
      <c r="CO97" s="117">
        <f t="shared" ref="CO97" si="525">AI97</f>
        <v>180</v>
      </c>
      <c r="CP97" s="117">
        <f t="shared" ref="CP97" si="526">AM97</f>
        <v>223</v>
      </c>
      <c r="CQ97" s="117">
        <f t="shared" ref="CQ97" si="527">AQ97</f>
        <v>261</v>
      </c>
      <c r="CR97" s="117">
        <f t="shared" ref="CR97" si="528">AU97</f>
        <v>300</v>
      </c>
      <c r="CS97" s="117">
        <f t="shared" ref="CS97" si="529">AY97</f>
        <v>316</v>
      </c>
      <c r="CT97" s="112" t="e">
        <f t="shared" ref="CT97" si="530">M97-K97</f>
        <v>#VALUE!</v>
      </c>
    </row>
    <row r="98" spans="1:1030" x14ac:dyDescent="0.2">
      <c r="A98" s="3" t="str">
        <f t="shared" si="362"/>
        <v>ccr9_human__wt</v>
      </c>
      <c r="B98" s="3" t="s">
        <v>177</v>
      </c>
      <c r="C98" s="3" t="s">
        <v>100</v>
      </c>
      <c r="D98" s="3" t="str">
        <f>IFERROR(MID(VLOOKUP($B98,Seqs!$A:$B,2,0),E98,1),"")</f>
        <v>V</v>
      </c>
      <c r="E98" s="3">
        <v>43</v>
      </c>
      <c r="F98" s="3" t="str">
        <f>IFERROR(MID(VLOOKUP($B98,Seqs!$A:$B,2,0),G98,1),"")</f>
        <v>C</v>
      </c>
      <c r="G98" s="3">
        <v>76</v>
      </c>
      <c r="H98" s="3" t="str">
        <f>IFERROR(MID(VLOOKUP($B98,Seqs!$A:$B,2,0),I98,1),"")</f>
        <v>T</v>
      </c>
      <c r="I98" s="23">
        <v>77</v>
      </c>
      <c r="J98" s="3" t="str">
        <f>IFERROR(MID(VLOOKUP($B98,Seqs!$A:$B,2,0),K98,1),"")</f>
        <v>K</v>
      </c>
      <c r="K98" s="23">
        <v>80</v>
      </c>
      <c r="L98" s="3" t="str">
        <f>IFERROR(MID(VLOOKUP($B98,Seqs!$A:$B,2,0),M98,1),"")</f>
        <v>T</v>
      </c>
      <c r="M98" s="3">
        <v>81</v>
      </c>
      <c r="N98" s="3" t="str">
        <f>IFERROR(MID(VLOOKUP($B98,Seqs!$A:$B,2,0),O98,1),"")</f>
        <v>D</v>
      </c>
      <c r="O98" s="3">
        <v>110</v>
      </c>
      <c r="P98" s="3" t="str">
        <f>IFERROR(MID(VLOOKUP($B98,Seqs!$A:$B,2,0),Q98,1),"")</f>
        <v>Q</v>
      </c>
      <c r="Q98" s="3">
        <v>111</v>
      </c>
      <c r="R98" s="3" t="str">
        <f>IFERROR(MID(VLOOKUP($B98,Seqs!$A:$B,2,0),S98,1),"")</f>
        <v>F</v>
      </c>
      <c r="S98" s="3">
        <v>114</v>
      </c>
      <c r="T98" s="3" t="str">
        <f>IFERROR(MID(VLOOKUP($B98,Seqs!$A:$B,2,0),U98,1),"")</f>
        <v>Q</v>
      </c>
      <c r="U98" s="3">
        <v>115</v>
      </c>
      <c r="V98" s="3" t="str">
        <f>IFERROR(MID(VLOOKUP($B98,Seqs!$A:$B,2,0),W98,1),"")</f>
        <v>Q</v>
      </c>
      <c r="W98" s="3">
        <v>150</v>
      </c>
      <c r="X98" s="3" t="str">
        <f>IFERROR(MID(VLOOKUP($B98,Seqs!$A:$B,2,0),Y98,1),"")</f>
        <v>A</v>
      </c>
      <c r="Y98" s="3">
        <v>151</v>
      </c>
      <c r="Z98" s="3" t="str">
        <f>IFERROR(MID(VLOOKUP($B98,Seqs!$A:$B,2,0),AA98,1),"")</f>
        <v>W</v>
      </c>
      <c r="AA98" s="3">
        <v>157</v>
      </c>
      <c r="AB98" s="3" t="str">
        <f>IFERROR(MID(VLOOKUP($B98,Seqs!$A:$B,2,0),AC98,1),"")</f>
        <v>R</v>
      </c>
      <c r="AC98" s="9">
        <v>158</v>
      </c>
      <c r="AD98" s="3" t="str">
        <f>IFERROR(MID(VLOOKUP($B98,Seqs!$A:$B,2,0),AE98,1),"")</f>
        <v>S</v>
      </c>
      <c r="AE98" s="3">
        <v>187</v>
      </c>
      <c r="AF98" s="3" t="str">
        <f>IFERROR(MID(VLOOKUP($B98,Seqs!$A:$B,2,0),AG98,1),"")</f>
        <v>C</v>
      </c>
      <c r="AG98" s="3">
        <v>198</v>
      </c>
      <c r="AH98" s="3" t="str">
        <f>IFERROR(MID(VLOOKUP($B98,Seqs!$A:$B,2,0),AI98,1),"")</f>
        <v>M</v>
      </c>
      <c r="AI98" s="3">
        <v>200</v>
      </c>
      <c r="AJ98" s="3" t="str">
        <f>IFERROR(MID(VLOOKUP($B98,Seqs!$A:$B,2,0),AK98,1),"")</f>
        <v>K</v>
      </c>
      <c r="AK98" s="3">
        <v>209</v>
      </c>
      <c r="AL98" s="3" t="str">
        <f>IFERROR(MID(VLOOKUP($B98,Seqs!$A:$B,2,0),AM98,1),"")</f>
        <v>A</v>
      </c>
      <c r="AM98" s="3">
        <v>244</v>
      </c>
      <c r="AN98" s="3" t="str">
        <f>IFERROR(MID(VLOOKUP($B98,Seqs!$A:$B,2,0),AO98,1),"")</f>
        <v>S</v>
      </c>
      <c r="AO98" s="3">
        <v>247</v>
      </c>
      <c r="AP98" s="3" t="str">
        <f>IFERROR(MID(VLOOKUP($B98,Seqs!$A:$B,2,0),AQ98,1),"")</f>
        <v>M</v>
      </c>
      <c r="AQ98" s="3">
        <v>284</v>
      </c>
      <c r="AR98" s="3" t="str">
        <f>IFERROR(MID(VLOOKUP($B98,Seqs!$A:$B,2,0),AS98,1),"")</f>
        <v>N</v>
      </c>
      <c r="AS98" s="3">
        <v>288</v>
      </c>
      <c r="AT98" s="3" t="str">
        <f>IFERROR(MID(VLOOKUP($B98,Seqs!$A:$B,2,0),AU98,1),"")</f>
        <v>V</v>
      </c>
      <c r="AU98" s="3">
        <v>320</v>
      </c>
      <c r="AV98" s="3" t="str">
        <f>IFERROR(MID(VLOOKUP($B98,Seqs!$A:$B,2,0),AW98,1),"")</f>
        <v>G</v>
      </c>
      <c r="AW98" s="3">
        <v>321</v>
      </c>
      <c r="AX98" s="3" t="str">
        <f>IFERROR(MID(VLOOKUP($B98,Seqs!$A:$B,2,0),AY98,1),"")</f>
        <v>A</v>
      </c>
      <c r="AY98" s="3">
        <v>341</v>
      </c>
      <c r="AZ98" s="79" t="str">
        <f>VLOOKUP(B98,Classification!A:D,2,0)</f>
        <v>A</v>
      </c>
      <c r="BA98" s="97" t="str">
        <f>VLOOKUP(B98,Classification!A:D,4,0)</f>
        <v>Chemokine</v>
      </c>
      <c r="BB98" s="27" t="b">
        <f t="shared" si="363"/>
        <v>1</v>
      </c>
      <c r="BC98" s="23">
        <f t="shared" si="336"/>
        <v>276</v>
      </c>
      <c r="BD98" s="57" t="s">
        <v>1379</v>
      </c>
      <c r="BE98" s="3" t="s">
        <v>23</v>
      </c>
      <c r="BF98" s="124" t="s">
        <v>23</v>
      </c>
      <c r="BG98" s="50" t="s">
        <v>1379</v>
      </c>
      <c r="BH98" s="50" t="s">
        <v>1384</v>
      </c>
      <c r="BI98" s="1"/>
      <c r="BJ98" s="72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58" t="s">
        <v>1293</v>
      </c>
      <c r="BV98" s="72">
        <f t="shared" si="337"/>
        <v>43</v>
      </c>
      <c r="BW98" s="73">
        <f t="shared" si="338"/>
        <v>77</v>
      </c>
      <c r="BX98" s="74">
        <f t="shared" si="339"/>
        <v>81</v>
      </c>
      <c r="BY98" s="73">
        <f t="shared" si="340"/>
        <v>111</v>
      </c>
      <c r="BZ98" s="74">
        <f t="shared" si="341"/>
        <v>115</v>
      </c>
      <c r="CA98" s="73">
        <f t="shared" si="342"/>
        <v>151</v>
      </c>
      <c r="CB98" s="74">
        <f t="shared" si="343"/>
        <v>158</v>
      </c>
      <c r="CC98" s="73">
        <f t="shared" si="344"/>
        <v>198</v>
      </c>
      <c r="CD98" s="74">
        <f t="shared" si="345"/>
        <v>209</v>
      </c>
      <c r="CE98" s="73">
        <f t="shared" si="346"/>
        <v>247</v>
      </c>
      <c r="CF98" s="74">
        <f t="shared" si="347"/>
        <v>288</v>
      </c>
      <c r="CG98" s="73">
        <f t="shared" si="348"/>
        <v>321</v>
      </c>
      <c r="CH98" s="72">
        <f t="shared" si="349"/>
        <v>76</v>
      </c>
      <c r="CI98" s="73">
        <f t="shared" si="350"/>
        <v>80</v>
      </c>
      <c r="CJ98" s="74">
        <f t="shared" si="351"/>
        <v>110</v>
      </c>
      <c r="CK98" s="74">
        <f t="shared" si="352"/>
        <v>114</v>
      </c>
      <c r="CL98" s="74">
        <f t="shared" si="353"/>
        <v>150</v>
      </c>
      <c r="CM98" s="74">
        <f t="shared" si="354"/>
        <v>157</v>
      </c>
      <c r="CN98" s="74">
        <f t="shared" si="355"/>
        <v>187</v>
      </c>
      <c r="CO98" s="74">
        <f t="shared" si="356"/>
        <v>200</v>
      </c>
      <c r="CP98" s="74">
        <f t="shared" si="357"/>
        <v>244</v>
      </c>
      <c r="CQ98" s="74">
        <f t="shared" si="358"/>
        <v>284</v>
      </c>
      <c r="CR98" s="74">
        <f t="shared" si="359"/>
        <v>320</v>
      </c>
      <c r="CS98" s="74">
        <f t="shared" si="360"/>
        <v>341</v>
      </c>
      <c r="CT98" s="23">
        <f t="shared" si="361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362"/>
        <v>ccr9_human_5LWE</v>
      </c>
      <c r="B99" s="3" t="s">
        <v>177</v>
      </c>
      <c r="C99" s="3" t="s">
        <v>1372</v>
      </c>
      <c r="D99" s="3" t="str">
        <f>IFERROR(MID(VLOOKUP($B99,Seqs!$A:$B,2,0),E99,1),"")</f>
        <v>V</v>
      </c>
      <c r="E99" s="3">
        <v>43</v>
      </c>
      <c r="F99" s="3" t="str">
        <f>IFERROR(MID(VLOOKUP($B99,Seqs!$A:$B,2,0),G99,1),"")</f>
        <v>C</v>
      </c>
      <c r="G99" s="3">
        <v>76</v>
      </c>
      <c r="H99" s="3" t="str">
        <f>IFERROR(MID(VLOOKUP($B99,Seqs!$A:$B,2,0),I99,1),"")</f>
        <v/>
      </c>
      <c r="I99" s="23" t="s">
        <v>23</v>
      </c>
      <c r="J99" s="3" t="str">
        <f>IFERROR(MID(VLOOKUP($B99,Seqs!$A:$B,2,0),K99,1),"")</f>
        <v/>
      </c>
      <c r="K99" s="23" t="s">
        <v>23</v>
      </c>
      <c r="L99" s="3" t="str">
        <f>IFERROR(MID(VLOOKUP($B99,Seqs!$A:$B,2,0),M99,1),"")</f>
        <v>T</v>
      </c>
      <c r="M99" s="3">
        <v>81</v>
      </c>
      <c r="N99" s="3" t="str">
        <f>IFERROR(MID(VLOOKUP($B99,Seqs!$A:$B,2,0),O99,1),"")</f>
        <v>A</v>
      </c>
      <c r="O99" s="3">
        <v>108</v>
      </c>
      <c r="P99" s="3" t="str">
        <f>IFERROR(MID(VLOOKUP($B99,Seqs!$A:$B,2,0),Q99,1),"")</f>
        <v/>
      </c>
      <c r="Q99" s="3" t="s">
        <v>23</v>
      </c>
      <c r="R99" s="3" t="str">
        <f>IFERROR(MID(VLOOKUP($B99,Seqs!$A:$B,2,0),S99,1),"")</f>
        <v/>
      </c>
      <c r="S99" s="3" t="s">
        <v>23</v>
      </c>
      <c r="T99" s="3" t="str">
        <f>IFERROR(MID(VLOOKUP($B99,Seqs!$A:$B,2,0),U99,1),"")</f>
        <v>C</v>
      </c>
      <c r="U99" s="3">
        <v>119</v>
      </c>
      <c r="V99" s="3" t="str">
        <f>IFERROR(MID(VLOOKUP($B99,Seqs!$A:$B,2,0),W99,1),"")</f>
        <v>Q</v>
      </c>
      <c r="W99" s="3">
        <v>150</v>
      </c>
      <c r="X99" s="3" t="str">
        <f>IFERROR(MID(VLOOKUP($B99,Seqs!$A:$B,2,0),Y99,1),"")</f>
        <v>A</v>
      </c>
      <c r="Y99" s="3">
        <v>151</v>
      </c>
      <c r="Z99" s="3" t="str">
        <f>IFERROR(MID(VLOOKUP($B99,Seqs!$A:$B,2,0),AA99,1),"")</f>
        <v>W</v>
      </c>
      <c r="AA99" s="3">
        <v>157</v>
      </c>
      <c r="AB99" s="3" t="str">
        <f>IFERROR(MID(VLOOKUP($B99,Seqs!$A:$B,2,0),AC99,1),"")</f>
        <v>R</v>
      </c>
      <c r="AC99" s="9">
        <v>158</v>
      </c>
      <c r="AD99" s="3" t="str">
        <f>IFERROR(MID(VLOOKUP($B99,Seqs!$A:$B,2,0),AE99,1),"")</f>
        <v>I</v>
      </c>
      <c r="AE99" s="3">
        <v>184</v>
      </c>
      <c r="AF99" s="3" t="str">
        <f>IFERROR(MID(VLOOKUP($B99,Seqs!$A:$B,2,0),AG99,1),"")</f>
        <v/>
      </c>
      <c r="AG99" s="3" t="s">
        <v>23</v>
      </c>
      <c r="AH99" s="3" t="str">
        <f>IFERROR(MID(VLOOKUP($B99,Seqs!$A:$B,2,0),AI99,1),"")</f>
        <v/>
      </c>
      <c r="AI99" s="3" t="s">
        <v>23</v>
      </c>
      <c r="AJ99" s="3" t="str">
        <f>IFERROR(MID(VLOOKUP($B99,Seqs!$A:$B,2,0),AK99,1),"")</f>
        <v/>
      </c>
      <c r="AK99" s="3" t="s">
        <v>23</v>
      </c>
      <c r="AL99" s="3" t="str">
        <f>IFERROR(MID(VLOOKUP($B99,Seqs!$A:$B,2,0),AM99,1),"")</f>
        <v/>
      </c>
      <c r="AM99" s="3" t="s">
        <v>23</v>
      </c>
      <c r="AN99" s="3" t="str">
        <f>IFERROR(MID(VLOOKUP($B99,Seqs!$A:$B,2,0),AO99,1),"")</f>
        <v>S</v>
      </c>
      <c r="AO99" s="3">
        <v>247</v>
      </c>
      <c r="AP99" s="3" t="str">
        <f>IFERROR(MID(VLOOKUP($B99,Seqs!$A:$B,2,0),AQ99,1),"")</f>
        <v>M</v>
      </c>
      <c r="AQ99" s="3">
        <v>284</v>
      </c>
      <c r="AR99" s="3" t="str">
        <f>IFERROR(MID(VLOOKUP($B99,Seqs!$A:$B,2,0),AS99,1),"")</f>
        <v>N</v>
      </c>
      <c r="AS99" s="3">
        <v>288</v>
      </c>
      <c r="AT99" s="3" t="str">
        <f>IFERROR(MID(VLOOKUP($B99,Seqs!$A:$B,2,0),AU99,1),"")</f>
        <v>V</v>
      </c>
      <c r="AU99" s="3">
        <v>320</v>
      </c>
      <c r="AV99" s="3" t="str">
        <f>IFERROR(MID(VLOOKUP($B99,Seqs!$A:$B,2,0),AW99,1),"")</f>
        <v>G</v>
      </c>
      <c r="AW99" s="3">
        <v>321</v>
      </c>
      <c r="AX99" s="3" t="str">
        <f>IFERROR(MID(VLOOKUP($B99,Seqs!$A:$B,2,0),AY99,1),"")</f>
        <v>A</v>
      </c>
      <c r="AY99" s="3">
        <v>341</v>
      </c>
      <c r="AZ99" s="79" t="str">
        <f>VLOOKUP(B99,Classification!A:D,2,0)</f>
        <v>A</v>
      </c>
      <c r="BA99" s="97" t="str">
        <f>VLOOKUP(B99,Classification!A:D,4,0)</f>
        <v>Chemokine</v>
      </c>
      <c r="BB99" s="27" t="b">
        <f t="shared" si="363"/>
        <v>0</v>
      </c>
      <c r="BC99" s="23">
        <f t="shared" si="336"/>
        <v>224</v>
      </c>
      <c r="BD99" s="16" t="s">
        <v>1383</v>
      </c>
      <c r="BE99" s="3" t="s">
        <v>1381</v>
      </c>
      <c r="BF99" s="124">
        <v>2.8</v>
      </c>
      <c r="BG99" s="50" t="s">
        <v>1384</v>
      </c>
      <c r="BH99" s="50" t="s">
        <v>1384</v>
      </c>
      <c r="BI99" s="1"/>
      <c r="BJ99" s="72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58" t="s">
        <v>1293</v>
      </c>
      <c r="BV99" s="72">
        <f t="shared" si="337"/>
        <v>43</v>
      </c>
      <c r="BW99" s="73" t="str">
        <f t="shared" si="338"/>
        <v>-</v>
      </c>
      <c r="BX99" s="74">
        <f t="shared" si="339"/>
        <v>81</v>
      </c>
      <c r="BY99" s="73" t="str">
        <f t="shared" si="340"/>
        <v>-</v>
      </c>
      <c r="BZ99" s="74">
        <f t="shared" si="341"/>
        <v>119</v>
      </c>
      <c r="CA99" s="73">
        <f t="shared" si="342"/>
        <v>151</v>
      </c>
      <c r="CB99" s="74">
        <f t="shared" si="343"/>
        <v>158</v>
      </c>
      <c r="CC99" s="73" t="str">
        <f t="shared" si="344"/>
        <v>-</v>
      </c>
      <c r="CD99" s="74" t="str">
        <f t="shared" si="345"/>
        <v>-</v>
      </c>
      <c r="CE99" s="73">
        <f t="shared" si="346"/>
        <v>247</v>
      </c>
      <c r="CF99" s="74">
        <f t="shared" si="347"/>
        <v>288</v>
      </c>
      <c r="CG99" s="73">
        <f t="shared" si="348"/>
        <v>321</v>
      </c>
      <c r="CH99" s="72">
        <f t="shared" si="349"/>
        <v>76</v>
      </c>
      <c r="CI99" s="73" t="str">
        <f t="shared" si="350"/>
        <v>-</v>
      </c>
      <c r="CJ99" s="74">
        <f t="shared" si="351"/>
        <v>108</v>
      </c>
      <c r="CK99" s="74" t="str">
        <f t="shared" si="352"/>
        <v>-</v>
      </c>
      <c r="CL99" s="74">
        <f t="shared" si="353"/>
        <v>150</v>
      </c>
      <c r="CM99" s="74">
        <f t="shared" si="354"/>
        <v>157</v>
      </c>
      <c r="CN99" s="74">
        <f t="shared" si="355"/>
        <v>184</v>
      </c>
      <c r="CO99" s="74" t="str">
        <f t="shared" si="356"/>
        <v>-</v>
      </c>
      <c r="CP99" s="74" t="str">
        <f t="shared" si="357"/>
        <v>-</v>
      </c>
      <c r="CQ99" s="74">
        <f t="shared" si="358"/>
        <v>284</v>
      </c>
      <c r="CR99" s="74">
        <f t="shared" si="359"/>
        <v>320</v>
      </c>
      <c r="CS99" s="74">
        <f t="shared" si="360"/>
        <v>341</v>
      </c>
      <c r="CT99" s="23" t="e">
        <f t="shared" si="361"/>
        <v>#VALUE!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30" x14ac:dyDescent="0.2">
      <c r="A100" s="3" t="str">
        <f t="shared" ref="A100" si="531">CONCATENATE(B100,"_",C100)</f>
        <v>ccr9_human_5LWE_dist</v>
      </c>
      <c r="B100" s="3" t="s">
        <v>177</v>
      </c>
      <c r="C100" s="3" t="s">
        <v>1391</v>
      </c>
      <c r="D100" s="3" t="str">
        <f>IFERROR(MID(VLOOKUP($B100,Seqs!$A:$B,2,0),E100,1),"")</f>
        <v>V</v>
      </c>
      <c r="E100" s="3">
        <v>43</v>
      </c>
      <c r="F100" s="3" t="str">
        <f>IFERROR(MID(VLOOKUP($B100,Seqs!$A:$B,2,0),G100,1),"")</f>
        <v>C</v>
      </c>
      <c r="G100" s="3">
        <v>76</v>
      </c>
      <c r="H100" s="3" t="str">
        <f>IFERROR(MID(VLOOKUP($B100,Seqs!$A:$B,2,0),I100,1),"")</f>
        <v/>
      </c>
      <c r="I100" s="23" t="s">
        <v>23</v>
      </c>
      <c r="J100" s="3" t="str">
        <f>IFERROR(MID(VLOOKUP($B100,Seqs!$A:$B,2,0),K100,1),"")</f>
        <v/>
      </c>
      <c r="K100" s="23" t="s">
        <v>23</v>
      </c>
      <c r="L100" s="3" t="str">
        <f>IFERROR(MID(VLOOKUP($B100,Seqs!$A:$B,2,0),M100,1),"")</f>
        <v>T</v>
      </c>
      <c r="M100" s="3">
        <v>81</v>
      </c>
      <c r="N100" s="3" t="str">
        <f>IFERROR(MID(VLOOKUP($B100,Seqs!$A:$B,2,0),O100,1),"")</f>
        <v>A</v>
      </c>
      <c r="O100" s="3">
        <v>108</v>
      </c>
      <c r="P100" s="3" t="str">
        <f>IFERROR(MID(VLOOKUP($B100,Seqs!$A:$B,2,0),Q100,1),"")</f>
        <v/>
      </c>
      <c r="Q100" s="3" t="s">
        <v>23</v>
      </c>
      <c r="R100" s="3" t="str">
        <f>IFERROR(MID(VLOOKUP($B100,Seqs!$A:$B,2,0),S100,1),"")</f>
        <v/>
      </c>
      <c r="S100" s="3" t="s">
        <v>23</v>
      </c>
      <c r="T100" s="3" t="str">
        <f>IFERROR(MID(VLOOKUP($B100,Seqs!$A:$B,2,0),U100,1),"")</f>
        <v>C</v>
      </c>
      <c r="U100" s="3">
        <v>119</v>
      </c>
      <c r="V100" s="3" t="str">
        <f>IFERROR(MID(VLOOKUP($B100,Seqs!$A:$B,2,0),W100,1),"")</f>
        <v>Q</v>
      </c>
      <c r="W100" s="3">
        <v>150</v>
      </c>
      <c r="X100" s="3" t="str">
        <f>IFERROR(MID(VLOOKUP($B100,Seqs!$A:$B,2,0),Y100,1),"")</f>
        <v>A</v>
      </c>
      <c r="Y100" s="3">
        <v>151</v>
      </c>
      <c r="Z100" s="3" t="str">
        <f>IFERROR(MID(VLOOKUP($B100,Seqs!$A:$B,2,0),AA100,1),"")</f>
        <v>W</v>
      </c>
      <c r="AA100" s="3">
        <v>157</v>
      </c>
      <c r="AB100" s="3" t="str">
        <f>IFERROR(MID(VLOOKUP($B100,Seqs!$A:$B,2,0),AC100,1),"")</f>
        <v>R</v>
      </c>
      <c r="AC100" s="9">
        <v>158</v>
      </c>
      <c r="AD100" s="3" t="str">
        <f>IFERROR(MID(VLOOKUP($B100,Seqs!$A:$B,2,0),AE100,1),"")</f>
        <v>I</v>
      </c>
      <c r="AE100" s="3">
        <v>184</v>
      </c>
      <c r="AF100" s="3" t="str">
        <f>IFERROR(MID(VLOOKUP($B100,Seqs!$A:$B,2,0),AG100,1),"")</f>
        <v/>
      </c>
      <c r="AG100" s="3" t="s">
        <v>23</v>
      </c>
      <c r="AH100" s="3" t="str">
        <f>IFERROR(MID(VLOOKUP($B100,Seqs!$A:$B,2,0),AI100,1),"")</f>
        <v/>
      </c>
      <c r="AI100" s="3" t="s">
        <v>23</v>
      </c>
      <c r="AJ100" s="3" t="str">
        <f>IFERROR(MID(VLOOKUP($B100,Seqs!$A:$B,2,0),AK100,1),"")</f>
        <v>K</v>
      </c>
      <c r="AK100" s="3">
        <v>209</v>
      </c>
      <c r="AL100" s="3" t="str">
        <f>IFERROR(MID(VLOOKUP($B100,Seqs!$A:$B,2,0),AM100,1),"")</f>
        <v>A</v>
      </c>
      <c r="AM100" s="3">
        <v>244</v>
      </c>
      <c r="AN100" s="3" t="str">
        <f>IFERROR(MID(VLOOKUP($B100,Seqs!$A:$B,2,0),AO100,1),"")</f>
        <v>S</v>
      </c>
      <c r="AO100" s="3">
        <v>247</v>
      </c>
      <c r="AP100" s="3" t="str">
        <f>IFERROR(MID(VLOOKUP($B100,Seqs!$A:$B,2,0),AQ100,1),"")</f>
        <v>M</v>
      </c>
      <c r="AQ100" s="3">
        <v>284</v>
      </c>
      <c r="AR100" s="3" t="str">
        <f>IFERROR(MID(VLOOKUP($B100,Seqs!$A:$B,2,0),AS100,1),"")</f>
        <v>N</v>
      </c>
      <c r="AS100" s="3">
        <v>288</v>
      </c>
      <c r="AT100" s="3" t="str">
        <f>IFERROR(MID(VLOOKUP($B100,Seqs!$A:$B,2,0),AU100,1),"")</f>
        <v>V</v>
      </c>
      <c r="AU100" s="3">
        <v>320</v>
      </c>
      <c r="AV100" s="3" t="str">
        <f>IFERROR(MID(VLOOKUP($B100,Seqs!$A:$B,2,0),AW100,1),"")</f>
        <v>G</v>
      </c>
      <c r="AW100" s="3">
        <v>321</v>
      </c>
      <c r="AX100" s="3" t="str">
        <f>IFERROR(MID(VLOOKUP($B100,Seqs!$A:$B,2,0),AY100,1),"")</f>
        <v>A</v>
      </c>
      <c r="AY100" s="3">
        <v>341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ref="BB100" si="53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23">
        <f t="shared" ref="BC100" si="533">_xlfn.AGGREGATE(9,6,CH100:CS100)-_xlfn.AGGREGATE(9,6,BV100:CG100)+12</f>
        <v>259</v>
      </c>
      <c r="BD100" s="16" t="s">
        <v>23</v>
      </c>
      <c r="BE100" s="3" t="s">
        <v>1381</v>
      </c>
      <c r="BF100" s="124">
        <v>2.8</v>
      </c>
      <c r="BG100" s="50" t="s">
        <v>1384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ref="BV100" si="534">E100</f>
        <v>43</v>
      </c>
      <c r="BW100" s="73" t="str">
        <f t="shared" ref="BW100" si="535">I100</f>
        <v>-</v>
      </c>
      <c r="BX100" s="74">
        <f t="shared" ref="BX100" si="536">M100</f>
        <v>81</v>
      </c>
      <c r="BY100" s="73" t="str">
        <f t="shared" ref="BY100" si="537">Q100</f>
        <v>-</v>
      </c>
      <c r="BZ100" s="74">
        <f t="shared" ref="BZ100" si="538">U100</f>
        <v>119</v>
      </c>
      <c r="CA100" s="73">
        <f t="shared" ref="CA100" si="539">Y100</f>
        <v>151</v>
      </c>
      <c r="CB100" s="74">
        <f t="shared" ref="CB100" si="540">AC100</f>
        <v>158</v>
      </c>
      <c r="CC100" s="73" t="str">
        <f t="shared" ref="CC100" si="541">AG100</f>
        <v>-</v>
      </c>
      <c r="CD100" s="74">
        <f t="shared" ref="CD100" si="542">AK100</f>
        <v>209</v>
      </c>
      <c r="CE100" s="73">
        <f t="shared" ref="CE100" si="543">AO100</f>
        <v>247</v>
      </c>
      <c r="CF100" s="74">
        <f t="shared" ref="CF100" si="544">AS100</f>
        <v>288</v>
      </c>
      <c r="CG100" s="73">
        <f t="shared" ref="CG100" si="545">AW100</f>
        <v>321</v>
      </c>
      <c r="CH100" s="72">
        <f t="shared" ref="CH100" si="546">G100</f>
        <v>76</v>
      </c>
      <c r="CI100" s="73" t="str">
        <f t="shared" ref="CI100" si="547">K100</f>
        <v>-</v>
      </c>
      <c r="CJ100" s="74">
        <f t="shared" ref="CJ100" si="548">O100</f>
        <v>108</v>
      </c>
      <c r="CK100" s="74" t="str">
        <f t="shared" ref="CK100" si="549">S100</f>
        <v>-</v>
      </c>
      <c r="CL100" s="74">
        <f t="shared" ref="CL100" si="550">W100</f>
        <v>150</v>
      </c>
      <c r="CM100" s="74">
        <f t="shared" ref="CM100" si="551">AA100</f>
        <v>157</v>
      </c>
      <c r="CN100" s="74">
        <f t="shared" ref="CN100" si="552">AE100</f>
        <v>184</v>
      </c>
      <c r="CO100" s="74" t="str">
        <f t="shared" ref="CO100" si="553">AI100</f>
        <v>-</v>
      </c>
      <c r="CP100" s="74">
        <f t="shared" ref="CP100" si="554">AM100</f>
        <v>244</v>
      </c>
      <c r="CQ100" s="74">
        <f t="shared" ref="CQ100" si="555">AQ100</f>
        <v>284</v>
      </c>
      <c r="CR100" s="74">
        <f t="shared" ref="CR100" si="556">AU100</f>
        <v>320</v>
      </c>
      <c r="CS100" s="74">
        <f t="shared" ref="CS100" si="557">AY100</f>
        <v>341</v>
      </c>
      <c r="CT100" s="23" t="e">
        <f t="shared" ref="CT100" si="558">M100-K100</f>
        <v>#VALUE!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30" x14ac:dyDescent="0.2">
      <c r="A101" s="3" t="str">
        <f t="shared" si="362"/>
        <v>cnr1_human__wt</v>
      </c>
      <c r="B101" s="3" t="s">
        <v>182</v>
      </c>
      <c r="C101" s="3" t="s">
        <v>100</v>
      </c>
      <c r="D101" s="3" t="str">
        <f>IFERROR(MID(VLOOKUP($B101,Seqs!$A:$B,2,0),E101,1),"")</f>
        <v>N</v>
      </c>
      <c r="E101" s="3">
        <v>112</v>
      </c>
      <c r="F101" s="3" t="str">
        <f>IFERROR(MID(VLOOKUP($B101,Seqs!$A:$B,2,0),G101,1),"")</f>
        <v>S</v>
      </c>
      <c r="G101" s="3">
        <v>144</v>
      </c>
      <c r="H101" s="3" t="str">
        <f>IFERROR(MID(VLOOKUP($B101,Seqs!$A:$B,2,0),I101,1),"")</f>
        <v>R</v>
      </c>
      <c r="I101" s="23">
        <v>145</v>
      </c>
      <c r="J101" s="3" t="str">
        <f>IFERROR(MID(VLOOKUP($B101,Seqs!$A:$B,2,0),K101,1),"")</f>
        <v>R</v>
      </c>
      <c r="K101" s="23">
        <v>148</v>
      </c>
      <c r="L101" s="3" t="str">
        <f>IFERROR(MID(VLOOKUP($B101,Seqs!$A:$B,2,0),M101,1),"")</f>
        <v>R</v>
      </c>
      <c r="M101" s="3">
        <v>150</v>
      </c>
      <c r="N101" s="3" t="str">
        <f>IFERROR(MID(VLOOKUP($B101,Seqs!$A:$B,2,0),O101,1),"")</f>
        <v>V</v>
      </c>
      <c r="O101" s="3">
        <v>179</v>
      </c>
      <c r="P101" s="3" t="str">
        <f>IFERROR(MID(VLOOKUP($B101,Seqs!$A:$B,2,0),Q101,1),"")</f>
        <v/>
      </c>
      <c r="Q101" s="3" t="s">
        <v>23</v>
      </c>
      <c r="R101" s="3" t="str">
        <f>IFERROR(MID(VLOOKUP($B101,Seqs!$A:$B,2,0),S101,1),"")</f>
        <v/>
      </c>
      <c r="S101" s="3" t="s">
        <v>23</v>
      </c>
      <c r="T101" s="3" t="str">
        <f>IFERROR(MID(VLOOKUP($B101,Seqs!$A:$B,2,0),U101,1),"")</f>
        <v>S</v>
      </c>
      <c r="U101" s="3">
        <v>185</v>
      </c>
      <c r="V101" s="3" t="str">
        <f>IFERROR(MID(VLOOKUP($B101,Seqs!$A:$B,2,0),W101,1),"")</f>
        <v>R</v>
      </c>
      <c r="W101" s="3">
        <v>220</v>
      </c>
      <c r="X101" s="3" t="str">
        <f>IFERROR(MID(VLOOKUP($B101,Seqs!$A:$B,2,0),Y101,1),"")</f>
        <v>P</v>
      </c>
      <c r="Y101" s="3">
        <v>221</v>
      </c>
      <c r="Z101" s="3" t="str">
        <f>IFERROR(MID(VLOOKUP($B101,Seqs!$A:$B,2,0),AA101,1),"")</f>
        <v>V</v>
      </c>
      <c r="AA101" s="3">
        <v>228</v>
      </c>
      <c r="AB101" s="3" t="str">
        <f>IFERROR(MID(VLOOKUP($B101,Seqs!$A:$B,2,0),AC101,1),"")</f>
        <v>T</v>
      </c>
      <c r="AC101" s="9">
        <v>229</v>
      </c>
      <c r="AD101" s="3" t="str">
        <f>IFERROR(MID(VLOOKUP($B101,Seqs!$A:$B,2,0),AE101,1),"")</f>
        <v>G</v>
      </c>
      <c r="AE101" s="3">
        <v>254</v>
      </c>
      <c r="AF101" s="3" t="str">
        <f>IFERROR(MID(VLOOKUP($B101,Seqs!$A:$B,2,0),AG101,1),"")</f>
        <v/>
      </c>
      <c r="AG101" s="3" t="s">
        <v>23</v>
      </c>
      <c r="AH101" s="3" t="str">
        <f>IFERROR(MID(VLOOKUP($B101,Seqs!$A:$B,2,0),AI101,1),"")</f>
        <v/>
      </c>
      <c r="AI101" s="3" t="s">
        <v>23</v>
      </c>
      <c r="AJ101" s="3" t="str">
        <f>IFERROR(MID(VLOOKUP($B101,Seqs!$A:$B,2,0),AK101,1),"")</f>
        <v>D</v>
      </c>
      <c r="AK101" s="3">
        <v>272</v>
      </c>
      <c r="AL101" s="3" t="str">
        <f>IFERROR(MID(VLOOKUP($B101,Seqs!$A:$B,2,0),AM101,1),"")</f>
        <v>G</v>
      </c>
      <c r="AM101" s="3">
        <v>312</v>
      </c>
      <c r="AN101" s="3" t="str">
        <f>IFERROR(MID(VLOOKUP($B101,Seqs!$A:$B,2,0),AO101,1),"")</f>
        <v>P</v>
      </c>
      <c r="AO101" s="3">
        <v>332</v>
      </c>
      <c r="AP101" s="3" t="str">
        <f>IFERROR(MID(VLOOKUP($B101,Seqs!$A:$B,2,0),AQ101,1),"")</f>
        <v>G</v>
      </c>
      <c r="AQ101" s="3">
        <v>369</v>
      </c>
      <c r="AR101" s="3" t="str">
        <f>IFERROR(MID(VLOOKUP($B101,Seqs!$A:$B,2,0),AS101,1),"")</f>
        <v>N</v>
      </c>
      <c r="AS101" s="3">
        <v>372</v>
      </c>
      <c r="AT101" s="3" t="str">
        <f>IFERROR(MID(VLOOKUP($B101,Seqs!$A:$B,2,0),AU101,1),"")</f>
        <v>R</v>
      </c>
      <c r="AU101" s="3">
        <v>400</v>
      </c>
      <c r="AV101" s="3" t="str">
        <f>IFERROR(MID(VLOOKUP($B101,Seqs!$A:$B,2,0),AW101,1),"")</f>
        <v>S</v>
      </c>
      <c r="AW101" s="3">
        <v>401</v>
      </c>
      <c r="AX101" s="3" t="str">
        <f>IFERROR(MID(VLOOKUP($B101,Seqs!$A:$B,2,0),AY101,1),"")</f>
        <v>P</v>
      </c>
      <c r="AY101" s="3">
        <v>413</v>
      </c>
      <c r="AZ101" s="79" t="str">
        <f>VLOOKUP(B101,Classification!A:D,2,0)</f>
        <v>A</v>
      </c>
      <c r="BA101" s="97" t="str">
        <f>VLOOKUP(B101,Classification!A:D,4,0)</f>
        <v>Cannabinoid</v>
      </c>
      <c r="BB101" s="27" t="b">
        <f t="shared" si="363"/>
        <v>1</v>
      </c>
      <c r="BC101" s="23">
        <f t="shared" si="336"/>
        <v>260</v>
      </c>
      <c r="BD101" s="57" t="s">
        <v>1379</v>
      </c>
      <c r="BE101" s="3" t="s">
        <v>23</v>
      </c>
      <c r="BF101" s="124" t="s">
        <v>23</v>
      </c>
      <c r="BG101" s="50" t="s">
        <v>1379</v>
      </c>
      <c r="BH101" s="50" t="s">
        <v>1384</v>
      </c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337"/>
        <v>112</v>
      </c>
      <c r="BW101" s="73">
        <f t="shared" si="338"/>
        <v>145</v>
      </c>
      <c r="BX101" s="74">
        <f t="shared" si="339"/>
        <v>150</v>
      </c>
      <c r="BY101" s="73" t="str">
        <f t="shared" si="340"/>
        <v>-</v>
      </c>
      <c r="BZ101" s="74">
        <f t="shared" si="341"/>
        <v>185</v>
      </c>
      <c r="CA101" s="73">
        <f t="shared" si="342"/>
        <v>221</v>
      </c>
      <c r="CB101" s="74">
        <f t="shared" si="343"/>
        <v>229</v>
      </c>
      <c r="CC101" s="73" t="str">
        <f t="shared" si="344"/>
        <v>-</v>
      </c>
      <c r="CD101" s="74">
        <f t="shared" si="345"/>
        <v>272</v>
      </c>
      <c r="CE101" s="73">
        <f t="shared" si="346"/>
        <v>332</v>
      </c>
      <c r="CF101" s="74">
        <f t="shared" si="347"/>
        <v>372</v>
      </c>
      <c r="CG101" s="73">
        <f t="shared" si="348"/>
        <v>401</v>
      </c>
      <c r="CH101" s="72">
        <f t="shared" si="349"/>
        <v>144</v>
      </c>
      <c r="CI101" s="73">
        <f t="shared" si="350"/>
        <v>148</v>
      </c>
      <c r="CJ101" s="74">
        <f t="shared" si="351"/>
        <v>179</v>
      </c>
      <c r="CK101" s="74" t="str">
        <f t="shared" si="352"/>
        <v>-</v>
      </c>
      <c r="CL101" s="74">
        <f t="shared" si="353"/>
        <v>220</v>
      </c>
      <c r="CM101" s="74">
        <f t="shared" si="354"/>
        <v>228</v>
      </c>
      <c r="CN101" s="74">
        <f t="shared" si="355"/>
        <v>254</v>
      </c>
      <c r="CO101" s="74" t="str">
        <f t="shared" si="356"/>
        <v>-</v>
      </c>
      <c r="CP101" s="74">
        <f t="shared" si="357"/>
        <v>312</v>
      </c>
      <c r="CQ101" s="74">
        <f t="shared" si="358"/>
        <v>369</v>
      </c>
      <c r="CR101" s="74">
        <f t="shared" si="359"/>
        <v>400</v>
      </c>
      <c r="CS101" s="74">
        <f t="shared" si="360"/>
        <v>413</v>
      </c>
      <c r="CT101" s="23">
        <f t="shared" si="361"/>
        <v>2</v>
      </c>
    </row>
    <row r="102" spans="1:1030" s="3" customFormat="1" x14ac:dyDescent="0.2">
      <c r="A102" s="3" t="str">
        <f t="shared" si="362"/>
        <v>cnr1_human_5TGZ</v>
      </c>
      <c r="B102" s="3" t="s">
        <v>182</v>
      </c>
      <c r="C102" s="3" t="s">
        <v>1365</v>
      </c>
      <c r="D102" s="3" t="str">
        <f>IFERROR(MID(VLOOKUP($B102,Seqs!$A:$B,2,0),E102,1),"")</f>
        <v>P</v>
      </c>
      <c r="E102" s="3">
        <v>113</v>
      </c>
      <c r="F102" s="3" t="str">
        <f>IFERROR(MID(VLOOKUP($B102,Seqs!$A:$B,2,0),G102,1),"")</f>
        <v>S</v>
      </c>
      <c r="G102" s="3">
        <v>144</v>
      </c>
      <c r="H102" s="3" t="str">
        <f>IFERROR(MID(VLOOKUP($B102,Seqs!$A:$B,2,0),I102,1),"")</f>
        <v>R</v>
      </c>
      <c r="I102" s="23">
        <v>145</v>
      </c>
      <c r="J102" s="3" t="str">
        <f>IFERROR(MID(VLOOKUP($B102,Seqs!$A:$B,2,0),K102,1),"")</f>
        <v>R</v>
      </c>
      <c r="K102" s="23">
        <v>148</v>
      </c>
      <c r="L102" s="3" t="str">
        <f>IFERROR(MID(VLOOKUP($B102,Seqs!$A:$B,2,0),M102,1),"")</f>
        <v>R</v>
      </c>
      <c r="M102" s="3">
        <v>150</v>
      </c>
      <c r="N102" s="3" t="str">
        <f>IFERROR(MID(VLOOKUP($B102,Seqs!$A:$B,2,0),O102,1),"")</f>
        <v>V</v>
      </c>
      <c r="O102" s="3">
        <v>179</v>
      </c>
      <c r="P102" s="3" t="str">
        <f>IFERROR(MID(VLOOKUP($B102,Seqs!$A:$B,2,0),Q102,1),"")</f>
        <v/>
      </c>
      <c r="Q102" s="3" t="s">
        <v>23</v>
      </c>
      <c r="R102" s="3" t="str">
        <f>IFERROR(MID(VLOOKUP($B102,Seqs!$A:$B,2,0),S102,1),"")</f>
        <v/>
      </c>
      <c r="S102" s="3" t="s">
        <v>23</v>
      </c>
      <c r="T102" s="3" t="str">
        <f>IFERROR(MID(VLOOKUP($B102,Seqs!$A:$B,2,0),U102,1),"")</f>
        <v>S</v>
      </c>
      <c r="U102" s="3">
        <v>185</v>
      </c>
      <c r="V102" s="3" t="str">
        <f>IFERROR(MID(VLOOKUP($B102,Seqs!$A:$B,2,0),W102,1),"")</f>
        <v>R</v>
      </c>
      <c r="W102" s="3">
        <v>220</v>
      </c>
      <c r="X102" s="3" t="str">
        <f>IFERROR(MID(VLOOKUP($B102,Seqs!$A:$B,2,0),Y102,1),"")</f>
        <v>P</v>
      </c>
      <c r="Y102" s="3">
        <v>221</v>
      </c>
      <c r="Z102" s="3" t="str">
        <f>IFERROR(MID(VLOOKUP($B102,Seqs!$A:$B,2,0),AA102,1),"")</f>
        <v>V</v>
      </c>
      <c r="AA102" s="3">
        <v>228</v>
      </c>
      <c r="AB102" s="3" t="str">
        <f>IFERROR(MID(VLOOKUP($B102,Seqs!$A:$B,2,0),AC102,1),"")</f>
        <v>T</v>
      </c>
      <c r="AC102" s="9">
        <v>229</v>
      </c>
      <c r="AD102" s="3" t="str">
        <f>IFERROR(MID(VLOOKUP($B102,Seqs!$A:$B,2,0),AE102,1),"")</f>
        <v>G</v>
      </c>
      <c r="AE102" s="3">
        <v>254</v>
      </c>
      <c r="AF102" s="3" t="str">
        <f>IFERROR(MID(VLOOKUP($B102,Seqs!$A:$B,2,0),AG102,1),"")</f>
        <v/>
      </c>
      <c r="AG102" s="3" t="s">
        <v>23</v>
      </c>
      <c r="AH102" s="3" t="str">
        <f>IFERROR(MID(VLOOKUP($B102,Seqs!$A:$B,2,0),AI102,1),"")</f>
        <v/>
      </c>
      <c r="AI102" s="3" t="s">
        <v>23</v>
      </c>
      <c r="AJ102" s="3" t="str">
        <f>IFERROR(MID(VLOOKUP($B102,Seqs!$A:$B,2,0),AK102,1),"")</f>
        <v>D</v>
      </c>
      <c r="AK102" s="3">
        <v>272</v>
      </c>
      <c r="AL102" s="3" t="str">
        <f>IFERROR(MID(VLOOKUP($B102,Seqs!$A:$B,2,0),AM102,1),"")</f>
        <v>H</v>
      </c>
      <c r="AM102" s="3">
        <v>304</v>
      </c>
      <c r="AN102" s="3" t="str">
        <f>IFERROR(MID(VLOOKUP($B102,Seqs!$A:$B,2,0),AO102,1),"")</f>
        <v>P</v>
      </c>
      <c r="AO102" s="3">
        <v>332</v>
      </c>
      <c r="AP102" s="3" t="str">
        <f>IFERROR(MID(VLOOKUP($B102,Seqs!$A:$B,2,0),AQ102,1),"")</f>
        <v>F</v>
      </c>
      <c r="AQ102" s="3">
        <v>368</v>
      </c>
      <c r="AR102" s="3" t="str">
        <f>IFERROR(MID(VLOOKUP($B102,Seqs!$A:$B,2,0),AS102,1),"")</f>
        <v>N</v>
      </c>
      <c r="AS102" s="3">
        <v>372</v>
      </c>
      <c r="AT102" s="3" t="str">
        <f>IFERROR(MID(VLOOKUP($B102,Seqs!$A:$B,2,0),AU102,1),"")</f>
        <v>R</v>
      </c>
      <c r="AU102" s="3">
        <v>400</v>
      </c>
      <c r="AV102" s="3" t="str">
        <f>IFERROR(MID(VLOOKUP($B102,Seqs!$A:$B,2,0),AW102,1),"")</f>
        <v>S</v>
      </c>
      <c r="AW102" s="3">
        <v>401</v>
      </c>
      <c r="AX102" s="3" t="str">
        <f>IFERROR(MID(VLOOKUP($B102,Seqs!$A:$B,2,0),AY102,1),"")</f>
        <v>M</v>
      </c>
      <c r="AY102" s="3">
        <v>411</v>
      </c>
      <c r="AZ102" s="79" t="str">
        <f>VLOOKUP(B102,Classification!A:D,2,0)</f>
        <v>A</v>
      </c>
      <c r="BA102" s="97" t="str">
        <f>VLOOKUP(B102,Classification!A:D,4,0)</f>
        <v>Cannabinoid</v>
      </c>
      <c r="BB102" s="27" t="b">
        <f t="shared" si="363"/>
        <v>1</v>
      </c>
      <c r="BC102" s="23">
        <f t="shared" si="336"/>
        <v>248</v>
      </c>
      <c r="BD102" s="16" t="s">
        <v>1383</v>
      </c>
      <c r="BE102" s="3" t="s">
        <v>1381</v>
      </c>
      <c r="BF102" s="124">
        <v>2.8</v>
      </c>
      <c r="BG102" s="50" t="s">
        <v>1384</v>
      </c>
      <c r="BH102" s="50" t="s">
        <v>1384</v>
      </c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337"/>
        <v>113</v>
      </c>
      <c r="BW102" s="73">
        <f t="shared" si="338"/>
        <v>145</v>
      </c>
      <c r="BX102" s="74">
        <f t="shared" si="339"/>
        <v>150</v>
      </c>
      <c r="BY102" s="73" t="str">
        <f t="shared" si="340"/>
        <v>-</v>
      </c>
      <c r="BZ102" s="74">
        <f t="shared" si="341"/>
        <v>185</v>
      </c>
      <c r="CA102" s="73">
        <f t="shared" si="342"/>
        <v>221</v>
      </c>
      <c r="CB102" s="74">
        <f t="shared" si="343"/>
        <v>229</v>
      </c>
      <c r="CC102" s="73" t="str">
        <f t="shared" si="344"/>
        <v>-</v>
      </c>
      <c r="CD102" s="74">
        <f t="shared" si="345"/>
        <v>272</v>
      </c>
      <c r="CE102" s="73">
        <f t="shared" si="346"/>
        <v>332</v>
      </c>
      <c r="CF102" s="74">
        <f t="shared" si="347"/>
        <v>372</v>
      </c>
      <c r="CG102" s="73">
        <f t="shared" si="348"/>
        <v>401</v>
      </c>
      <c r="CH102" s="72">
        <f t="shared" si="349"/>
        <v>144</v>
      </c>
      <c r="CI102" s="73">
        <f t="shared" si="350"/>
        <v>148</v>
      </c>
      <c r="CJ102" s="74">
        <f t="shared" si="351"/>
        <v>179</v>
      </c>
      <c r="CK102" s="74" t="str">
        <f t="shared" si="352"/>
        <v>-</v>
      </c>
      <c r="CL102" s="74">
        <f t="shared" si="353"/>
        <v>220</v>
      </c>
      <c r="CM102" s="74">
        <f t="shared" si="354"/>
        <v>228</v>
      </c>
      <c r="CN102" s="74">
        <f t="shared" si="355"/>
        <v>254</v>
      </c>
      <c r="CO102" s="74" t="str">
        <f t="shared" si="356"/>
        <v>-</v>
      </c>
      <c r="CP102" s="74">
        <f t="shared" si="357"/>
        <v>304</v>
      </c>
      <c r="CQ102" s="74">
        <f t="shared" si="358"/>
        <v>368</v>
      </c>
      <c r="CR102" s="74">
        <f t="shared" si="359"/>
        <v>400</v>
      </c>
      <c r="CS102" s="74">
        <f t="shared" si="360"/>
        <v>411</v>
      </c>
      <c r="CT102" s="23">
        <f t="shared" si="361"/>
        <v>2</v>
      </c>
      <c r="AMP102" s="1"/>
    </row>
    <row r="103" spans="1:1030" x14ac:dyDescent="0.2">
      <c r="A103" s="3" t="str">
        <f t="shared" si="362"/>
        <v>cnr1_human_5U09</v>
      </c>
      <c r="B103" s="3" t="s">
        <v>182</v>
      </c>
      <c r="C103" s="3" t="s">
        <v>1371</v>
      </c>
      <c r="D103" s="3" t="str">
        <f>IFERROR(MID(VLOOKUP($B103,Seqs!$A:$B,2,0),E103,1),"")</f>
        <v>N</v>
      </c>
      <c r="E103" s="3">
        <v>112</v>
      </c>
      <c r="F103" s="3" t="str">
        <f>IFERROR(MID(VLOOKUP($B103,Seqs!$A:$B,2,0),G103,1),"")</f>
        <v>S</v>
      </c>
      <c r="G103" s="3">
        <v>144</v>
      </c>
      <c r="H103" s="3" t="str">
        <f>IFERROR(MID(VLOOKUP($B103,Seqs!$A:$B,2,0),I103,1),"")</f>
        <v>R</v>
      </c>
      <c r="I103" s="23">
        <v>145</v>
      </c>
      <c r="J103" s="3" t="str">
        <f>IFERROR(MID(VLOOKUP($B103,Seqs!$A:$B,2,0),K103,1),"")</f>
        <v>R</v>
      </c>
      <c r="K103" s="23">
        <v>148</v>
      </c>
      <c r="L103" s="3" t="str">
        <f>IFERROR(MID(VLOOKUP($B103,Seqs!$A:$B,2,0),M103,1),"")</f>
        <v>R</v>
      </c>
      <c r="M103" s="3">
        <v>150</v>
      </c>
      <c r="N103" s="3" t="str">
        <f>IFERROR(MID(VLOOKUP($B103,Seqs!$A:$B,2,0),O103,1),"")</f>
        <v>V</v>
      </c>
      <c r="O103" s="3">
        <v>179</v>
      </c>
      <c r="P103" s="3" t="str">
        <f>IFERROR(MID(VLOOKUP($B103,Seqs!$A:$B,2,0),Q103,1),"")</f>
        <v/>
      </c>
      <c r="Q103" s="3" t="s">
        <v>23</v>
      </c>
      <c r="R103" s="3" t="str">
        <f>IFERROR(MID(VLOOKUP($B103,Seqs!$A:$B,2,0),S103,1),"")</f>
        <v/>
      </c>
      <c r="S103" s="3" t="s">
        <v>23</v>
      </c>
      <c r="T103" s="3" t="str">
        <f>IFERROR(MID(VLOOKUP($B103,Seqs!$A:$B,2,0),U103,1),"")</f>
        <v>S</v>
      </c>
      <c r="U103" s="3">
        <v>185</v>
      </c>
      <c r="V103" s="3" t="str">
        <f>IFERROR(MID(VLOOKUP($B103,Seqs!$A:$B,2,0),W103,1),"")</f>
        <v>R</v>
      </c>
      <c r="W103" s="3">
        <v>220</v>
      </c>
      <c r="X103" s="3" t="str">
        <f>IFERROR(MID(VLOOKUP($B103,Seqs!$A:$B,2,0),Y103,1),"")</f>
        <v>P</v>
      </c>
      <c r="Y103" s="3">
        <v>221</v>
      </c>
      <c r="Z103" s="3" t="str">
        <f>IFERROR(MID(VLOOKUP($B103,Seqs!$A:$B,2,0),AA103,1),"")</f>
        <v>V</v>
      </c>
      <c r="AA103" s="3">
        <v>228</v>
      </c>
      <c r="AB103" s="3" t="str">
        <f>IFERROR(MID(VLOOKUP($B103,Seqs!$A:$B,2,0),AC103,1),"")</f>
        <v>T</v>
      </c>
      <c r="AC103" s="9">
        <v>229</v>
      </c>
      <c r="AD103" s="3" t="str">
        <f>IFERROR(MID(VLOOKUP($B103,Seqs!$A:$B,2,0),AE103,1),"")</f>
        <v>G</v>
      </c>
      <c r="AE103" s="3">
        <v>254</v>
      </c>
      <c r="AF103" s="3" t="str">
        <f>IFERROR(MID(VLOOKUP($B103,Seqs!$A:$B,2,0),AG103,1),"")</f>
        <v/>
      </c>
      <c r="AG103" s="3" t="s">
        <v>23</v>
      </c>
      <c r="AH103" s="3" t="str">
        <f>IFERROR(MID(VLOOKUP($B103,Seqs!$A:$B,2,0),AI103,1),"")</f>
        <v/>
      </c>
      <c r="AI103" s="3" t="s">
        <v>23</v>
      </c>
      <c r="AJ103" s="3" t="str">
        <f>IFERROR(MID(VLOOKUP($B103,Seqs!$A:$B,2,0),AK103,1),"")</f>
        <v>D</v>
      </c>
      <c r="AK103" s="3">
        <v>272</v>
      </c>
      <c r="AL103" s="3" t="str">
        <f>IFERROR(MID(VLOOKUP($B103,Seqs!$A:$B,2,0),AM103,1),"")</f>
        <v>A</v>
      </c>
      <c r="AM103" s="3">
        <v>301</v>
      </c>
      <c r="AN103" s="3" t="str">
        <f>IFERROR(MID(VLOOKUP($B103,Seqs!$A:$B,2,0),AO103,1),"")</f>
        <v>D</v>
      </c>
      <c r="AO103" s="3">
        <v>333</v>
      </c>
      <c r="AP103" s="3" t="str">
        <f>IFERROR(MID(VLOOKUP($B103,Seqs!$A:$B,2,0),AQ103,1),"")</f>
        <v>F</v>
      </c>
      <c r="AQ103" s="3">
        <v>368</v>
      </c>
      <c r="AR103" s="3" t="str">
        <f>IFERROR(MID(VLOOKUP($B103,Seqs!$A:$B,2,0),AS103,1),"")</f>
        <v>L</v>
      </c>
      <c r="AS103" s="3">
        <v>374</v>
      </c>
      <c r="AT103" s="3" t="str">
        <f>IFERROR(MID(VLOOKUP($B103,Seqs!$A:$B,2,0),AU103,1),"")</f>
        <v>R</v>
      </c>
      <c r="AU103" s="3">
        <v>400</v>
      </c>
      <c r="AV103" s="3" t="str">
        <f>IFERROR(MID(VLOOKUP($B103,Seqs!$A:$B,2,0),AW103,1),"")</f>
        <v>S</v>
      </c>
      <c r="AW103" s="3">
        <v>401</v>
      </c>
      <c r="AX103" s="3" t="str">
        <f>IFERROR(MID(VLOOKUP($B103,Seqs!$A:$B,2,0),AY103,1),"")</f>
        <v>M</v>
      </c>
      <c r="AY103" s="3">
        <v>411</v>
      </c>
      <c r="AZ103" s="79" t="str">
        <f>VLOOKUP(B103,Classification!A:D,2,0)</f>
        <v>A</v>
      </c>
      <c r="BA103" s="97" t="str">
        <f>VLOOKUP(B103,Classification!A:D,4,0)</f>
        <v>Cannabinoid</v>
      </c>
      <c r="BB103" s="27" t="b">
        <f t="shared" si="363"/>
        <v>1</v>
      </c>
      <c r="BC103" s="23">
        <f t="shared" si="336"/>
        <v>243</v>
      </c>
      <c r="BD103" s="2" t="s">
        <v>23</v>
      </c>
      <c r="BE103" s="3" t="s">
        <v>1381</v>
      </c>
      <c r="BF103" s="124">
        <v>2.6</v>
      </c>
      <c r="BG103" s="50" t="s">
        <v>1384</v>
      </c>
      <c r="BH103" s="50" t="s">
        <v>1384</v>
      </c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337"/>
        <v>112</v>
      </c>
      <c r="BW103" s="73">
        <f t="shared" si="338"/>
        <v>145</v>
      </c>
      <c r="BX103" s="74">
        <f t="shared" si="339"/>
        <v>150</v>
      </c>
      <c r="BY103" s="73" t="str">
        <f t="shared" si="340"/>
        <v>-</v>
      </c>
      <c r="BZ103" s="74">
        <f t="shared" si="341"/>
        <v>185</v>
      </c>
      <c r="CA103" s="73">
        <f t="shared" si="342"/>
        <v>221</v>
      </c>
      <c r="CB103" s="74">
        <f t="shared" si="343"/>
        <v>229</v>
      </c>
      <c r="CC103" s="73" t="str">
        <f t="shared" si="344"/>
        <v>-</v>
      </c>
      <c r="CD103" s="74">
        <f t="shared" si="345"/>
        <v>272</v>
      </c>
      <c r="CE103" s="73">
        <f t="shared" si="346"/>
        <v>333</v>
      </c>
      <c r="CF103" s="74">
        <f t="shared" si="347"/>
        <v>374</v>
      </c>
      <c r="CG103" s="73">
        <f t="shared" si="348"/>
        <v>401</v>
      </c>
      <c r="CH103" s="72">
        <f t="shared" si="349"/>
        <v>144</v>
      </c>
      <c r="CI103" s="73">
        <f t="shared" si="350"/>
        <v>148</v>
      </c>
      <c r="CJ103" s="74">
        <f t="shared" si="351"/>
        <v>179</v>
      </c>
      <c r="CK103" s="74" t="str">
        <f t="shared" si="352"/>
        <v>-</v>
      </c>
      <c r="CL103" s="74">
        <f t="shared" si="353"/>
        <v>220</v>
      </c>
      <c r="CM103" s="74">
        <f t="shared" si="354"/>
        <v>228</v>
      </c>
      <c r="CN103" s="74">
        <f t="shared" si="355"/>
        <v>254</v>
      </c>
      <c r="CO103" s="74" t="str">
        <f t="shared" si="356"/>
        <v>-</v>
      </c>
      <c r="CP103" s="74">
        <f t="shared" si="357"/>
        <v>301</v>
      </c>
      <c r="CQ103" s="74">
        <f t="shared" si="358"/>
        <v>368</v>
      </c>
      <c r="CR103" s="74">
        <f t="shared" si="359"/>
        <v>400</v>
      </c>
      <c r="CS103" s="74">
        <f t="shared" si="360"/>
        <v>411</v>
      </c>
      <c r="CT103" s="23">
        <f t="shared" si="361"/>
        <v>2</v>
      </c>
    </row>
    <row r="104" spans="1:1030" s="12" customFormat="1" x14ac:dyDescent="0.2">
      <c r="A104" s="9" t="str">
        <f t="shared" ref="A104" si="559">CONCATENATE(B104,"_",C104)</f>
        <v>cnr1_human_5XR8</v>
      </c>
      <c r="B104" s="9" t="s">
        <v>182</v>
      </c>
      <c r="C104" s="9" t="s">
        <v>1435</v>
      </c>
      <c r="D104" s="9" t="str">
        <f>IFERROR(MID(VLOOKUP($B104,Seqs!$A:$B,2,0),E104,1),"")</f>
        <v>N</v>
      </c>
      <c r="E104" s="9">
        <v>112</v>
      </c>
      <c r="F104" s="9" t="str">
        <f>IFERROR(MID(VLOOKUP($B104,Seqs!$A:$B,2,0),G104,1),"")</f>
        <v>S</v>
      </c>
      <c r="G104" s="9">
        <v>146</v>
      </c>
      <c r="H104" s="9" t="str">
        <f>IFERROR(MID(VLOOKUP($B104,Seqs!$A:$B,2,0),I104,1),"")</f>
        <v/>
      </c>
      <c r="I104" s="112" t="s">
        <v>23</v>
      </c>
      <c r="J104" s="9" t="str">
        <f>IFERROR(MID(VLOOKUP($B104,Seqs!$A:$B,2,0),K104,1),"")</f>
        <v/>
      </c>
      <c r="K104" s="112" t="s">
        <v>23</v>
      </c>
      <c r="L104" s="9" t="str">
        <f>IFERROR(MID(VLOOKUP($B104,Seqs!$A:$B,2,0),M104,1),"")</f>
        <v>Y</v>
      </c>
      <c r="M104" s="9">
        <v>153</v>
      </c>
      <c r="N104" s="9" t="str">
        <f>IFERROR(MID(VLOOKUP($B104,Seqs!$A:$B,2,0),O104,1),"")</f>
        <v>F</v>
      </c>
      <c r="O104" s="9">
        <v>180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S</v>
      </c>
      <c r="U104" s="9">
        <v>185</v>
      </c>
      <c r="V104" s="9" t="str">
        <f>IFERROR(MID(VLOOKUP($B104,Seqs!$A:$B,2,0),W104,1),"")</f>
        <v>R</v>
      </c>
      <c r="W104" s="9">
        <v>220</v>
      </c>
      <c r="X104" s="9" t="str">
        <f>IFERROR(MID(VLOOKUP($B104,Seqs!$A:$B,2,0),Y104,1),"")</f>
        <v>P</v>
      </c>
      <c r="Y104" s="9">
        <v>221</v>
      </c>
      <c r="Z104" s="9" t="str">
        <f>IFERROR(MID(VLOOKUP($B104,Seqs!$A:$B,2,0),AA104,1),"")</f>
        <v>V</v>
      </c>
      <c r="AA104" s="9">
        <v>228</v>
      </c>
      <c r="AB104" s="9" t="str">
        <f>IFERROR(MID(VLOOKUP($B104,Seqs!$A:$B,2,0),AC104,1),"")</f>
        <v>T</v>
      </c>
      <c r="AC104" s="9">
        <v>229</v>
      </c>
      <c r="AD104" s="9" t="str">
        <f>IFERROR(MID(VLOOKUP($B104,Seqs!$A:$B,2,0),AE104,1),"")</f>
        <v>G</v>
      </c>
      <c r="AE104" s="9">
        <v>254</v>
      </c>
      <c r="AF104" s="9" t="str">
        <f>IFERROR(MID(VLOOKUP($B104,Seqs!$A:$B,2,0),AG104,1),"")</f>
        <v/>
      </c>
      <c r="AG104" s="9" t="s">
        <v>23</v>
      </c>
      <c r="AH104" s="9" t="str">
        <f>IFERROR(MID(VLOOKUP($B104,Seqs!$A:$B,2,0),AI104,1),"")</f>
        <v/>
      </c>
      <c r="AI104" s="9" t="s">
        <v>23</v>
      </c>
      <c r="AJ104" s="9" t="str">
        <f>IFERROR(MID(VLOOKUP($B104,Seqs!$A:$B,2,0),AK104,1),"")</f>
        <v>D</v>
      </c>
      <c r="AK104" s="9">
        <v>272</v>
      </c>
      <c r="AL104" s="9" t="str">
        <f>IFERROR(MID(VLOOKUP($B104,Seqs!$A:$B,2,0),AM104,1),"")</f>
        <v>S</v>
      </c>
      <c r="AM104" s="9">
        <v>303</v>
      </c>
      <c r="AN104" s="9" t="str">
        <f>IFERROR(MID(VLOOKUP($B104,Seqs!$A:$B,2,0),AO104,1),"")</f>
        <v>D</v>
      </c>
      <c r="AO104" s="9">
        <v>338</v>
      </c>
      <c r="AP104" s="9" t="str">
        <f>IFERROR(MID(VLOOKUP($B104,Seqs!$A:$B,2,0),AQ104,1),"")</f>
        <v>F</v>
      </c>
      <c r="AQ104" s="9">
        <v>368</v>
      </c>
      <c r="AR104" s="9" t="str">
        <f>IFERROR(MID(VLOOKUP($B104,Seqs!$A:$B,2,0),AS104,1),"")</f>
        <v>N</v>
      </c>
      <c r="AS104" s="9">
        <v>372</v>
      </c>
      <c r="AT104" s="9" t="str">
        <f>IFERROR(MID(VLOOKUP($B104,Seqs!$A:$B,2,0),AU104,1),"")</f>
        <v>Y</v>
      </c>
      <c r="AU104" s="9">
        <v>397</v>
      </c>
      <c r="AV104" s="9" t="str">
        <f>IFERROR(MID(VLOOKUP($B104,Seqs!$A:$B,2,0),AW104,1),"")</f>
        <v>S</v>
      </c>
      <c r="AW104" s="9">
        <v>401</v>
      </c>
      <c r="AX104" s="9" t="str">
        <f>IFERROR(MID(VLOOKUP($B104,Seqs!$A:$B,2,0),AY104,1),"")</f>
        <v>F</v>
      </c>
      <c r="AY104" s="9">
        <v>412</v>
      </c>
      <c r="AZ104" s="113" t="str">
        <f>VLOOKUP(B104,Classification!A:D,2,0)</f>
        <v>A</v>
      </c>
      <c r="BA104" s="101" t="str">
        <f>VLOOKUP(B104,Classification!A:D,4,0)</f>
        <v>Cannabinoid</v>
      </c>
      <c r="BB104" s="37" t="b">
        <f t="shared" ref="BB104" si="560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12">
        <f t="shared" ref="BC104" si="561">_xlfn.AGGREGATE(9,6,CH104:CS104)-_xlfn.AGGREGATE(9,6,BV104:CG104)+12</f>
        <v>237</v>
      </c>
      <c r="BD104" s="41" t="s">
        <v>23</v>
      </c>
      <c r="BE104" s="9" t="s">
        <v>1297</v>
      </c>
      <c r="BF104" s="125">
        <v>2.95</v>
      </c>
      <c r="BG104" s="52" t="s">
        <v>1</v>
      </c>
      <c r="BH104" s="52" t="s">
        <v>1</v>
      </c>
      <c r="BI104" s="9"/>
      <c r="BJ104" s="114" t="s">
        <v>1293</v>
      </c>
      <c r="BK104" s="115" t="s">
        <v>1293</v>
      </c>
      <c r="BL104" s="115" t="s">
        <v>1293</v>
      </c>
      <c r="BM104" s="115" t="s">
        <v>1293</v>
      </c>
      <c r="BN104" s="115" t="s">
        <v>1293</v>
      </c>
      <c r="BO104" s="115" t="s">
        <v>1293</v>
      </c>
      <c r="BP104" s="115" t="s">
        <v>1293</v>
      </c>
      <c r="BQ104" s="115" t="s">
        <v>1293</v>
      </c>
      <c r="BR104" s="115" t="s">
        <v>1293</v>
      </c>
      <c r="BS104" s="115" t="s">
        <v>1293</v>
      </c>
      <c r="BT104" s="115" t="s">
        <v>1293</v>
      </c>
      <c r="BU104" s="115" t="s">
        <v>1293</v>
      </c>
      <c r="BV104" s="114">
        <f t="shared" ref="BV104" si="562">E104</f>
        <v>112</v>
      </c>
      <c r="BW104" s="116" t="str">
        <f t="shared" ref="BW104" si="563">I104</f>
        <v>-</v>
      </c>
      <c r="BX104" s="117">
        <f t="shared" ref="BX104" si="564">M104</f>
        <v>153</v>
      </c>
      <c r="BY104" s="116" t="str">
        <f t="shared" ref="BY104" si="565">Q104</f>
        <v>-</v>
      </c>
      <c r="BZ104" s="117">
        <f t="shared" ref="BZ104" si="566">U104</f>
        <v>185</v>
      </c>
      <c r="CA104" s="116">
        <f t="shared" ref="CA104" si="567">Y104</f>
        <v>221</v>
      </c>
      <c r="CB104" s="117">
        <f t="shared" ref="CB104" si="568">AC104</f>
        <v>229</v>
      </c>
      <c r="CC104" s="116" t="str">
        <f t="shared" ref="CC104" si="569">AG104</f>
        <v>-</v>
      </c>
      <c r="CD104" s="117">
        <f t="shared" ref="CD104" si="570">AK104</f>
        <v>272</v>
      </c>
      <c r="CE104" s="116">
        <f t="shared" ref="CE104" si="571">AO104</f>
        <v>338</v>
      </c>
      <c r="CF104" s="117">
        <f t="shared" ref="CF104" si="572">AS104</f>
        <v>372</v>
      </c>
      <c r="CG104" s="116">
        <f t="shared" ref="CG104" si="573">AW104</f>
        <v>401</v>
      </c>
      <c r="CH104" s="114">
        <f t="shared" ref="CH104" si="574">G104</f>
        <v>146</v>
      </c>
      <c r="CI104" s="116" t="str">
        <f t="shared" ref="CI104" si="575">K104</f>
        <v>-</v>
      </c>
      <c r="CJ104" s="117">
        <f t="shared" ref="CJ104" si="576">O104</f>
        <v>180</v>
      </c>
      <c r="CK104" s="117" t="str">
        <f t="shared" ref="CK104" si="577">S104</f>
        <v>-</v>
      </c>
      <c r="CL104" s="117">
        <f t="shared" ref="CL104" si="578">W104</f>
        <v>220</v>
      </c>
      <c r="CM104" s="117">
        <f t="shared" ref="CM104" si="579">AA104</f>
        <v>228</v>
      </c>
      <c r="CN104" s="117">
        <f t="shared" ref="CN104" si="580">AE104</f>
        <v>254</v>
      </c>
      <c r="CO104" s="117" t="str">
        <f t="shared" ref="CO104" si="581">AI104</f>
        <v>-</v>
      </c>
      <c r="CP104" s="117">
        <f t="shared" ref="CP104" si="582">AM104</f>
        <v>303</v>
      </c>
      <c r="CQ104" s="117">
        <f t="shared" ref="CQ104" si="583">AQ104</f>
        <v>368</v>
      </c>
      <c r="CR104" s="117">
        <f t="shared" ref="CR104" si="584">AU104</f>
        <v>397</v>
      </c>
      <c r="CS104" s="117">
        <f t="shared" ref="CS104" si="585">AY104</f>
        <v>412</v>
      </c>
      <c r="CT104" s="112" t="e">
        <f t="shared" ref="CT104" si="586">M104-K104</f>
        <v>#VALUE!</v>
      </c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</row>
    <row r="105" spans="1:1030" s="12" customFormat="1" x14ac:dyDescent="0.2">
      <c r="A105" s="9" t="str">
        <f t="shared" ref="A105" si="587">CONCATENATE(B105,"_",C105)</f>
        <v>cnr1_human_5XRA</v>
      </c>
      <c r="B105" s="9" t="s">
        <v>182</v>
      </c>
      <c r="C105" s="9" t="s">
        <v>1436</v>
      </c>
      <c r="D105" s="9" t="str">
        <f>IFERROR(MID(VLOOKUP($B105,Seqs!$A:$B,2,0),E105,1),"")</f>
        <v>N</v>
      </c>
      <c r="E105" s="9">
        <v>112</v>
      </c>
      <c r="F105" s="9" t="str">
        <f>IFERROR(MID(VLOOKUP($B105,Seqs!$A:$B,2,0),G105,1),"")</f>
        <v>S</v>
      </c>
      <c r="G105" s="9">
        <v>146</v>
      </c>
      <c r="H105" s="9" t="str">
        <f>IFERROR(MID(VLOOKUP($B105,Seqs!$A:$B,2,0),I105,1),"")</f>
        <v/>
      </c>
      <c r="I105" s="112" t="s">
        <v>23</v>
      </c>
      <c r="J105" s="9" t="str">
        <f>IFERROR(MID(VLOOKUP($B105,Seqs!$A:$B,2,0),K105,1),"")</f>
        <v/>
      </c>
      <c r="K105" s="112" t="s">
        <v>23</v>
      </c>
      <c r="L105" s="9" t="str">
        <f>IFERROR(MID(VLOOKUP($B105,Seqs!$A:$B,2,0),M105,1),"")</f>
        <v>Y</v>
      </c>
      <c r="M105" s="9">
        <v>153</v>
      </c>
      <c r="N105" s="9" t="str">
        <f>IFERROR(MID(VLOOKUP($B105,Seqs!$A:$B,2,0),O105,1),"")</f>
        <v>F</v>
      </c>
      <c r="O105" s="9">
        <v>180</v>
      </c>
      <c r="P105" s="9" t="str">
        <f>IFERROR(MID(VLOOKUP($B105,Seqs!$A:$B,2,0),Q105,1),"")</f>
        <v/>
      </c>
      <c r="Q105" s="9" t="s">
        <v>23</v>
      </c>
      <c r="R105" s="9" t="str">
        <f>IFERROR(MID(VLOOKUP($B105,Seqs!$A:$B,2,0),S105,1),"")</f>
        <v/>
      </c>
      <c r="S105" s="9" t="s">
        <v>23</v>
      </c>
      <c r="T105" s="9" t="str">
        <f>IFERROR(MID(VLOOKUP($B105,Seqs!$A:$B,2,0),U105,1),"")</f>
        <v>S</v>
      </c>
      <c r="U105" s="9">
        <v>185</v>
      </c>
      <c r="V105" s="9" t="str">
        <f>IFERROR(MID(VLOOKUP($B105,Seqs!$A:$B,2,0),W105,1),"")</f>
        <v>R</v>
      </c>
      <c r="W105" s="9">
        <v>220</v>
      </c>
      <c r="X105" s="9" t="str">
        <f>IFERROR(MID(VLOOKUP($B105,Seqs!$A:$B,2,0),Y105,1),"")</f>
        <v>P</v>
      </c>
      <c r="Y105" s="9">
        <v>221</v>
      </c>
      <c r="Z105" s="9" t="str">
        <f>IFERROR(MID(VLOOKUP($B105,Seqs!$A:$B,2,0),AA105,1),"")</f>
        <v>V</v>
      </c>
      <c r="AA105" s="9">
        <v>228</v>
      </c>
      <c r="AB105" s="9" t="str">
        <f>IFERROR(MID(VLOOKUP($B105,Seqs!$A:$B,2,0),AC105,1),"")</f>
        <v>T</v>
      </c>
      <c r="AC105" s="9">
        <v>229</v>
      </c>
      <c r="AD105" s="9" t="str">
        <f>IFERROR(MID(VLOOKUP($B105,Seqs!$A:$B,2,0),AE105,1),"")</f>
        <v>G</v>
      </c>
      <c r="AE105" s="9">
        <v>254</v>
      </c>
      <c r="AF105" s="9" t="str">
        <f>IFERROR(MID(VLOOKUP($B105,Seqs!$A:$B,2,0),AG105,1),"")</f>
        <v/>
      </c>
      <c r="AG105" s="9" t="s">
        <v>23</v>
      </c>
      <c r="AH105" s="9" t="str">
        <f>IFERROR(MID(VLOOKUP($B105,Seqs!$A:$B,2,0),AI105,1),"")</f>
        <v/>
      </c>
      <c r="AI105" s="9" t="s">
        <v>23</v>
      </c>
      <c r="AJ105" s="9" t="str">
        <f>IFERROR(MID(VLOOKUP($B105,Seqs!$A:$B,2,0),AK105,1),"")</f>
        <v>D</v>
      </c>
      <c r="AK105" s="9">
        <v>272</v>
      </c>
      <c r="AL105" s="9" t="str">
        <f>IFERROR(MID(VLOOKUP($B105,Seqs!$A:$B,2,0),AM105,1),"")</f>
        <v>A</v>
      </c>
      <c r="AM105" s="9">
        <v>305</v>
      </c>
      <c r="AN105" s="9" t="str">
        <f>IFERROR(MID(VLOOKUP($B105,Seqs!$A:$B,2,0),AO105,1),"")</f>
        <v>D</v>
      </c>
      <c r="AO105" s="9">
        <v>338</v>
      </c>
      <c r="AP105" s="9" t="str">
        <f>IFERROR(MID(VLOOKUP($B105,Seqs!$A:$B,2,0),AQ105,1),"")</f>
        <v>G</v>
      </c>
      <c r="AQ105" s="9">
        <v>369</v>
      </c>
      <c r="AR105" s="9" t="str">
        <f>IFERROR(MID(VLOOKUP($B105,Seqs!$A:$B,2,0),AS105,1),"")</f>
        <v>N</v>
      </c>
      <c r="AS105" s="9">
        <v>372</v>
      </c>
      <c r="AT105" s="9" t="str">
        <f>IFERROR(MID(VLOOKUP($B105,Seqs!$A:$B,2,0),AU105,1),"")</f>
        <v>Y</v>
      </c>
      <c r="AU105" s="9">
        <v>397</v>
      </c>
      <c r="AV105" s="9" t="str">
        <f>IFERROR(MID(VLOOKUP($B105,Seqs!$A:$B,2,0),AW105,1),"")</f>
        <v>S</v>
      </c>
      <c r="AW105" s="9">
        <v>401</v>
      </c>
      <c r="AX105" s="9" t="str">
        <f>IFERROR(MID(VLOOKUP($B105,Seqs!$A:$B,2,0),AY105,1),"")</f>
        <v>F</v>
      </c>
      <c r="AY105" s="9">
        <v>412</v>
      </c>
      <c r="AZ105" s="113" t="str">
        <f>VLOOKUP(B105,Classification!A:D,2,0)</f>
        <v>A</v>
      </c>
      <c r="BA105" s="101" t="str">
        <f>VLOOKUP(B105,Classification!A:D,4,0)</f>
        <v>Cannabinoid</v>
      </c>
      <c r="BB105" s="37" t="b">
        <f t="shared" ref="BB105" si="588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12">
        <f t="shared" ref="BC105" si="589">_xlfn.AGGREGATE(9,6,CH105:CS105)-_xlfn.AGGREGATE(9,6,BV105:CG105)+12</f>
        <v>240</v>
      </c>
      <c r="BD105" s="41" t="s">
        <v>1382</v>
      </c>
      <c r="BE105" s="9" t="s">
        <v>1297</v>
      </c>
      <c r="BF105" s="125">
        <v>2.8</v>
      </c>
      <c r="BG105" s="52" t="s">
        <v>1</v>
      </c>
      <c r="BH105" s="52" t="s">
        <v>1</v>
      </c>
      <c r="BI105" s="9"/>
      <c r="BJ105" s="114" t="s">
        <v>1293</v>
      </c>
      <c r="BK105" s="115" t="s">
        <v>1293</v>
      </c>
      <c r="BL105" s="115" t="s">
        <v>1293</v>
      </c>
      <c r="BM105" s="115" t="s">
        <v>1293</v>
      </c>
      <c r="BN105" s="115" t="s">
        <v>1293</v>
      </c>
      <c r="BO105" s="115" t="s">
        <v>1293</v>
      </c>
      <c r="BP105" s="115" t="s">
        <v>1293</v>
      </c>
      <c r="BQ105" s="115" t="s">
        <v>1293</v>
      </c>
      <c r="BR105" s="115" t="s">
        <v>1293</v>
      </c>
      <c r="BS105" s="115" t="s">
        <v>1293</v>
      </c>
      <c r="BT105" s="115" t="s">
        <v>1293</v>
      </c>
      <c r="BU105" s="115" t="s">
        <v>1293</v>
      </c>
      <c r="BV105" s="114">
        <f t="shared" ref="BV105" si="590">E105</f>
        <v>112</v>
      </c>
      <c r="BW105" s="116" t="str">
        <f t="shared" ref="BW105" si="591">I105</f>
        <v>-</v>
      </c>
      <c r="BX105" s="117">
        <f t="shared" ref="BX105" si="592">M105</f>
        <v>153</v>
      </c>
      <c r="BY105" s="116" t="str">
        <f t="shared" ref="BY105" si="593">Q105</f>
        <v>-</v>
      </c>
      <c r="BZ105" s="117">
        <f t="shared" ref="BZ105" si="594">U105</f>
        <v>185</v>
      </c>
      <c r="CA105" s="116">
        <f t="shared" ref="CA105" si="595">Y105</f>
        <v>221</v>
      </c>
      <c r="CB105" s="117">
        <f t="shared" ref="CB105" si="596">AC105</f>
        <v>229</v>
      </c>
      <c r="CC105" s="116" t="str">
        <f t="shared" ref="CC105" si="597">AG105</f>
        <v>-</v>
      </c>
      <c r="CD105" s="117">
        <f t="shared" ref="CD105" si="598">AK105</f>
        <v>272</v>
      </c>
      <c r="CE105" s="116">
        <f t="shared" ref="CE105" si="599">AO105</f>
        <v>338</v>
      </c>
      <c r="CF105" s="117">
        <f t="shared" ref="CF105" si="600">AS105</f>
        <v>372</v>
      </c>
      <c r="CG105" s="116">
        <f t="shared" ref="CG105" si="601">AW105</f>
        <v>401</v>
      </c>
      <c r="CH105" s="114">
        <f t="shared" ref="CH105" si="602">G105</f>
        <v>146</v>
      </c>
      <c r="CI105" s="116" t="str">
        <f t="shared" ref="CI105" si="603">K105</f>
        <v>-</v>
      </c>
      <c r="CJ105" s="117">
        <f t="shared" ref="CJ105" si="604">O105</f>
        <v>180</v>
      </c>
      <c r="CK105" s="117" t="str">
        <f t="shared" ref="CK105" si="605">S105</f>
        <v>-</v>
      </c>
      <c r="CL105" s="117">
        <f t="shared" ref="CL105" si="606">W105</f>
        <v>220</v>
      </c>
      <c r="CM105" s="117">
        <f t="shared" ref="CM105" si="607">AA105</f>
        <v>228</v>
      </c>
      <c r="CN105" s="117">
        <f t="shared" ref="CN105" si="608">AE105</f>
        <v>254</v>
      </c>
      <c r="CO105" s="117" t="str">
        <f t="shared" ref="CO105" si="609">AI105</f>
        <v>-</v>
      </c>
      <c r="CP105" s="117">
        <f t="shared" ref="CP105" si="610">AM105</f>
        <v>305</v>
      </c>
      <c r="CQ105" s="117">
        <f t="shared" ref="CQ105" si="611">AQ105</f>
        <v>369</v>
      </c>
      <c r="CR105" s="117">
        <f t="shared" ref="CR105" si="612">AU105</f>
        <v>397</v>
      </c>
      <c r="CS105" s="117">
        <f t="shared" ref="CS105" si="613">AY105</f>
        <v>412</v>
      </c>
      <c r="CT105" s="112" t="e">
        <f t="shared" ref="CT105" si="614">M105-K105</f>
        <v>#VALUE!</v>
      </c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</row>
    <row r="106" spans="1:1030" x14ac:dyDescent="0.2">
      <c r="A106" s="3" t="str">
        <f t="shared" si="362"/>
        <v>cxcr4_human__wt</v>
      </c>
      <c r="B106" s="3" t="s">
        <v>1172</v>
      </c>
      <c r="C106" s="3" t="s">
        <v>100</v>
      </c>
      <c r="D106" s="3" t="str">
        <f>IFERROR(MID(VLOOKUP($B106,Seqs!$A:$B,2,0),E106,1),"")</f>
        <v>R</v>
      </c>
      <c r="E106" s="3">
        <v>30</v>
      </c>
      <c r="F106" s="3" t="str">
        <f>IFERROR(MID(VLOOKUP($B106,Seqs!$A:$B,2,0),G106,1),"")</f>
        <v>Q</v>
      </c>
      <c r="G106" s="3">
        <v>66</v>
      </c>
      <c r="H106" s="3" t="str">
        <f>IFERROR(MID(VLOOKUP($B106,Seqs!$A:$B,2,0),I106,1),"")</f>
        <v>K</v>
      </c>
      <c r="I106" s="23">
        <v>67</v>
      </c>
      <c r="J106" s="3" t="str">
        <f>IFERROR(MID(VLOOKUP($B106,Seqs!$A:$B,2,0),K106,1),"")</f>
        <v>R</v>
      </c>
      <c r="K106" s="23">
        <v>70</v>
      </c>
      <c r="L106" s="3" t="str">
        <f>IFERROR(MID(VLOOKUP($B106,Seqs!$A:$B,2,0),M106,1),"")</f>
        <v>S</v>
      </c>
      <c r="M106" s="3">
        <v>71</v>
      </c>
      <c r="N106" s="3" t="str">
        <f>IFERROR(MID(VLOOKUP($B106,Seqs!$A:$B,2,0),O106,1),"")</f>
        <v>A</v>
      </c>
      <c r="O106" s="3">
        <v>100</v>
      </c>
      <c r="P106" s="3" t="str">
        <f>IFERROR(MID(VLOOKUP($B106,Seqs!$A:$B,2,0),Q106,1),"")</f>
        <v>N</v>
      </c>
      <c r="Q106" s="3">
        <v>101</v>
      </c>
      <c r="R106" s="3" t="str">
        <f>IFERROR(MID(VLOOKUP($B106,Seqs!$A:$B,2,0),S106,1),"")</f>
        <v>F</v>
      </c>
      <c r="S106" s="3">
        <v>104</v>
      </c>
      <c r="T106" s="3" t="str">
        <f>IFERROR(MID(VLOOKUP($B106,Seqs!$A:$B,2,0),U106,1),"")</f>
        <v>G</v>
      </c>
      <c r="U106" s="3">
        <v>105</v>
      </c>
      <c r="V106" s="3" t="str">
        <f>IFERROR(MID(VLOOKUP($B106,Seqs!$A:$B,2,0),W106,1),"")</f>
        <v>H</v>
      </c>
      <c r="W106" s="3">
        <v>140</v>
      </c>
      <c r="X106" s="3" t="str">
        <f>IFERROR(MID(VLOOKUP($B106,Seqs!$A:$B,2,0),Y106,1),"")</f>
        <v>A</v>
      </c>
      <c r="Y106" s="3">
        <v>141</v>
      </c>
      <c r="Z106" s="3" t="str">
        <f>IFERROR(MID(VLOOKUP($B106,Seqs!$A:$B,2,0),AA106,1),"")</f>
        <v>R</v>
      </c>
      <c r="AA106" s="3">
        <v>148</v>
      </c>
      <c r="AB106" s="3" t="str">
        <f>IFERROR(MID(VLOOKUP($B106,Seqs!$A:$B,2,0),AC106,1),"")</f>
        <v>K</v>
      </c>
      <c r="AC106" s="9">
        <v>149</v>
      </c>
      <c r="AD106" s="3" t="str">
        <f>IFERROR(MID(VLOOKUP($B106,Seqs!$A:$B,2,0),AE106,1),"")</f>
        <v>A</v>
      </c>
      <c r="AE106" s="3">
        <v>175</v>
      </c>
      <c r="AF106" s="3" t="str">
        <f>IFERROR(MID(VLOOKUP($B106,Seqs!$A:$B,2,0),AG106,1),"")</f>
        <v>C</v>
      </c>
      <c r="AG106" s="3">
        <v>186</v>
      </c>
      <c r="AH106" s="3" t="str">
        <f>IFERROR(MID(VLOOKUP($B106,Seqs!$A:$B,2,0),AI106,1),"")</f>
        <v>R</v>
      </c>
      <c r="AI106" s="3">
        <v>188</v>
      </c>
      <c r="AJ106" s="3" t="str">
        <f>IFERROR(MID(VLOOKUP($B106,Seqs!$A:$B,2,0),AK106,1),"")</f>
        <v>D</v>
      </c>
      <c r="AK106" s="3">
        <v>193</v>
      </c>
      <c r="AL106" s="3" t="str">
        <f>IFERROR(MID(VLOOKUP($B106,Seqs!$A:$B,2,0),AM106,1),"")</f>
        <v>S</v>
      </c>
      <c r="AM106" s="3">
        <v>229</v>
      </c>
      <c r="AN106" s="3" t="str">
        <f>IFERROR(MID(VLOOKUP($B106,Seqs!$A:$B,2,0),AO106,1),"")</f>
        <v>K</v>
      </c>
      <c r="AO106" s="3">
        <v>234</v>
      </c>
      <c r="AP106" s="3" t="str">
        <f>IFERROR(MID(VLOOKUP($B106,Seqs!$A:$B,2,0),AQ106,1),"")</f>
        <v>E</v>
      </c>
      <c r="AQ106" s="3">
        <v>268</v>
      </c>
      <c r="AR106" s="3" t="str">
        <f>IFERROR(MID(VLOOKUP($B106,Seqs!$A:$B,2,0),AS106,1),"")</f>
        <v>G</v>
      </c>
      <c r="AS106" s="3">
        <v>273</v>
      </c>
      <c r="AT106" s="3" t="str">
        <f>IFERROR(MID(VLOOKUP($B106,Seqs!$A:$B,2,0),AU106,1),"")</f>
        <v>L</v>
      </c>
      <c r="AU106" s="3">
        <v>305</v>
      </c>
      <c r="AV106" s="3" t="str">
        <f>IFERROR(MID(VLOOKUP($B106,Seqs!$A:$B,2,0),AW106,1),"")</f>
        <v>G</v>
      </c>
      <c r="AW106" s="3">
        <v>306</v>
      </c>
      <c r="AX106" s="3" t="str">
        <f>IFERROR(MID(VLOOKUP($B106,Seqs!$A:$B,2,0),AY106,1),"")</f>
        <v>T</v>
      </c>
      <c r="AY106" s="3">
        <v>318</v>
      </c>
      <c r="AZ106" s="79" t="str">
        <f>VLOOKUP(B106,Classification!A:D,2,0)</f>
        <v>A</v>
      </c>
      <c r="BA106" s="97" t="str">
        <f>VLOOKUP(B106,Classification!A:D,4,0)</f>
        <v>Chemokine</v>
      </c>
      <c r="BB106" s="27" t="b">
        <f t="shared" si="363"/>
        <v>1</v>
      </c>
      <c r="BC106" s="23">
        <f t="shared" ref="BC106:BC111" si="615">_xlfn.AGGREGATE(9,6,CH106:CS106)-_xlfn.AGGREGATE(9,6,BV106:CG106)+12</f>
        <v>267</v>
      </c>
      <c r="BD106" s="35" t="s">
        <v>1379</v>
      </c>
      <c r="BE106" s="3" t="s">
        <v>23</v>
      </c>
      <c r="BF106" s="124" t="s">
        <v>23</v>
      </c>
      <c r="BG106" s="50" t="s">
        <v>1379</v>
      </c>
      <c r="BH106" s="50" t="s">
        <v>1384</v>
      </c>
      <c r="BI106" s="1"/>
      <c r="BJ106" s="72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58" t="s">
        <v>1293</v>
      </c>
      <c r="BV106" s="72">
        <f t="shared" ref="BV106:BV111" si="616">E106</f>
        <v>30</v>
      </c>
      <c r="BW106" s="73">
        <f t="shared" ref="BW106:BW111" si="617">I106</f>
        <v>67</v>
      </c>
      <c r="BX106" s="74">
        <f t="shared" ref="BX106:BX111" si="618">M106</f>
        <v>71</v>
      </c>
      <c r="BY106" s="73">
        <f t="shared" ref="BY106:BY111" si="619">Q106</f>
        <v>101</v>
      </c>
      <c r="BZ106" s="74">
        <f t="shared" ref="BZ106:BZ111" si="620">U106</f>
        <v>105</v>
      </c>
      <c r="CA106" s="73">
        <f t="shared" ref="CA106:CA111" si="621">Y106</f>
        <v>141</v>
      </c>
      <c r="CB106" s="74">
        <f t="shared" ref="CB106:CB111" si="622">AC106</f>
        <v>149</v>
      </c>
      <c r="CC106" s="73">
        <f t="shared" ref="CC106:CC111" si="623">AG106</f>
        <v>186</v>
      </c>
      <c r="CD106" s="74">
        <f t="shared" ref="CD106:CD111" si="624">AK106</f>
        <v>193</v>
      </c>
      <c r="CE106" s="73">
        <f t="shared" ref="CE106:CE111" si="625">AO106</f>
        <v>234</v>
      </c>
      <c r="CF106" s="74">
        <f t="shared" ref="CF106:CF111" si="626">AS106</f>
        <v>273</v>
      </c>
      <c r="CG106" s="73">
        <f t="shared" ref="CG106:CG111" si="627">AW106</f>
        <v>306</v>
      </c>
      <c r="CH106" s="72">
        <f t="shared" ref="CH106:CH111" si="628">G106</f>
        <v>66</v>
      </c>
      <c r="CI106" s="73">
        <f t="shared" ref="CI106:CI111" si="629">K106</f>
        <v>70</v>
      </c>
      <c r="CJ106" s="74">
        <f t="shared" ref="CJ106:CJ111" si="630">O106</f>
        <v>100</v>
      </c>
      <c r="CK106" s="74">
        <f t="shared" ref="CK106:CK111" si="631">S106</f>
        <v>104</v>
      </c>
      <c r="CL106" s="74">
        <f t="shared" ref="CL106:CL111" si="632">W106</f>
        <v>140</v>
      </c>
      <c r="CM106" s="74">
        <f t="shared" ref="CM106:CM111" si="633">AA106</f>
        <v>148</v>
      </c>
      <c r="CN106" s="74">
        <f t="shared" ref="CN106:CN111" si="634">AE106</f>
        <v>175</v>
      </c>
      <c r="CO106" s="74">
        <f t="shared" ref="CO106:CO111" si="635">AI106</f>
        <v>188</v>
      </c>
      <c r="CP106" s="74">
        <f t="shared" ref="CP106:CP111" si="636">AM106</f>
        <v>229</v>
      </c>
      <c r="CQ106" s="74">
        <f t="shared" ref="CQ106:CQ111" si="637">AQ106</f>
        <v>268</v>
      </c>
      <c r="CR106" s="74">
        <f t="shared" ref="CR106:CR111" si="638">AU106</f>
        <v>305</v>
      </c>
      <c r="CS106" s="74">
        <f t="shared" ref="CS106:CS111" si="639">AY106</f>
        <v>318</v>
      </c>
      <c r="CT106" s="23">
        <f t="shared" ref="CT106:CT111" si="640">M106-K106</f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si="362"/>
        <v>cxcr4_human_3ODU</v>
      </c>
      <c r="B107" s="3" t="s">
        <v>1172</v>
      </c>
      <c r="C107" s="3" t="s">
        <v>63</v>
      </c>
      <c r="D107" s="3" t="str">
        <f>IFERROR(MID(VLOOKUP($B107,Seqs!$A:$B,2,0),E107,1),"")</f>
        <v>A</v>
      </c>
      <c r="E107" s="3">
        <v>34</v>
      </c>
      <c r="F107" s="3" t="str">
        <f>IFERROR(MID(VLOOKUP($B107,Seqs!$A:$B,2,0),G107,1),"")</f>
        <v>Q</v>
      </c>
      <c r="G107" s="3">
        <v>66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S</v>
      </c>
      <c r="M107" s="3">
        <v>71</v>
      </c>
      <c r="N107" s="3" t="str">
        <f>IFERROR(MID(VLOOKUP($B107,Seqs!$A:$B,2,0),O107,1),"")</f>
        <v>A</v>
      </c>
      <c r="O107" s="3">
        <v>100</v>
      </c>
      <c r="P107" s="3" t="str">
        <f>IFERROR(MID(VLOOKUP($B107,Seqs!$A:$B,2,0),Q107,1),"")</f>
        <v>N</v>
      </c>
      <c r="Q107" s="3">
        <v>101</v>
      </c>
      <c r="R107" s="3" t="str">
        <f>IFERROR(MID(VLOOKUP($B107,Seqs!$A:$B,2,0),S107,1),"")</f>
        <v>F</v>
      </c>
      <c r="S107" s="3">
        <v>104</v>
      </c>
      <c r="T107" s="3" t="str">
        <f>IFERROR(MID(VLOOKUP($B107,Seqs!$A:$B,2,0),U107,1),"")</f>
        <v>G</v>
      </c>
      <c r="U107" s="3">
        <v>105</v>
      </c>
      <c r="V107" s="3" t="str">
        <f>IFERROR(MID(VLOOKUP($B107,Seqs!$A:$B,2,0),W107,1),"")</f>
        <v>H</v>
      </c>
      <c r="W107" s="3">
        <v>140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S</v>
      </c>
      <c r="AC107" s="9">
        <v>144</v>
      </c>
      <c r="AD107" s="3" t="str">
        <f>IFERROR(MID(VLOOKUP($B107,Seqs!$A:$B,2,0),AE107,1),"")</f>
        <v>A</v>
      </c>
      <c r="AE107" s="3">
        <v>175</v>
      </c>
      <c r="AF107" s="3" t="str">
        <f>IFERROR(MID(VLOOKUP($B107,Seqs!$A:$B,2,0),AG107,1),"")</f>
        <v>C</v>
      </c>
      <c r="AG107" s="3">
        <v>186</v>
      </c>
      <c r="AH107" s="3" t="str">
        <f>IFERROR(MID(VLOOKUP($B107,Seqs!$A:$B,2,0),AI107,1),"")</f>
        <v>R</v>
      </c>
      <c r="AI107" s="3">
        <v>188</v>
      </c>
      <c r="AJ107" s="3" t="str">
        <f>IFERROR(MID(VLOOKUP($B107,Seqs!$A:$B,2,0),AK107,1),"")</f>
        <v>D</v>
      </c>
      <c r="AK107" s="3">
        <v>193</v>
      </c>
      <c r="AL107" s="3" t="str">
        <f>IFERROR(MID(VLOOKUP($B107,Seqs!$A:$B,2,0),AM107,1),"")</f>
        <v>K</v>
      </c>
      <c r="AM107" s="3">
        <v>225</v>
      </c>
      <c r="AN107" s="3" t="str">
        <f>IFERROR(MID(VLOOKUP($B107,Seqs!$A:$B,2,0),AO107,1),"")</f>
        <v>G</v>
      </c>
      <c r="AO107" s="3">
        <v>231</v>
      </c>
      <c r="AP107" s="3" t="str">
        <f>IFERROR(MID(VLOOKUP($B107,Seqs!$A:$B,2,0),AQ107,1),"")</f>
        <v>E</v>
      </c>
      <c r="AQ107" s="3">
        <v>268</v>
      </c>
      <c r="AR107" s="3" t="str">
        <f>IFERROR(MID(VLOOKUP($B107,Seqs!$A:$B,2,0),AS107,1),"")</f>
        <v>G</v>
      </c>
      <c r="AS107" s="3">
        <v>273</v>
      </c>
      <c r="AT107" s="3" t="str">
        <f>IFERROR(MID(VLOOKUP($B107,Seqs!$A:$B,2,0),AU107,1),"")</f>
        <v>I</v>
      </c>
      <c r="AU107" s="3">
        <v>300</v>
      </c>
      <c r="AV107" s="3" t="str">
        <f>IFERROR(MID(VLOOKUP($B107,Seqs!$A:$B,2,0),AW107,1),"")</f>
        <v/>
      </c>
      <c r="AW107" s="3" t="s">
        <v>23</v>
      </c>
      <c r="AX107" s="3" t="str">
        <f>IFERROR(MID(VLOOKUP($B107,Seqs!$A:$B,2,0),AY107,1),"")</f>
        <v/>
      </c>
      <c r="AY107" s="3" t="s">
        <v>23</v>
      </c>
      <c r="AZ107" s="79" t="str">
        <f>VLOOKUP(B107,Classification!A:D,2,0)</f>
        <v>A</v>
      </c>
      <c r="BA107" s="97" t="str">
        <f>VLOOKUP(B107,Classification!A:D,4,0)</f>
        <v>Chemokine</v>
      </c>
      <c r="BB107" s="27" t="b">
        <f t="shared" si="363"/>
        <v>1</v>
      </c>
      <c r="BC107" s="23">
        <f t="shared" si="615"/>
        <v>240</v>
      </c>
      <c r="BD107" s="2" t="s">
        <v>1383</v>
      </c>
      <c r="BE107" s="3" t="s">
        <v>1381</v>
      </c>
      <c r="BF107" s="124">
        <v>2.5</v>
      </c>
      <c r="BG107" s="50" t="s">
        <v>1384</v>
      </c>
      <c r="BH107" s="50" t="s">
        <v>1384</v>
      </c>
      <c r="BI107" s="1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si="616"/>
        <v>34</v>
      </c>
      <c r="BW107" s="73" t="str">
        <f t="shared" si="617"/>
        <v>-</v>
      </c>
      <c r="BX107" s="74">
        <f t="shared" si="618"/>
        <v>71</v>
      </c>
      <c r="BY107" s="73">
        <f t="shared" si="619"/>
        <v>101</v>
      </c>
      <c r="BZ107" s="74">
        <f t="shared" si="620"/>
        <v>105</v>
      </c>
      <c r="CA107" s="73" t="str">
        <f t="shared" si="621"/>
        <v>-</v>
      </c>
      <c r="CB107" s="74">
        <f t="shared" si="622"/>
        <v>144</v>
      </c>
      <c r="CC107" s="73">
        <f t="shared" si="623"/>
        <v>186</v>
      </c>
      <c r="CD107" s="74">
        <f t="shared" si="624"/>
        <v>193</v>
      </c>
      <c r="CE107" s="73">
        <f t="shared" si="625"/>
        <v>231</v>
      </c>
      <c r="CF107" s="74">
        <f t="shared" si="626"/>
        <v>273</v>
      </c>
      <c r="CG107" s="73" t="str">
        <f t="shared" si="627"/>
        <v>-</v>
      </c>
      <c r="CH107" s="72">
        <f t="shared" si="628"/>
        <v>66</v>
      </c>
      <c r="CI107" s="73" t="str">
        <f t="shared" si="629"/>
        <v>-</v>
      </c>
      <c r="CJ107" s="74">
        <f t="shared" si="630"/>
        <v>100</v>
      </c>
      <c r="CK107" s="74">
        <f t="shared" si="631"/>
        <v>104</v>
      </c>
      <c r="CL107" s="74">
        <f t="shared" si="632"/>
        <v>140</v>
      </c>
      <c r="CM107" s="74" t="str">
        <f t="shared" si="633"/>
        <v>-</v>
      </c>
      <c r="CN107" s="74">
        <f t="shared" si="634"/>
        <v>175</v>
      </c>
      <c r="CO107" s="74">
        <f t="shared" si="635"/>
        <v>188</v>
      </c>
      <c r="CP107" s="74">
        <f t="shared" si="636"/>
        <v>225</v>
      </c>
      <c r="CQ107" s="74">
        <f t="shared" si="637"/>
        <v>268</v>
      </c>
      <c r="CR107" s="74">
        <f t="shared" si="638"/>
        <v>300</v>
      </c>
      <c r="CS107" s="74" t="str">
        <f t="shared" si="639"/>
        <v>-</v>
      </c>
      <c r="CT107" s="23" t="e">
        <f t="shared" si="640"/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362"/>
        <v>cxcr4_human_3OE0</v>
      </c>
      <c r="B108" s="3" t="s">
        <v>1172</v>
      </c>
      <c r="C108" s="3" t="s">
        <v>1032</v>
      </c>
      <c r="D108" s="3" t="str">
        <f>IFERROR(MID(VLOOKUP($B108,Seqs!$A:$B,2,0),E108,1),"")</f>
        <v>A</v>
      </c>
      <c r="E108" s="3">
        <v>34</v>
      </c>
      <c r="F108" s="3" t="str">
        <f>IFERROR(MID(VLOOKUP($B108,Seqs!$A:$B,2,0),G108,1),"")</f>
        <v>Q</v>
      </c>
      <c r="G108" s="3">
        <v>66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S</v>
      </c>
      <c r="M108" s="3">
        <v>71</v>
      </c>
      <c r="N108" s="3" t="str">
        <f>IFERROR(MID(VLOOKUP($B108,Seqs!$A:$B,2,0),O108,1),"")</f>
        <v>A</v>
      </c>
      <c r="O108" s="3">
        <v>100</v>
      </c>
      <c r="P108" s="3" t="str">
        <f>IFERROR(MID(VLOOKUP($B108,Seqs!$A:$B,2,0),Q108,1),"")</f>
        <v>N</v>
      </c>
      <c r="Q108" s="3">
        <v>101</v>
      </c>
      <c r="R108" s="3" t="str">
        <f>IFERROR(MID(VLOOKUP($B108,Seqs!$A:$B,2,0),S108,1),"")</f>
        <v>F</v>
      </c>
      <c r="S108" s="3">
        <v>104</v>
      </c>
      <c r="T108" s="3" t="str">
        <f>IFERROR(MID(VLOOKUP($B108,Seqs!$A:$B,2,0),U108,1),"")</f>
        <v>G</v>
      </c>
      <c r="U108" s="3">
        <v>105</v>
      </c>
      <c r="V108" s="3" t="str">
        <f>IFERROR(MID(VLOOKUP($B108,Seqs!$A:$B,2,0),W108,1),"")</f>
        <v>H</v>
      </c>
      <c r="W108" s="3">
        <v>140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S</v>
      </c>
      <c r="AC108" s="9">
        <v>144</v>
      </c>
      <c r="AD108" s="3" t="str">
        <f>IFERROR(MID(VLOOKUP($B108,Seqs!$A:$B,2,0),AE108,1),"")</f>
        <v>A</v>
      </c>
      <c r="AE108" s="3">
        <v>175</v>
      </c>
      <c r="AF108" s="3" t="str">
        <f>IFERROR(MID(VLOOKUP($B108,Seqs!$A:$B,2,0),AG108,1),"")</f>
        <v>C</v>
      </c>
      <c r="AG108" s="3">
        <v>186</v>
      </c>
      <c r="AH108" s="3" t="str">
        <f>IFERROR(MID(VLOOKUP($B108,Seqs!$A:$B,2,0),AI108,1),"")</f>
        <v>R</v>
      </c>
      <c r="AI108" s="3">
        <v>188</v>
      </c>
      <c r="AJ108" s="3" t="str">
        <f>IFERROR(MID(VLOOKUP($B108,Seqs!$A:$B,2,0),AK108,1),"")</f>
        <v>D</v>
      </c>
      <c r="AK108" s="3">
        <v>193</v>
      </c>
      <c r="AL108" s="3" t="str">
        <f>IFERROR(MID(VLOOKUP($B108,Seqs!$A:$B,2,0),AM108,1),"")</f>
        <v>H</v>
      </c>
      <c r="AM108" s="3">
        <v>228</v>
      </c>
      <c r="AN108" s="3" t="str">
        <f>IFERROR(MID(VLOOKUP($B108,Seqs!$A:$B,2,0),AO108,1),"")</f>
        <v>K</v>
      </c>
      <c r="AO108" s="3">
        <v>239</v>
      </c>
      <c r="AP108" s="3" t="str">
        <f>IFERROR(MID(VLOOKUP($B108,Seqs!$A:$B,2,0),AQ108,1),"")</f>
        <v>E</v>
      </c>
      <c r="AQ108" s="3">
        <v>268</v>
      </c>
      <c r="AR108" s="3" t="str">
        <f>IFERROR(MID(VLOOKUP($B108,Seqs!$A:$B,2,0),AS108,1),"")</f>
        <v>G</v>
      </c>
      <c r="AS108" s="3">
        <v>273</v>
      </c>
      <c r="AT108" s="3" t="str">
        <f>IFERROR(MID(VLOOKUP($B108,Seqs!$A:$B,2,0),AU108,1),"")</f>
        <v>I</v>
      </c>
      <c r="AU108" s="3">
        <v>300</v>
      </c>
      <c r="AV108" s="3" t="str">
        <f>IFERROR(MID(VLOOKUP($B108,Seqs!$A:$B,2,0),AW108,1),"")</f>
        <v/>
      </c>
      <c r="AW108" s="3" t="s">
        <v>23</v>
      </c>
      <c r="AX108" s="3" t="str">
        <f>IFERROR(MID(VLOOKUP($B108,Seqs!$A:$B,2,0),AY108,1),"")</f>
        <v/>
      </c>
      <c r="AY108" s="3" t="s">
        <v>23</v>
      </c>
      <c r="AZ108" s="79" t="str">
        <f>VLOOKUP(B108,Classification!A:D,2,0)</f>
        <v>A</v>
      </c>
      <c r="BA108" s="97" t="str">
        <f>VLOOKUP(B108,Classification!A:D,4,0)</f>
        <v>Chemokine</v>
      </c>
      <c r="BB108" s="27" t="b">
        <f t="shared" si="363"/>
        <v>1</v>
      </c>
      <c r="BC108" s="23">
        <f t="shared" si="615"/>
        <v>235</v>
      </c>
      <c r="BD108" s="4" t="s">
        <v>23</v>
      </c>
      <c r="BE108" s="3" t="s">
        <v>1381</v>
      </c>
      <c r="BF108" s="124">
        <v>2.9</v>
      </c>
      <c r="BG108" s="50" t="s">
        <v>1384</v>
      </c>
      <c r="BH108" s="50" t="s">
        <v>1384</v>
      </c>
      <c r="BI108" s="1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616"/>
        <v>34</v>
      </c>
      <c r="BW108" s="73" t="str">
        <f t="shared" si="617"/>
        <v>-</v>
      </c>
      <c r="BX108" s="74">
        <f t="shared" si="618"/>
        <v>71</v>
      </c>
      <c r="BY108" s="73">
        <f t="shared" si="619"/>
        <v>101</v>
      </c>
      <c r="BZ108" s="74">
        <f t="shared" si="620"/>
        <v>105</v>
      </c>
      <c r="CA108" s="73" t="str">
        <f t="shared" si="621"/>
        <v>-</v>
      </c>
      <c r="CB108" s="74">
        <f t="shared" si="622"/>
        <v>144</v>
      </c>
      <c r="CC108" s="73">
        <f t="shared" si="623"/>
        <v>186</v>
      </c>
      <c r="CD108" s="74">
        <f t="shared" si="624"/>
        <v>193</v>
      </c>
      <c r="CE108" s="73">
        <f t="shared" si="625"/>
        <v>239</v>
      </c>
      <c r="CF108" s="74">
        <f t="shared" si="626"/>
        <v>273</v>
      </c>
      <c r="CG108" s="73" t="str">
        <f t="shared" si="627"/>
        <v>-</v>
      </c>
      <c r="CH108" s="72">
        <f t="shared" si="628"/>
        <v>66</v>
      </c>
      <c r="CI108" s="73" t="str">
        <f t="shared" si="629"/>
        <v>-</v>
      </c>
      <c r="CJ108" s="74">
        <f t="shared" si="630"/>
        <v>100</v>
      </c>
      <c r="CK108" s="74">
        <f t="shared" si="631"/>
        <v>104</v>
      </c>
      <c r="CL108" s="74">
        <f t="shared" si="632"/>
        <v>140</v>
      </c>
      <c r="CM108" s="74" t="str">
        <f t="shared" si="633"/>
        <v>-</v>
      </c>
      <c r="CN108" s="74">
        <f t="shared" si="634"/>
        <v>175</v>
      </c>
      <c r="CO108" s="74">
        <f t="shared" si="635"/>
        <v>188</v>
      </c>
      <c r="CP108" s="74">
        <f t="shared" si="636"/>
        <v>228</v>
      </c>
      <c r="CQ108" s="74">
        <f t="shared" si="637"/>
        <v>268</v>
      </c>
      <c r="CR108" s="74">
        <f t="shared" si="638"/>
        <v>300</v>
      </c>
      <c r="CS108" s="74" t="str">
        <f t="shared" si="639"/>
        <v>-</v>
      </c>
      <c r="CT108" s="23" t="e">
        <f t="shared" si="640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x14ac:dyDescent="0.2">
      <c r="A109" s="3" t="str">
        <f t="shared" si="362"/>
        <v>cxcr4_human_4RWS</v>
      </c>
      <c r="B109" s="3" t="s">
        <v>1172</v>
      </c>
      <c r="C109" s="3" t="s">
        <v>1053</v>
      </c>
      <c r="D109" s="3" t="str">
        <f>IFERROR(MID(VLOOKUP($B109,Seqs!$A:$B,2,0),E109,1),"")</f>
        <v>R</v>
      </c>
      <c r="E109" s="3">
        <v>30</v>
      </c>
      <c r="F109" s="3" t="str">
        <f>IFERROR(MID(VLOOKUP($B109,Seqs!$A:$B,2,0),G109,1),"")</f>
        <v>Q</v>
      </c>
      <c r="G109" s="3">
        <v>66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S</v>
      </c>
      <c r="M109" s="3">
        <v>71</v>
      </c>
      <c r="N109" s="3" t="str">
        <f>IFERROR(MID(VLOOKUP($B109,Seqs!$A:$B,2,0),O109,1),"")</f>
        <v>A</v>
      </c>
      <c r="O109" s="3">
        <v>100</v>
      </c>
      <c r="P109" s="3" t="str">
        <f>IFERROR(MID(VLOOKUP($B109,Seqs!$A:$B,2,0),Q109,1),"")</f>
        <v>N</v>
      </c>
      <c r="Q109" s="3">
        <v>101</v>
      </c>
      <c r="R109" s="3" t="str">
        <f>IFERROR(MID(VLOOKUP($B109,Seqs!$A:$B,2,0),S109,1),"")</f>
        <v>F</v>
      </c>
      <c r="S109" s="3">
        <v>104</v>
      </c>
      <c r="T109" s="3" t="str">
        <f>IFERROR(MID(VLOOKUP($B109,Seqs!$A:$B,2,0),U109,1),"")</f>
        <v>G</v>
      </c>
      <c r="U109" s="3">
        <v>105</v>
      </c>
      <c r="V109" s="3" t="str">
        <f>IFERROR(MID(VLOOKUP($B109,Seqs!$A:$B,2,0),W109,1),"")</f>
        <v>H</v>
      </c>
      <c r="W109" s="3">
        <v>140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S</v>
      </c>
      <c r="AC109" s="9">
        <v>144</v>
      </c>
      <c r="AD109" s="3" t="str">
        <f>IFERROR(MID(VLOOKUP($B109,Seqs!$A:$B,2,0),AE109,1),"")</f>
        <v>A</v>
      </c>
      <c r="AE109" s="3">
        <v>175</v>
      </c>
      <c r="AF109" s="3" t="str">
        <f>IFERROR(MID(VLOOKUP($B109,Seqs!$A:$B,2,0),AG109,1),"")</f>
        <v>C</v>
      </c>
      <c r="AG109" s="3">
        <v>186</v>
      </c>
      <c r="AH109" s="3" t="str">
        <f>IFERROR(MID(VLOOKUP($B109,Seqs!$A:$B,2,0),AI109,1),"")</f>
        <v>R</v>
      </c>
      <c r="AI109" s="3">
        <v>188</v>
      </c>
      <c r="AJ109" s="3" t="str">
        <f>IFERROR(MID(VLOOKUP($B109,Seqs!$A:$B,2,0),AK109,1),"")</f>
        <v>D</v>
      </c>
      <c r="AK109" s="3">
        <v>193</v>
      </c>
      <c r="AL109" s="3" t="str">
        <f>IFERROR(MID(VLOOKUP($B109,Seqs!$A:$B,2,0),AM109,1),"")</f>
        <v>S</v>
      </c>
      <c r="AM109" s="3">
        <v>227</v>
      </c>
      <c r="AN109" s="3" t="str">
        <f>IFERROR(MID(VLOOKUP($B109,Seqs!$A:$B,2,0),AO109,1),"")</f>
        <v>K</v>
      </c>
      <c r="AO109" s="3">
        <v>239</v>
      </c>
      <c r="AP109" s="3" t="str">
        <f>IFERROR(MID(VLOOKUP($B109,Seqs!$A:$B,2,0),AQ109,1),"")</f>
        <v>E</v>
      </c>
      <c r="AQ109" s="3">
        <v>268</v>
      </c>
      <c r="AR109" s="3" t="str">
        <f>IFERROR(MID(VLOOKUP($B109,Seqs!$A:$B,2,0),AS109,1),"")</f>
        <v>G</v>
      </c>
      <c r="AS109" s="3">
        <v>273</v>
      </c>
      <c r="AT109" s="3" t="str">
        <f>IFERROR(MID(VLOOKUP($B109,Seqs!$A:$B,2,0),AU109,1),"")</f>
        <v>I</v>
      </c>
      <c r="AU109" s="3">
        <v>300</v>
      </c>
      <c r="AV109" s="3" t="str">
        <f>IFERROR(MID(VLOOKUP($B109,Seqs!$A:$B,2,0),AW109,1),"")</f>
        <v/>
      </c>
      <c r="AW109" s="3" t="s">
        <v>23</v>
      </c>
      <c r="AX109" s="3" t="str">
        <f>IFERROR(MID(VLOOKUP($B109,Seqs!$A:$B,2,0),AY109,1),"")</f>
        <v/>
      </c>
      <c r="AY109" s="3" t="s">
        <v>23</v>
      </c>
      <c r="AZ109" s="79" t="str">
        <f>VLOOKUP(B109,Classification!A:D,2,0)</f>
        <v>A</v>
      </c>
      <c r="BA109" s="97" t="str">
        <f>VLOOKUP(B109,Classification!A:D,4,0)</f>
        <v>Chemokine</v>
      </c>
      <c r="BB109" s="27" t="b">
        <f t="shared" si="363"/>
        <v>1</v>
      </c>
      <c r="BC109" s="23">
        <f t="shared" si="615"/>
        <v>238</v>
      </c>
      <c r="BD109" s="5" t="s">
        <v>23</v>
      </c>
      <c r="BE109" s="3" t="s">
        <v>1381</v>
      </c>
      <c r="BF109" s="124">
        <v>3.1</v>
      </c>
      <c r="BG109" s="50" t="s">
        <v>1384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616"/>
        <v>30</v>
      </c>
      <c r="BW109" s="73" t="str">
        <f t="shared" si="617"/>
        <v>-</v>
      </c>
      <c r="BX109" s="74">
        <f t="shared" si="618"/>
        <v>71</v>
      </c>
      <c r="BY109" s="73">
        <f t="shared" si="619"/>
        <v>101</v>
      </c>
      <c r="BZ109" s="74">
        <f t="shared" si="620"/>
        <v>105</v>
      </c>
      <c r="CA109" s="73" t="str">
        <f t="shared" si="621"/>
        <v>-</v>
      </c>
      <c r="CB109" s="74">
        <f t="shared" si="622"/>
        <v>144</v>
      </c>
      <c r="CC109" s="73">
        <f t="shared" si="623"/>
        <v>186</v>
      </c>
      <c r="CD109" s="74">
        <f t="shared" si="624"/>
        <v>193</v>
      </c>
      <c r="CE109" s="73">
        <f t="shared" si="625"/>
        <v>239</v>
      </c>
      <c r="CF109" s="74">
        <f t="shared" si="626"/>
        <v>273</v>
      </c>
      <c r="CG109" s="73" t="str">
        <f t="shared" si="627"/>
        <v>-</v>
      </c>
      <c r="CH109" s="72">
        <f t="shared" si="628"/>
        <v>66</v>
      </c>
      <c r="CI109" s="73" t="str">
        <f t="shared" si="629"/>
        <v>-</v>
      </c>
      <c r="CJ109" s="74">
        <f t="shared" si="630"/>
        <v>100</v>
      </c>
      <c r="CK109" s="74">
        <f t="shared" si="631"/>
        <v>104</v>
      </c>
      <c r="CL109" s="74">
        <f t="shared" si="632"/>
        <v>140</v>
      </c>
      <c r="CM109" s="74" t="str">
        <f t="shared" si="633"/>
        <v>-</v>
      </c>
      <c r="CN109" s="74">
        <f t="shared" si="634"/>
        <v>175</v>
      </c>
      <c r="CO109" s="74">
        <f t="shared" si="635"/>
        <v>188</v>
      </c>
      <c r="CP109" s="74">
        <f t="shared" si="636"/>
        <v>227</v>
      </c>
      <c r="CQ109" s="74">
        <f t="shared" si="637"/>
        <v>268</v>
      </c>
      <c r="CR109" s="74">
        <f t="shared" si="638"/>
        <v>300</v>
      </c>
      <c r="CS109" s="74" t="str">
        <f t="shared" si="639"/>
        <v>-</v>
      </c>
      <c r="CT109" s="23" t="e">
        <f t="shared" si="640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30" x14ac:dyDescent="0.2">
      <c r="A110" s="3" t="str">
        <f t="shared" si="362"/>
        <v>drd3_human__wt</v>
      </c>
      <c r="B110" s="3" t="s">
        <v>192</v>
      </c>
      <c r="C110" s="3" t="s">
        <v>100</v>
      </c>
      <c r="D110" s="3" t="str">
        <f>IFERROR(MID(VLOOKUP($B110,Seqs!$A:$B,2,0),E110,1),"")</f>
        <v>A</v>
      </c>
      <c r="E110" s="3">
        <v>26</v>
      </c>
      <c r="F110" s="3" t="str">
        <f>IFERROR(MID(VLOOKUP($B110,Seqs!$A:$B,2,0),G110,1),"")</f>
        <v>E</v>
      </c>
      <c r="G110" s="3">
        <v>57</v>
      </c>
      <c r="H110" s="3" t="str">
        <f>IFERROR(MID(VLOOKUP($B110,Seqs!$A:$B,2,0),I110,1),"")</f>
        <v>R</v>
      </c>
      <c r="I110" s="23">
        <v>58</v>
      </c>
      <c r="J110" s="3" t="str">
        <f>IFERROR(MID(VLOOKUP($B110,Seqs!$A:$B,2,0),K110,1),"")</f>
        <v>Q</v>
      </c>
      <c r="K110" s="23">
        <v>61</v>
      </c>
      <c r="L110" s="3" t="str">
        <f>IFERROR(MID(VLOOKUP($B110,Seqs!$A:$B,2,0),M110,1),"")</f>
        <v>T</v>
      </c>
      <c r="M110" s="3">
        <v>62</v>
      </c>
      <c r="N110" s="3" t="str">
        <f>IFERROR(MID(VLOOKUP($B110,Seqs!$A:$B,2,0),O110,1),"")</f>
        <v>T</v>
      </c>
      <c r="O110" s="3">
        <v>92</v>
      </c>
      <c r="P110" s="3" t="str">
        <f>IFERROR(MID(VLOOKUP($B110,Seqs!$A:$B,2,0),Q110,1),"")</f>
        <v>V</v>
      </c>
      <c r="Q110" s="3">
        <v>95</v>
      </c>
      <c r="R110" s="3" t="str">
        <f>IFERROR(MID(VLOOKUP($B110,Seqs!$A:$B,2,0),S110,1),"")</f>
        <v>F</v>
      </c>
      <c r="S110" s="3">
        <v>98</v>
      </c>
      <c r="T110" s="3" t="str">
        <f>IFERROR(MID(VLOOKUP($B110,Seqs!$A:$B,2,0),U110,1),"")</f>
        <v>S</v>
      </c>
      <c r="U110" s="3">
        <v>99</v>
      </c>
      <c r="V110" s="3" t="str">
        <f>IFERROR(MID(VLOOKUP($B110,Seqs!$A:$B,2,0),W110,1),"")</f>
        <v>M</v>
      </c>
      <c r="W110" s="3">
        <v>134</v>
      </c>
      <c r="X110" s="3" t="str">
        <f>IFERROR(MID(VLOOKUP($B110,Seqs!$A:$B,2,0),Y110,1),"")</f>
        <v>P</v>
      </c>
      <c r="Y110" s="3">
        <v>135</v>
      </c>
      <c r="Z110" s="3" t="str">
        <f>IFERROR(MID(VLOOKUP($B110,Seqs!$A:$B,2,0),AA110,1),"")</f>
        <v>G</v>
      </c>
      <c r="AA110" s="3">
        <v>143</v>
      </c>
      <c r="AB110" s="3" t="str">
        <f>IFERROR(MID(VLOOKUP($B110,Seqs!$A:$B,2,0),AC110,1),"")</f>
        <v>S</v>
      </c>
      <c r="AC110" s="9">
        <v>146</v>
      </c>
      <c r="AD110" s="3" t="str">
        <f>IFERROR(MID(VLOOKUP($B110,Seqs!$A:$B,2,0),AE110,1),"")</f>
        <v>G</v>
      </c>
      <c r="AE110" s="3">
        <v>171</v>
      </c>
      <c r="AF110" s="3" t="str">
        <f>IFERROR(MID(VLOOKUP($B110,Seqs!$A:$B,2,0),AG110,1),"")</f>
        <v>C</v>
      </c>
      <c r="AG110" s="3">
        <v>181</v>
      </c>
      <c r="AH110" s="3" t="str">
        <f>IFERROR(MID(VLOOKUP($B110,Seqs!$A:$B,2,0),AI110,1),"")</f>
        <v>I</v>
      </c>
      <c r="AI110" s="3">
        <v>183</v>
      </c>
      <c r="AJ110" s="3" t="str">
        <f>IFERROR(MID(VLOOKUP($B110,Seqs!$A:$B,2,0),AK110,1),"")</f>
        <v>N</v>
      </c>
      <c r="AK110" s="3">
        <v>185</v>
      </c>
      <c r="AL110" s="3" t="str">
        <f>IFERROR(MID(VLOOKUP($B110,Seqs!$A:$B,2,0),AM110,1),"")</f>
        <v>R</v>
      </c>
      <c r="AM110" s="3">
        <v>226</v>
      </c>
      <c r="AN110" s="3" t="str">
        <f>IFERROR(MID(VLOOKUP($B110,Seqs!$A:$B,2,0),AO110,1),"")</f>
        <v>R</v>
      </c>
      <c r="AO110" s="3">
        <v>318</v>
      </c>
      <c r="AP110" s="3" t="str">
        <f>IFERROR(MID(VLOOKUP($B110,Seqs!$A:$B,2,0),AQ110,1),"")</f>
        <v>H</v>
      </c>
      <c r="AQ110" s="3">
        <v>354</v>
      </c>
      <c r="AR110" s="3" t="str">
        <f>IFERROR(MID(VLOOKUP($B110,Seqs!$A:$B,2,0),AS110,1),"")</f>
        <v>S</v>
      </c>
      <c r="AS110" s="3">
        <v>361</v>
      </c>
      <c r="AT110" s="3" t="str">
        <f>IFERROR(MID(VLOOKUP($B110,Seqs!$A:$B,2,0),AU110,1),"")</f>
        <v>F</v>
      </c>
      <c r="AU110" s="3">
        <v>386</v>
      </c>
      <c r="AV110" s="3" t="str">
        <f>IFERROR(MID(VLOOKUP($B110,Seqs!$A:$B,2,0),AW110,1),"")</f>
        <v>N</v>
      </c>
      <c r="AW110" s="3">
        <v>387</v>
      </c>
      <c r="AX110" s="3" t="str">
        <f>IFERROR(MID(VLOOKUP($B110,Seqs!$A:$B,2,0),AY110,1),"")</f>
        <v>S</v>
      </c>
      <c r="AY110" s="3">
        <v>399</v>
      </c>
      <c r="AZ110" s="79" t="str">
        <f>VLOOKUP(B110,Classification!A:D,2,0)</f>
        <v>A</v>
      </c>
      <c r="BA110" s="97" t="str">
        <f>VLOOKUP(B110,Classification!A:D,4,0)</f>
        <v>Dopamine</v>
      </c>
      <c r="BB110" s="27" t="b">
        <f t="shared" si="363"/>
        <v>1</v>
      </c>
      <c r="BC110" s="23">
        <f t="shared" si="615"/>
        <v>263</v>
      </c>
      <c r="BD110" s="57" t="s">
        <v>1379</v>
      </c>
      <c r="BE110" s="3" t="s">
        <v>23</v>
      </c>
      <c r="BF110" s="124" t="s">
        <v>23</v>
      </c>
      <c r="BG110" s="50" t="s">
        <v>1379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616"/>
        <v>26</v>
      </c>
      <c r="BW110" s="73">
        <f t="shared" si="617"/>
        <v>58</v>
      </c>
      <c r="BX110" s="74">
        <f t="shared" si="618"/>
        <v>62</v>
      </c>
      <c r="BY110" s="73">
        <f t="shared" si="619"/>
        <v>95</v>
      </c>
      <c r="BZ110" s="74">
        <f t="shared" si="620"/>
        <v>99</v>
      </c>
      <c r="CA110" s="73">
        <f t="shared" si="621"/>
        <v>135</v>
      </c>
      <c r="CB110" s="74">
        <f t="shared" si="622"/>
        <v>146</v>
      </c>
      <c r="CC110" s="73">
        <f t="shared" si="623"/>
        <v>181</v>
      </c>
      <c r="CD110" s="74">
        <f t="shared" si="624"/>
        <v>185</v>
      </c>
      <c r="CE110" s="73">
        <f t="shared" si="625"/>
        <v>318</v>
      </c>
      <c r="CF110" s="74">
        <f t="shared" si="626"/>
        <v>361</v>
      </c>
      <c r="CG110" s="73">
        <f t="shared" si="627"/>
        <v>387</v>
      </c>
      <c r="CH110" s="72">
        <f t="shared" si="628"/>
        <v>57</v>
      </c>
      <c r="CI110" s="73">
        <f t="shared" si="629"/>
        <v>61</v>
      </c>
      <c r="CJ110" s="74">
        <f t="shared" si="630"/>
        <v>92</v>
      </c>
      <c r="CK110" s="74">
        <f t="shared" si="631"/>
        <v>98</v>
      </c>
      <c r="CL110" s="74">
        <f t="shared" si="632"/>
        <v>134</v>
      </c>
      <c r="CM110" s="74">
        <f t="shared" si="633"/>
        <v>143</v>
      </c>
      <c r="CN110" s="74">
        <f t="shared" si="634"/>
        <v>171</v>
      </c>
      <c r="CO110" s="74">
        <f t="shared" si="635"/>
        <v>183</v>
      </c>
      <c r="CP110" s="74">
        <f t="shared" si="636"/>
        <v>226</v>
      </c>
      <c r="CQ110" s="74">
        <f t="shared" si="637"/>
        <v>354</v>
      </c>
      <c r="CR110" s="74">
        <f t="shared" si="638"/>
        <v>386</v>
      </c>
      <c r="CS110" s="74">
        <f t="shared" si="639"/>
        <v>399</v>
      </c>
      <c r="CT110" s="23">
        <f t="shared" si="64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30" x14ac:dyDescent="0.2">
      <c r="A111" s="3" t="str">
        <f t="shared" si="362"/>
        <v>drd3_human_3PBL</v>
      </c>
      <c r="B111" s="3" t="s">
        <v>192</v>
      </c>
      <c r="C111" s="3" t="s">
        <v>72</v>
      </c>
      <c r="D111" s="3" t="str">
        <f>IFERROR(MID(VLOOKUP($B111,Seqs!$A:$B,2,0),E111,1),"")</f>
        <v>Y</v>
      </c>
      <c r="E111" s="3">
        <v>32</v>
      </c>
      <c r="F111" s="3" t="str">
        <f>IFERROR(MID(VLOOKUP($B111,Seqs!$A:$B,2,0),G111,1),"")</f>
        <v>E</v>
      </c>
      <c r="G111" s="3">
        <v>57</v>
      </c>
      <c r="H111" s="3" t="str">
        <f>IFERROR(MID(VLOOKUP($B111,Seqs!$A:$B,2,0),I111,1),"")</f>
        <v>R</v>
      </c>
      <c r="I111" s="23">
        <v>58</v>
      </c>
      <c r="J111" s="3" t="str">
        <f>IFERROR(MID(VLOOKUP($B111,Seqs!$A:$B,2,0),K111,1),"")</f>
        <v>Q</v>
      </c>
      <c r="K111" s="23">
        <v>61</v>
      </c>
      <c r="L111" s="3" t="str">
        <f>IFERROR(MID(VLOOKUP($B111,Seqs!$A:$B,2,0),M111,1),"")</f>
        <v>T</v>
      </c>
      <c r="M111" s="3">
        <v>62</v>
      </c>
      <c r="N111" s="3" t="str">
        <f>IFERROR(MID(VLOOKUP($B111,Seqs!$A:$B,2,0),O111,1),"")</f>
        <v>T</v>
      </c>
      <c r="O111" s="3">
        <v>92</v>
      </c>
      <c r="P111" s="3" t="str">
        <f>IFERROR(MID(VLOOKUP($B111,Seqs!$A:$B,2,0),Q111,1),"")</f>
        <v>V</v>
      </c>
      <c r="Q111" s="3">
        <v>95</v>
      </c>
      <c r="R111" s="3" t="str">
        <f>IFERROR(MID(VLOOKUP($B111,Seqs!$A:$B,2,0),S111,1),"")</f>
        <v>F</v>
      </c>
      <c r="S111" s="3">
        <v>98</v>
      </c>
      <c r="T111" s="3" t="str">
        <f>IFERROR(MID(VLOOKUP($B111,Seqs!$A:$B,2,0),U111,1),"")</f>
        <v>S</v>
      </c>
      <c r="U111" s="3">
        <v>99</v>
      </c>
      <c r="V111" s="3" t="str">
        <f>IFERROR(MID(VLOOKUP($B111,Seqs!$A:$B,2,0),W111,1),"")</f>
        <v>M</v>
      </c>
      <c r="W111" s="3">
        <v>134</v>
      </c>
      <c r="X111" s="3" t="str">
        <f>IFERROR(MID(VLOOKUP($B111,Seqs!$A:$B,2,0),Y111,1),"")</f>
        <v>P</v>
      </c>
      <c r="Y111" s="3">
        <v>135</v>
      </c>
      <c r="Z111" s="3" t="str">
        <f>IFERROR(MID(VLOOKUP($B111,Seqs!$A:$B,2,0),AA111,1),"")</f>
        <v>G</v>
      </c>
      <c r="AA111" s="3">
        <v>143</v>
      </c>
      <c r="AB111" s="3" t="str">
        <f>IFERROR(MID(VLOOKUP($B111,Seqs!$A:$B,2,0),AC111,1),"")</f>
        <v>S</v>
      </c>
      <c r="AC111" s="9">
        <v>146</v>
      </c>
      <c r="AD111" s="3" t="str">
        <f>IFERROR(MID(VLOOKUP($B111,Seqs!$A:$B,2,0),AE111,1),"")</f>
        <v>G</v>
      </c>
      <c r="AE111" s="3">
        <v>171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I</v>
      </c>
      <c r="AI111" s="3">
        <v>183</v>
      </c>
      <c r="AJ111" s="3" t="str">
        <f>IFERROR(MID(VLOOKUP($B111,Seqs!$A:$B,2,0),AK111,1),"")</f>
        <v>N</v>
      </c>
      <c r="AK111" s="3">
        <v>185</v>
      </c>
      <c r="AL111" s="3" t="str">
        <f>IFERROR(MID(VLOOKUP($B111,Seqs!$A:$B,2,0),AM111,1),"")</f>
        <v>K</v>
      </c>
      <c r="AM111" s="3">
        <v>216</v>
      </c>
      <c r="AN111" s="3" t="str">
        <f>IFERROR(MID(VLOOKUP($B111,Seqs!$A:$B,2,0),AO111,1),"")</f>
        <v>R</v>
      </c>
      <c r="AO111" s="3">
        <v>323</v>
      </c>
      <c r="AP111" s="3" t="str">
        <f>IFERROR(MID(VLOOKUP($B111,Seqs!$A:$B,2,0),AQ111,1),"")</f>
        <v>H</v>
      </c>
      <c r="AQ111" s="3">
        <v>354</v>
      </c>
      <c r="AR111" s="3" t="str">
        <f>IFERROR(MID(VLOOKUP($B111,Seqs!$A:$B,2,0),AS111,1),"")</f>
        <v>S</v>
      </c>
      <c r="AS111" s="3">
        <v>361</v>
      </c>
      <c r="AT111" s="3" t="str">
        <f>IFERROR(MID(VLOOKUP($B111,Seqs!$A:$B,2,0),AU111,1),"")</f>
        <v>F</v>
      </c>
      <c r="AU111" s="3">
        <v>386</v>
      </c>
      <c r="AV111" s="3" t="str">
        <f>IFERROR(MID(VLOOKUP($B111,Seqs!$A:$B,2,0),AW111,1),"")</f>
        <v>N</v>
      </c>
      <c r="AW111" s="3">
        <v>387</v>
      </c>
      <c r="AX111" s="3" t="str">
        <f>IFERROR(MID(VLOOKUP($B111,Seqs!$A:$B,2,0),AY111,1),"")</f>
        <v>S</v>
      </c>
      <c r="AY111" s="3">
        <v>399</v>
      </c>
      <c r="AZ111" s="79" t="str">
        <f>VLOOKUP(B111,Classification!A:D,2,0)</f>
        <v>A</v>
      </c>
      <c r="BA111" s="97" t="str">
        <f>VLOOKUP(B111,Classification!A:D,4,0)</f>
        <v>Dopamine</v>
      </c>
      <c r="BB111" s="27" t="b">
        <f t="shared" si="363"/>
        <v>1</v>
      </c>
      <c r="BC111" s="23">
        <f t="shared" si="615"/>
        <v>242</v>
      </c>
      <c r="BD111" s="2" t="s">
        <v>1383</v>
      </c>
      <c r="BE111" s="3" t="s">
        <v>1381</v>
      </c>
      <c r="BF111" s="124">
        <v>2.89</v>
      </c>
      <c r="BG111" s="50" t="s">
        <v>1384</v>
      </c>
      <c r="BH111" s="50" t="s">
        <v>1384</v>
      </c>
      <c r="BI111" s="1"/>
      <c r="BJ111" s="72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58" t="s">
        <v>1293</v>
      </c>
      <c r="BV111" s="72">
        <f t="shared" si="616"/>
        <v>32</v>
      </c>
      <c r="BW111" s="73">
        <f t="shared" si="617"/>
        <v>58</v>
      </c>
      <c r="BX111" s="74">
        <f t="shared" si="618"/>
        <v>62</v>
      </c>
      <c r="BY111" s="73">
        <f t="shared" si="619"/>
        <v>95</v>
      </c>
      <c r="BZ111" s="74">
        <f t="shared" si="620"/>
        <v>99</v>
      </c>
      <c r="CA111" s="73">
        <f t="shared" si="621"/>
        <v>135</v>
      </c>
      <c r="CB111" s="74">
        <f t="shared" si="622"/>
        <v>146</v>
      </c>
      <c r="CC111" s="73">
        <f t="shared" si="623"/>
        <v>181</v>
      </c>
      <c r="CD111" s="74">
        <f t="shared" si="624"/>
        <v>185</v>
      </c>
      <c r="CE111" s="73">
        <f t="shared" si="625"/>
        <v>323</v>
      </c>
      <c r="CF111" s="74">
        <f t="shared" si="626"/>
        <v>361</v>
      </c>
      <c r="CG111" s="73">
        <f t="shared" si="627"/>
        <v>387</v>
      </c>
      <c r="CH111" s="72">
        <f t="shared" si="628"/>
        <v>57</v>
      </c>
      <c r="CI111" s="73">
        <f t="shared" si="629"/>
        <v>61</v>
      </c>
      <c r="CJ111" s="74">
        <f t="shared" si="630"/>
        <v>92</v>
      </c>
      <c r="CK111" s="74">
        <f t="shared" si="631"/>
        <v>98</v>
      </c>
      <c r="CL111" s="74">
        <f t="shared" si="632"/>
        <v>134</v>
      </c>
      <c r="CM111" s="74">
        <f t="shared" si="633"/>
        <v>143</v>
      </c>
      <c r="CN111" s="74">
        <f t="shared" si="634"/>
        <v>171</v>
      </c>
      <c r="CO111" s="74">
        <f t="shared" si="635"/>
        <v>183</v>
      </c>
      <c r="CP111" s="74">
        <f t="shared" si="636"/>
        <v>216</v>
      </c>
      <c r="CQ111" s="74">
        <f t="shared" si="637"/>
        <v>354</v>
      </c>
      <c r="CR111" s="74">
        <f t="shared" si="638"/>
        <v>386</v>
      </c>
      <c r="CS111" s="74">
        <f t="shared" si="639"/>
        <v>399</v>
      </c>
      <c r="CT111" s="23">
        <f t="shared" si="64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30" x14ac:dyDescent="0.2">
      <c r="A112" s="3" t="str">
        <f t="shared" si="362"/>
        <v>ednrb_human__wt</v>
      </c>
      <c r="B112" s="2" t="s">
        <v>196</v>
      </c>
      <c r="C112" s="2" t="s">
        <v>100</v>
      </c>
      <c r="D112" s="3" t="str">
        <f>IFERROR(MID(VLOOKUP($B112,Seqs!$A:$B,2,0),E112,1),"")</f>
        <v>Q</v>
      </c>
      <c r="E112" s="2">
        <v>91</v>
      </c>
      <c r="F112" s="3" t="str">
        <f>IFERROR(MID(VLOOKUP($B112,Seqs!$A:$B,2,0),G112,1),"")</f>
        <v>N</v>
      </c>
      <c r="G112" s="2">
        <v>129</v>
      </c>
      <c r="H112" s="3" t="str">
        <f>IFERROR(MID(VLOOKUP($B112,Seqs!$A:$B,2,0),I112,1),"")</f>
        <v>K</v>
      </c>
      <c r="I112" s="57">
        <v>130</v>
      </c>
      <c r="J112" s="3" t="str">
        <f>IFERROR(MID(VLOOKUP($B112,Seqs!$A:$B,2,0),K112,1),"")</f>
        <v>N</v>
      </c>
      <c r="K112" s="57">
        <v>134</v>
      </c>
      <c r="L112" s="3" t="str">
        <f>IFERROR(MID(VLOOKUP($B112,Seqs!$A:$B,2,0),M112,1),"")</f>
        <v>G</v>
      </c>
      <c r="M112" s="2">
        <v>135</v>
      </c>
      <c r="N112" s="3" t="str">
        <f>IFERROR(MID(VLOOKUP($B112,Seqs!$A:$B,2,0),O112,1),"")</f>
        <v>A</v>
      </c>
      <c r="O112" s="2">
        <v>164</v>
      </c>
      <c r="P112" s="3" t="str">
        <f>IFERROR(MID(VLOOKUP($B112,Seqs!$A:$B,2,0),Q112,1),"")</f>
        <v>D</v>
      </c>
      <c r="Q112" s="2">
        <v>166</v>
      </c>
      <c r="R112" s="3" t="str">
        <f>IFERROR(MID(VLOOKUP($B112,Seqs!$A:$B,2,0),S112,1),"")</f>
        <v>F</v>
      </c>
      <c r="S112" s="2">
        <v>169</v>
      </c>
      <c r="T112" s="3" t="str">
        <f>IFERROR(MID(VLOOKUP($B112,Seqs!$A:$B,2,0),U112,1),"")</f>
        <v>G</v>
      </c>
      <c r="U112" s="4">
        <v>170</v>
      </c>
      <c r="V112" s="3" t="str">
        <f>IFERROR(MID(VLOOKUP($B112,Seqs!$A:$B,2,0),W112,1),"")</f>
        <v>S</v>
      </c>
      <c r="W112" s="2">
        <v>205</v>
      </c>
      <c r="X112" s="3" t="str">
        <f>IFERROR(MID(VLOOKUP($B112,Seqs!$A:$B,2,0),Y112,1),"")</f>
        <v>W</v>
      </c>
      <c r="Y112" s="2">
        <v>206</v>
      </c>
      <c r="Z112" s="3" t="str">
        <f>IFERROR(MID(VLOOKUP($B112,Seqs!$A:$B,2,0),AA112,1),"")</f>
        <v>G</v>
      </c>
      <c r="AA112" s="2">
        <v>213</v>
      </c>
      <c r="AB112" s="3" t="str">
        <f>IFERROR(MID(VLOOKUP($B112,Seqs!$A:$B,2,0),AC112,1),"")</f>
        <v>V</v>
      </c>
      <c r="AC112" s="41">
        <v>214</v>
      </c>
      <c r="AD112" s="3" t="str">
        <f>IFERROR(MID(VLOOKUP($B112,Seqs!$A:$B,2,0),AE112,1),"")</f>
        <v>F</v>
      </c>
      <c r="AE112" s="2">
        <v>240</v>
      </c>
      <c r="AF112" s="3" t="str">
        <f>IFERROR(MID(VLOOKUP($B112,Seqs!$A:$B,2,0),AG112,1),"")</f>
        <v>C</v>
      </c>
      <c r="AG112" s="2">
        <v>255</v>
      </c>
      <c r="AH112" s="3" t="str">
        <f>IFERROR(MID(VLOOKUP($B112,Seqs!$A:$B,2,0),AI112,1),"")</f>
        <v>L</v>
      </c>
      <c r="AI112" s="2">
        <v>257</v>
      </c>
      <c r="AJ112" s="3" t="str">
        <f>IFERROR(MID(VLOOKUP($B112,Seqs!$A:$B,2,0),AK112,1),"")</f>
        <v>T</v>
      </c>
      <c r="AK112" s="2">
        <v>263</v>
      </c>
      <c r="AL112" s="3" t="str">
        <f>IFERROR(MID(VLOOKUP($B112,Seqs!$A:$B,2,0),AM112,1),"")</f>
        <v>M</v>
      </c>
      <c r="AM112" s="2">
        <v>307</v>
      </c>
      <c r="AN112" s="3" t="str">
        <f>IFERROR(MID(VLOOKUP($B112,Seqs!$A:$B,2,0),AO112,1),"")</f>
        <v>N</v>
      </c>
      <c r="AO112" s="2">
        <v>312</v>
      </c>
      <c r="AP112" s="3" t="str">
        <f>IFERROR(MID(VLOOKUP($B112,Seqs!$A:$B,2,0),AQ112,1),"")</f>
        <v>Y</v>
      </c>
      <c r="AQ112" s="2">
        <v>350</v>
      </c>
      <c r="AR112" s="3" t="str">
        <f>IFERROR(MID(VLOOKUP($B112,Seqs!$A:$B,2,0),AS112,1),"")</f>
        <v>R</v>
      </c>
      <c r="AS112" s="2">
        <v>357</v>
      </c>
      <c r="AT112" s="3" t="str">
        <f>IFERROR(MID(VLOOKUP($B112,Seqs!$A:$B,2,0),AU112,1),"")</f>
        <v>V</v>
      </c>
      <c r="AU112" s="2">
        <v>389</v>
      </c>
      <c r="AV112" s="3" t="str">
        <f>IFERROR(MID(VLOOKUP($B112,Seqs!$A:$B,2,0),AW112,1),"")</f>
        <v>S</v>
      </c>
      <c r="AW112" s="2">
        <v>390</v>
      </c>
      <c r="AX112" s="3" t="str">
        <f>IFERROR(MID(VLOOKUP($B112,Seqs!$A:$B,2,0),AY112,1),"")</f>
        <v>C</v>
      </c>
      <c r="AY112" s="2">
        <v>403</v>
      </c>
      <c r="AZ112" s="79" t="str">
        <f>VLOOKUP(B112,Classification!A:D,2,0)</f>
        <v>A</v>
      </c>
      <c r="BA112" s="97" t="str">
        <f>VLOOKUP(B112,Classification!A:D,4,0)</f>
        <v>Endothelin</v>
      </c>
      <c r="BB112" s="27" t="b">
        <f t="shared" si="363"/>
        <v>1</v>
      </c>
      <c r="BC112" s="2"/>
      <c r="BD112" s="35" t="s">
        <v>1379</v>
      </c>
      <c r="BE112" s="3" t="s">
        <v>23</v>
      </c>
      <c r="BF112" s="124" t="s">
        <v>23</v>
      </c>
      <c r="BG112" s="50" t="s">
        <v>1379</v>
      </c>
      <c r="BH112" s="50" t="s">
        <v>1384</v>
      </c>
      <c r="BI112" s="2"/>
      <c r="BJ112" s="72"/>
      <c r="BU112" s="58"/>
      <c r="BV112" s="72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72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2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362"/>
        <v>ednrb_human_5GLH</v>
      </c>
      <c r="B113" s="2" t="s">
        <v>196</v>
      </c>
      <c r="C113" s="2" t="s">
        <v>1334</v>
      </c>
      <c r="D113" s="3" t="str">
        <f>IFERROR(MID(VLOOKUP($B113,Seqs!$A:$B,2,0),E113,1),"")</f>
        <v>K</v>
      </c>
      <c r="E113" s="2">
        <v>97</v>
      </c>
      <c r="F113" s="3" t="str">
        <f>IFERROR(MID(VLOOKUP($B113,Seqs!$A:$B,2,0),G113,1),"")</f>
        <v>N</v>
      </c>
      <c r="G113" s="2">
        <v>129</v>
      </c>
      <c r="H113" s="3" t="str">
        <f>IFERROR(MID(VLOOKUP($B113,Seqs!$A:$B,2,0),I113,1),"")</f>
        <v/>
      </c>
      <c r="I113" s="57" t="s">
        <v>23</v>
      </c>
      <c r="J113" s="3" t="str">
        <f>IFERROR(MID(VLOOKUP($B113,Seqs!$A:$B,2,0),K113,1),"")</f>
        <v/>
      </c>
      <c r="K113" s="57" t="s">
        <v>23</v>
      </c>
      <c r="L113" s="3" t="str">
        <f>IFERROR(MID(VLOOKUP($B113,Seqs!$A:$B,2,0),M113,1),"")</f>
        <v>P</v>
      </c>
      <c r="M113" s="2">
        <v>136</v>
      </c>
      <c r="N113" s="3" t="str">
        <f>IFERROR(MID(VLOOKUP($B113,Seqs!$A:$B,2,0),O113,1),"")</f>
        <v>A</v>
      </c>
      <c r="O113" s="2">
        <v>164</v>
      </c>
      <c r="P113" s="3" t="str">
        <f>IFERROR(MID(VLOOKUP($B113,Seqs!$A:$B,2,0),Q113,1),"")</f>
        <v>D</v>
      </c>
      <c r="Q113" s="2">
        <v>166</v>
      </c>
      <c r="R113" s="3" t="str">
        <f>IFERROR(MID(VLOOKUP($B113,Seqs!$A:$B,2,0),S113,1),"")</f>
        <v>F</v>
      </c>
      <c r="S113" s="2">
        <v>169</v>
      </c>
      <c r="T113" s="3" t="str">
        <f>IFERROR(MID(VLOOKUP($B113,Seqs!$A:$B,2,0),U113,1),"")</f>
        <v>G</v>
      </c>
      <c r="U113" s="4">
        <v>170</v>
      </c>
      <c r="V113" s="3" t="str">
        <f>IFERROR(MID(VLOOKUP($B113,Seqs!$A:$B,2,0),W113,1),"")</f>
        <v>S</v>
      </c>
      <c r="W113" s="2">
        <v>205</v>
      </c>
      <c r="X113" s="3" t="str">
        <f>IFERROR(MID(VLOOKUP($B113,Seqs!$A:$B,2,0),Y113,1),"")</f>
        <v/>
      </c>
      <c r="Y113" s="2" t="s">
        <v>23</v>
      </c>
      <c r="Z113" s="3" t="str">
        <f>IFERROR(MID(VLOOKUP($B113,Seqs!$A:$B,2,0),AA113,1),"")</f>
        <v/>
      </c>
      <c r="AA113" s="2" t="s">
        <v>23</v>
      </c>
      <c r="AB113" s="3" t="str">
        <f>IFERROR(MID(VLOOKUP($B113,Seqs!$A:$B,2,0),AC113,1),"")</f>
        <v>T</v>
      </c>
      <c r="AC113" s="41">
        <v>218</v>
      </c>
      <c r="AD113" s="3" t="str">
        <f>IFERROR(MID(VLOOKUP($B113,Seqs!$A:$B,2,0),AE113,1),"")</f>
        <v>F</v>
      </c>
      <c r="AE113" s="2">
        <v>240</v>
      </c>
      <c r="AF113" s="3" t="str">
        <f>IFERROR(MID(VLOOKUP($B113,Seqs!$A:$B,2,0),AG113,1),"")</f>
        <v>C</v>
      </c>
      <c r="AG113" s="2">
        <v>255</v>
      </c>
      <c r="AH113" s="3" t="str">
        <f>IFERROR(MID(VLOOKUP($B113,Seqs!$A:$B,2,0),AI113,1),"")</f>
        <v>L</v>
      </c>
      <c r="AI113" s="2">
        <v>257</v>
      </c>
      <c r="AJ113" s="3" t="str">
        <f>IFERROR(MID(VLOOKUP($B113,Seqs!$A:$B,2,0),AK113,1),"")</f>
        <v>T</v>
      </c>
      <c r="AK113" s="2">
        <v>263</v>
      </c>
      <c r="AL113" s="3" t="str">
        <f>IFERROR(MID(VLOOKUP($B113,Seqs!$A:$B,2,0),AM113,1),"")</f>
        <v>K</v>
      </c>
      <c r="AM113" s="2">
        <v>303</v>
      </c>
      <c r="AN113" s="3" t="str">
        <f>IFERROR(MID(VLOOKUP($B113,Seqs!$A:$B,2,0),AO113,1),"")</f>
        <v>N</v>
      </c>
      <c r="AO113" s="2">
        <v>312</v>
      </c>
      <c r="AP113" s="3" t="str">
        <f>IFERROR(MID(VLOOKUP($B113,Seqs!$A:$B,2,0),AQ113,1),"")</f>
        <v>Y</v>
      </c>
      <c r="AQ113" s="2">
        <v>350</v>
      </c>
      <c r="AR113" s="3" t="str">
        <f>IFERROR(MID(VLOOKUP($B113,Seqs!$A:$B,2,0),AS113,1),"")</f>
        <v>R</v>
      </c>
      <c r="AS113" s="2">
        <v>357</v>
      </c>
      <c r="AT113" s="3" t="str">
        <f>IFERROR(MID(VLOOKUP($B113,Seqs!$A:$B,2,0),AU113,1),"")</f>
        <v>V</v>
      </c>
      <c r="AU113" s="2">
        <v>389</v>
      </c>
      <c r="AV113" s="3" t="str">
        <f>IFERROR(MID(VLOOKUP($B113,Seqs!$A:$B,2,0),AW113,1),"")</f>
        <v>S</v>
      </c>
      <c r="AW113" s="2">
        <v>390</v>
      </c>
      <c r="AX113" s="3" t="str">
        <f>IFERROR(MID(VLOOKUP($B113,Seqs!$A:$B,2,0),AY113,1),"")</f>
        <v>L</v>
      </c>
      <c r="AY113" s="2">
        <v>401</v>
      </c>
      <c r="AZ113" s="79" t="str">
        <f>VLOOKUP(B113,Classification!A:D,2,0)</f>
        <v>A</v>
      </c>
      <c r="BA113" s="97" t="str">
        <f>VLOOKUP(B113,Classification!A:D,4,0)</f>
        <v>Endothelin</v>
      </c>
      <c r="BB113" s="27" t="b">
        <f t="shared" si="363"/>
        <v>1</v>
      </c>
      <c r="BC113" s="23">
        <f t="shared" ref="BC113:BC149" si="641">_xlfn.AGGREGATE(9,6,CH113:CS113)-_xlfn.AGGREGATE(9,6,BV113:CG113)+12</f>
        <v>255</v>
      </c>
      <c r="BD113" s="2" t="s">
        <v>1440</v>
      </c>
      <c r="BE113" s="3" t="s">
        <v>1439</v>
      </c>
      <c r="BF113" s="124">
        <v>2.8</v>
      </c>
      <c r="BG113" s="50" t="s">
        <v>1384</v>
      </c>
      <c r="BH113" s="50" t="s">
        <v>1384</v>
      </c>
      <c r="BI113" s="2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ref="BV113:BV149" si="642">E113</f>
        <v>97</v>
      </c>
      <c r="BW113" s="73" t="str">
        <f t="shared" ref="BW113:BW149" si="643">I113</f>
        <v>-</v>
      </c>
      <c r="BX113" s="74">
        <f t="shared" ref="BX113:BX149" si="644">M113</f>
        <v>136</v>
      </c>
      <c r="BY113" s="73">
        <f t="shared" ref="BY113:BY149" si="645">Q113</f>
        <v>166</v>
      </c>
      <c r="BZ113" s="74">
        <f t="shared" ref="BZ113:BZ149" si="646">U113</f>
        <v>170</v>
      </c>
      <c r="CA113" s="73" t="str">
        <f t="shared" ref="CA113:CA149" si="647">Y113</f>
        <v>-</v>
      </c>
      <c r="CB113" s="74">
        <f t="shared" ref="CB113:CB149" si="648">AC113</f>
        <v>218</v>
      </c>
      <c r="CC113" s="73">
        <f t="shared" ref="CC113:CC149" si="649">AG113</f>
        <v>255</v>
      </c>
      <c r="CD113" s="74">
        <f t="shared" ref="CD113:CD149" si="650">AK113</f>
        <v>263</v>
      </c>
      <c r="CE113" s="73">
        <f t="shared" ref="CE113:CE149" si="651">AO113</f>
        <v>312</v>
      </c>
      <c r="CF113" s="74">
        <f t="shared" ref="CF113:CF149" si="652">AS113</f>
        <v>357</v>
      </c>
      <c r="CG113" s="73">
        <f t="shared" ref="CG113:CG149" si="653">AW113</f>
        <v>390</v>
      </c>
      <c r="CH113" s="72">
        <f t="shared" ref="CH113:CH149" si="654">G113</f>
        <v>129</v>
      </c>
      <c r="CI113" s="73" t="str">
        <f t="shared" ref="CI113:CI149" si="655">K113</f>
        <v>-</v>
      </c>
      <c r="CJ113" s="74">
        <f t="shared" ref="CJ113:CJ149" si="656">O113</f>
        <v>164</v>
      </c>
      <c r="CK113" s="74">
        <f t="shared" ref="CK113:CK149" si="657">S113</f>
        <v>169</v>
      </c>
      <c r="CL113" s="74">
        <f t="shared" ref="CL113:CL149" si="658">W113</f>
        <v>205</v>
      </c>
      <c r="CM113" s="74" t="str">
        <f t="shared" ref="CM113:CM149" si="659">AA113</f>
        <v>-</v>
      </c>
      <c r="CN113" s="74">
        <f t="shared" ref="CN113:CN149" si="660">AE113</f>
        <v>240</v>
      </c>
      <c r="CO113" s="74">
        <f t="shared" ref="CO113:CO149" si="661">AI113</f>
        <v>257</v>
      </c>
      <c r="CP113" s="74">
        <f t="shared" ref="CP113:CP149" si="662">AM113</f>
        <v>303</v>
      </c>
      <c r="CQ113" s="74">
        <f t="shared" ref="CQ113:CQ149" si="663">AQ113</f>
        <v>350</v>
      </c>
      <c r="CR113" s="74">
        <f t="shared" ref="CR113:CR149" si="664">AU113</f>
        <v>389</v>
      </c>
      <c r="CS113" s="74">
        <f t="shared" ref="CS113:CS149" si="665">AY113</f>
        <v>401</v>
      </c>
      <c r="CT113" s="23" t="e">
        <f t="shared" ref="CT113:CT149" si="666">M113-K113</f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362"/>
        <v>ednrb_human_5GLI</v>
      </c>
      <c r="B114" s="2" t="s">
        <v>196</v>
      </c>
      <c r="C114" s="2" t="s">
        <v>1333</v>
      </c>
      <c r="D114" s="3" t="str">
        <f>IFERROR(MID(VLOOKUP($B114,Seqs!$A:$B,2,0),E114,1),"")</f>
        <v>Q</v>
      </c>
      <c r="E114" s="2">
        <v>91</v>
      </c>
      <c r="F114" s="3" t="str">
        <f>IFERROR(MID(VLOOKUP($B114,Seqs!$A:$B,2,0),G114,1),"")</f>
        <v>N</v>
      </c>
      <c r="G114" s="2">
        <v>129</v>
      </c>
      <c r="H114" s="3" t="str">
        <f>IFERROR(MID(VLOOKUP($B114,Seqs!$A:$B,2,0),I114,1),"")</f>
        <v>K</v>
      </c>
      <c r="I114" s="57">
        <v>130</v>
      </c>
      <c r="J114" s="3" t="str">
        <f>IFERROR(MID(VLOOKUP($B114,Seqs!$A:$B,2,0),K114,1),"")</f>
        <v>N</v>
      </c>
      <c r="K114" s="57">
        <v>134</v>
      </c>
      <c r="L114" s="3" t="str">
        <f>IFERROR(MID(VLOOKUP($B114,Seqs!$A:$B,2,0),M114,1),"")</f>
        <v>G</v>
      </c>
      <c r="M114" s="2">
        <v>135</v>
      </c>
      <c r="N114" s="3" t="str">
        <f>IFERROR(MID(VLOOKUP($B114,Seqs!$A:$B,2,0),O114,1),"")</f>
        <v>A</v>
      </c>
      <c r="O114" s="2">
        <v>164</v>
      </c>
      <c r="P114" s="3" t="str">
        <f>IFERROR(MID(VLOOKUP($B114,Seqs!$A:$B,2,0),Q114,1),"")</f>
        <v>D</v>
      </c>
      <c r="Q114" s="2">
        <v>166</v>
      </c>
      <c r="R114" s="3" t="str">
        <f>IFERROR(MID(VLOOKUP($B114,Seqs!$A:$B,2,0),S114,1),"")</f>
        <v>F</v>
      </c>
      <c r="S114" s="2">
        <v>169</v>
      </c>
      <c r="T114" s="3" t="str">
        <f>IFERROR(MID(VLOOKUP($B114,Seqs!$A:$B,2,0),U114,1),"")</f>
        <v>G</v>
      </c>
      <c r="U114" s="4">
        <v>170</v>
      </c>
      <c r="V114" s="3" t="str">
        <f>IFERROR(MID(VLOOKUP($B114,Seqs!$A:$B,2,0),W114,1),"")</f>
        <v>S</v>
      </c>
      <c r="W114" s="2">
        <v>205</v>
      </c>
      <c r="X114" s="3" t="str">
        <f>IFERROR(MID(VLOOKUP($B114,Seqs!$A:$B,2,0),Y114,1),"")</f>
        <v/>
      </c>
      <c r="Y114" s="2" t="s">
        <v>23</v>
      </c>
      <c r="Z114" s="3" t="str">
        <f>IFERROR(MID(VLOOKUP($B114,Seqs!$A:$B,2,0),AA114,1),"")</f>
        <v/>
      </c>
      <c r="AA114" s="2" t="s">
        <v>23</v>
      </c>
      <c r="AB114" s="3" t="str">
        <f>IFERROR(MID(VLOOKUP($B114,Seqs!$A:$B,2,0),AC114,1),"")</f>
        <v>K</v>
      </c>
      <c r="AC114" s="41">
        <v>216</v>
      </c>
      <c r="AD114" s="3" t="str">
        <f>IFERROR(MID(VLOOKUP($B114,Seqs!$A:$B,2,0),AE114,1),"")</f>
        <v>F</v>
      </c>
      <c r="AE114" s="2">
        <v>240</v>
      </c>
      <c r="AF114" s="3" t="str">
        <f>IFERROR(MID(VLOOKUP($B114,Seqs!$A:$B,2,0),AG114,1),"")</f>
        <v>C</v>
      </c>
      <c r="AG114" s="2">
        <v>255</v>
      </c>
      <c r="AH114" s="3" t="str">
        <f>IFERROR(MID(VLOOKUP($B114,Seqs!$A:$B,2,0),AI114,1),"")</f>
        <v>L</v>
      </c>
      <c r="AI114" s="2">
        <v>257</v>
      </c>
      <c r="AJ114" s="3" t="str">
        <f>IFERROR(MID(VLOOKUP($B114,Seqs!$A:$B,2,0),AK114,1),"")</f>
        <v>T</v>
      </c>
      <c r="AK114" s="2">
        <v>263</v>
      </c>
      <c r="AL114" s="3" t="str">
        <f>IFERROR(MID(VLOOKUP($B114,Seqs!$A:$B,2,0),AM114,1),"")</f>
        <v>K</v>
      </c>
      <c r="AM114" s="2">
        <v>303</v>
      </c>
      <c r="AN114" s="3" t="str">
        <f>IFERROR(MID(VLOOKUP($B114,Seqs!$A:$B,2,0),AO114,1),"")</f>
        <v>N</v>
      </c>
      <c r="AO114" s="2">
        <v>312</v>
      </c>
      <c r="AP114" s="3" t="str">
        <f>IFERROR(MID(VLOOKUP($B114,Seqs!$A:$B,2,0),AQ114,1),"")</f>
        <v>Y</v>
      </c>
      <c r="AQ114" s="2">
        <v>350</v>
      </c>
      <c r="AR114" s="3" t="str">
        <f>IFERROR(MID(VLOOKUP($B114,Seqs!$A:$B,2,0),AS114,1),"")</f>
        <v>R</v>
      </c>
      <c r="AS114" s="2">
        <v>357</v>
      </c>
      <c r="AT114" s="3" t="str">
        <f>IFERROR(MID(VLOOKUP($B114,Seqs!$A:$B,2,0),AU114,1),"")</f>
        <v>V</v>
      </c>
      <c r="AU114" s="2">
        <v>389</v>
      </c>
      <c r="AV114" s="3" t="str">
        <f>IFERROR(MID(VLOOKUP($B114,Seqs!$A:$B,2,0),AW114,1),"")</f>
        <v>S</v>
      </c>
      <c r="AW114" s="2">
        <v>390</v>
      </c>
      <c r="AX114" s="3" t="str">
        <f>IFERROR(MID(VLOOKUP($B114,Seqs!$A:$B,2,0),AY114,1),"")</f>
        <v>C</v>
      </c>
      <c r="AY114" s="2">
        <v>403</v>
      </c>
      <c r="AZ114" s="79" t="str">
        <f>VLOOKUP(B114,Classification!A:D,2,0)</f>
        <v>A</v>
      </c>
      <c r="BA114" s="97" t="str">
        <f>VLOOKUP(B114,Classification!A:D,4,0)</f>
        <v>Endothelin</v>
      </c>
      <c r="BB114" s="27" t="b">
        <f t="shared" si="363"/>
        <v>1</v>
      </c>
      <c r="BC114" s="23">
        <f t="shared" si="641"/>
        <v>270</v>
      </c>
      <c r="BD114" s="2" t="s">
        <v>23</v>
      </c>
      <c r="BE114" s="3" t="s">
        <v>1381</v>
      </c>
      <c r="BF114" s="124">
        <v>2.5</v>
      </c>
      <c r="BG114" s="50" t="s">
        <v>1384</v>
      </c>
      <c r="BH114" s="50" t="s">
        <v>1384</v>
      </c>
      <c r="BI114" s="2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si="642"/>
        <v>91</v>
      </c>
      <c r="BW114" s="73">
        <f t="shared" si="643"/>
        <v>130</v>
      </c>
      <c r="BX114" s="74">
        <f t="shared" si="644"/>
        <v>135</v>
      </c>
      <c r="BY114" s="73">
        <f t="shared" si="645"/>
        <v>166</v>
      </c>
      <c r="BZ114" s="74">
        <f t="shared" si="646"/>
        <v>170</v>
      </c>
      <c r="CA114" s="73" t="str">
        <f t="shared" si="647"/>
        <v>-</v>
      </c>
      <c r="CB114" s="74">
        <f t="shared" si="648"/>
        <v>216</v>
      </c>
      <c r="CC114" s="73">
        <f t="shared" si="649"/>
        <v>255</v>
      </c>
      <c r="CD114" s="74">
        <f t="shared" si="650"/>
        <v>263</v>
      </c>
      <c r="CE114" s="73">
        <f t="shared" si="651"/>
        <v>312</v>
      </c>
      <c r="CF114" s="74">
        <f t="shared" si="652"/>
        <v>357</v>
      </c>
      <c r="CG114" s="73">
        <f t="shared" si="653"/>
        <v>390</v>
      </c>
      <c r="CH114" s="72">
        <f t="shared" si="654"/>
        <v>129</v>
      </c>
      <c r="CI114" s="73">
        <f t="shared" si="655"/>
        <v>134</v>
      </c>
      <c r="CJ114" s="74">
        <f t="shared" si="656"/>
        <v>164</v>
      </c>
      <c r="CK114" s="74">
        <f t="shared" si="657"/>
        <v>169</v>
      </c>
      <c r="CL114" s="74">
        <f t="shared" si="658"/>
        <v>205</v>
      </c>
      <c r="CM114" s="74" t="str">
        <f t="shared" si="659"/>
        <v>-</v>
      </c>
      <c r="CN114" s="74">
        <f t="shared" si="660"/>
        <v>240</v>
      </c>
      <c r="CO114" s="74">
        <f t="shared" si="661"/>
        <v>257</v>
      </c>
      <c r="CP114" s="74">
        <f t="shared" si="662"/>
        <v>303</v>
      </c>
      <c r="CQ114" s="74">
        <f t="shared" si="663"/>
        <v>350</v>
      </c>
      <c r="CR114" s="74">
        <f t="shared" si="664"/>
        <v>389</v>
      </c>
      <c r="CS114" s="74">
        <f t="shared" si="665"/>
        <v>403</v>
      </c>
      <c r="CT114" s="23">
        <f t="shared" si="666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s="12" customFormat="1" x14ac:dyDescent="0.2">
      <c r="A115" s="9" t="str">
        <f t="shared" ref="A115" si="667">CONCATENATE(B115,"_",C115)</f>
        <v>ednrb_human_5X93</v>
      </c>
      <c r="B115" s="41" t="s">
        <v>196</v>
      </c>
      <c r="C115" s="41" t="s">
        <v>1449</v>
      </c>
      <c r="D115" s="9" t="str">
        <f>IFERROR(MID(VLOOKUP($B115,Seqs!$A:$B,2,0),E115,1),"")</f>
        <v>Q</v>
      </c>
      <c r="E115" s="41">
        <v>91</v>
      </c>
      <c r="F115" s="9" t="str">
        <f>IFERROR(MID(VLOOKUP($B115,Seqs!$A:$B,2,0),G115,1),"")</f>
        <v>N</v>
      </c>
      <c r="G115" s="41">
        <v>129</v>
      </c>
      <c r="H115" s="9" t="str">
        <f>IFERROR(MID(VLOOKUP($B115,Seqs!$A:$B,2,0),I115,1),"")</f>
        <v>K</v>
      </c>
      <c r="I115" s="127">
        <v>130</v>
      </c>
      <c r="J115" s="9" t="str">
        <f>IFERROR(MID(VLOOKUP($B115,Seqs!$A:$B,2,0),K115,1),"")</f>
        <v>N</v>
      </c>
      <c r="K115" s="127">
        <v>134</v>
      </c>
      <c r="L115" s="9" t="str">
        <f>IFERROR(MID(VLOOKUP($B115,Seqs!$A:$B,2,0),M115,1),"")</f>
        <v>G</v>
      </c>
      <c r="M115" s="41">
        <v>135</v>
      </c>
      <c r="N115" s="9" t="str">
        <f>IFERROR(MID(VLOOKUP($B115,Seqs!$A:$B,2,0),O115,1),"")</f>
        <v>A</v>
      </c>
      <c r="O115" s="41">
        <v>164</v>
      </c>
      <c r="P115" s="9" t="str">
        <f>IFERROR(MID(VLOOKUP($B115,Seqs!$A:$B,2,0),Q115,1),"")</f>
        <v>D</v>
      </c>
      <c r="Q115" s="41">
        <v>166</v>
      </c>
      <c r="R115" s="9" t="str">
        <f>IFERROR(MID(VLOOKUP($B115,Seqs!$A:$B,2,0),S115,1),"")</f>
        <v>F</v>
      </c>
      <c r="S115" s="41">
        <v>169</v>
      </c>
      <c r="T115" s="9" t="str">
        <f>IFERROR(MID(VLOOKUP($B115,Seqs!$A:$B,2,0),U115,1),"")</f>
        <v>G</v>
      </c>
      <c r="U115" s="11">
        <v>170</v>
      </c>
      <c r="V115" s="9" t="str">
        <f>IFERROR(MID(VLOOKUP($B115,Seqs!$A:$B,2,0),W115,1),"")</f>
        <v>S</v>
      </c>
      <c r="W115" s="41">
        <v>205</v>
      </c>
      <c r="X115" s="9" t="str">
        <f>IFERROR(MID(VLOOKUP($B115,Seqs!$A:$B,2,0),Y115,1),"")</f>
        <v/>
      </c>
      <c r="Y115" s="41" t="s">
        <v>23</v>
      </c>
      <c r="Z115" s="9" t="str">
        <f>IFERROR(MID(VLOOKUP($B115,Seqs!$A:$B,2,0),AA115,1),"")</f>
        <v/>
      </c>
      <c r="AA115" s="41" t="s">
        <v>23</v>
      </c>
      <c r="AB115" s="9" t="str">
        <f>IFERROR(MID(VLOOKUP($B115,Seqs!$A:$B,2,0),AC115,1),"")</f>
        <v>K</v>
      </c>
      <c r="AC115" s="41">
        <v>216</v>
      </c>
      <c r="AD115" s="9" t="str">
        <f>IFERROR(MID(VLOOKUP($B115,Seqs!$A:$B,2,0),AE115,1),"")</f>
        <v>F</v>
      </c>
      <c r="AE115" s="41">
        <v>240</v>
      </c>
      <c r="AF115" s="9" t="str">
        <f>IFERROR(MID(VLOOKUP($B115,Seqs!$A:$B,2,0),AG115,1),"")</f>
        <v>C</v>
      </c>
      <c r="AG115" s="41">
        <v>255</v>
      </c>
      <c r="AH115" s="9" t="str">
        <f>IFERROR(MID(VLOOKUP($B115,Seqs!$A:$B,2,0),AI115,1),"")</f>
        <v>L</v>
      </c>
      <c r="AI115" s="41">
        <v>257</v>
      </c>
      <c r="AJ115" s="9" t="str">
        <f>IFERROR(MID(VLOOKUP($B115,Seqs!$A:$B,2,0),AK115,1),"")</f>
        <v>T</v>
      </c>
      <c r="AK115" s="41">
        <v>263</v>
      </c>
      <c r="AL115" s="9" t="str">
        <f>IFERROR(MID(VLOOKUP($B115,Seqs!$A:$B,2,0),AM115,1),"")</f>
        <v>K</v>
      </c>
      <c r="AM115" s="41">
        <v>303</v>
      </c>
      <c r="AN115" s="9" t="str">
        <f>IFERROR(MID(VLOOKUP($B115,Seqs!$A:$B,2,0),AO115,1),"")</f>
        <v>N</v>
      </c>
      <c r="AO115" s="41">
        <v>312</v>
      </c>
      <c r="AP115" s="9" t="str">
        <f>IFERROR(MID(VLOOKUP($B115,Seqs!$A:$B,2,0),AQ115,1),"")</f>
        <v>Y</v>
      </c>
      <c r="AQ115" s="41">
        <v>350</v>
      </c>
      <c r="AR115" s="9" t="str">
        <f>IFERROR(MID(VLOOKUP($B115,Seqs!$A:$B,2,0),AS115,1),"")</f>
        <v>R</v>
      </c>
      <c r="AS115" s="41">
        <v>357</v>
      </c>
      <c r="AT115" s="9" t="str">
        <f>IFERROR(MID(VLOOKUP($B115,Seqs!$A:$B,2,0),AU115,1),"")</f>
        <v>V</v>
      </c>
      <c r="AU115" s="41">
        <v>389</v>
      </c>
      <c r="AV115" s="9" t="str">
        <f>IFERROR(MID(VLOOKUP($B115,Seqs!$A:$B,2,0),AW115,1),"")</f>
        <v>S</v>
      </c>
      <c r="AW115" s="41">
        <v>390</v>
      </c>
      <c r="AX115" s="9" t="str">
        <f>IFERROR(MID(VLOOKUP($B115,Seqs!$A:$B,2,0),AY115,1),"")</f>
        <v>C</v>
      </c>
      <c r="AY115" s="41">
        <v>403</v>
      </c>
      <c r="AZ115" s="113" t="str">
        <f>VLOOKUP(B115,Classification!A:D,2,0)</f>
        <v>A</v>
      </c>
      <c r="BA115" s="101" t="str">
        <f>VLOOKUP(B115,Classification!A:D,4,0)</f>
        <v>Endothelin</v>
      </c>
      <c r="BB115" s="37" t="b">
        <f t="shared" ref="BB115" si="668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12">
        <f t="shared" ref="BC115" si="669">_xlfn.AGGREGATE(9,6,CH115:CS115)-_xlfn.AGGREGATE(9,6,BV115:CG115)+12</f>
        <v>270</v>
      </c>
      <c r="BD115" s="41" t="s">
        <v>1383</v>
      </c>
      <c r="BE115" s="9" t="s">
        <v>1381</v>
      </c>
      <c r="BF115" s="125">
        <v>2.2000000000000002</v>
      </c>
      <c r="BG115" s="52" t="s">
        <v>1</v>
      </c>
      <c r="BH115" s="52" t="s">
        <v>1</v>
      </c>
      <c r="BI115" s="41"/>
      <c r="BJ115" s="114" t="s">
        <v>1293</v>
      </c>
      <c r="BK115" s="115" t="s">
        <v>1293</v>
      </c>
      <c r="BL115" s="115" t="s">
        <v>1293</v>
      </c>
      <c r="BM115" s="115" t="s">
        <v>1293</v>
      </c>
      <c r="BN115" s="115" t="s">
        <v>1293</v>
      </c>
      <c r="BO115" s="115" t="s">
        <v>1293</v>
      </c>
      <c r="BP115" s="115" t="s">
        <v>1293</v>
      </c>
      <c r="BQ115" s="115" t="s">
        <v>1293</v>
      </c>
      <c r="BR115" s="115" t="s">
        <v>1293</v>
      </c>
      <c r="BS115" s="115" t="s">
        <v>1293</v>
      </c>
      <c r="BT115" s="115" t="s">
        <v>1293</v>
      </c>
      <c r="BU115" s="115" t="s">
        <v>1293</v>
      </c>
      <c r="BV115" s="114">
        <f t="shared" ref="BV115" si="670">E115</f>
        <v>91</v>
      </c>
      <c r="BW115" s="116">
        <f t="shared" ref="BW115" si="671">I115</f>
        <v>130</v>
      </c>
      <c r="BX115" s="117">
        <f t="shared" ref="BX115" si="672">M115</f>
        <v>135</v>
      </c>
      <c r="BY115" s="116">
        <f t="shared" ref="BY115" si="673">Q115</f>
        <v>166</v>
      </c>
      <c r="BZ115" s="117">
        <f t="shared" ref="BZ115" si="674">U115</f>
        <v>170</v>
      </c>
      <c r="CA115" s="116" t="str">
        <f t="shared" ref="CA115" si="675">Y115</f>
        <v>-</v>
      </c>
      <c r="CB115" s="117">
        <f t="shared" ref="CB115" si="676">AC115</f>
        <v>216</v>
      </c>
      <c r="CC115" s="116">
        <f t="shared" ref="CC115" si="677">AG115</f>
        <v>255</v>
      </c>
      <c r="CD115" s="117">
        <f t="shared" ref="CD115" si="678">AK115</f>
        <v>263</v>
      </c>
      <c r="CE115" s="116">
        <f t="shared" ref="CE115" si="679">AO115</f>
        <v>312</v>
      </c>
      <c r="CF115" s="117">
        <f t="shared" ref="CF115" si="680">AS115</f>
        <v>357</v>
      </c>
      <c r="CG115" s="116">
        <f t="shared" ref="CG115" si="681">AW115</f>
        <v>390</v>
      </c>
      <c r="CH115" s="114">
        <f t="shared" ref="CH115" si="682">G115</f>
        <v>129</v>
      </c>
      <c r="CI115" s="116">
        <f t="shared" ref="CI115" si="683">K115</f>
        <v>134</v>
      </c>
      <c r="CJ115" s="117">
        <f t="shared" ref="CJ115" si="684">O115</f>
        <v>164</v>
      </c>
      <c r="CK115" s="117">
        <f t="shared" ref="CK115" si="685">S115</f>
        <v>169</v>
      </c>
      <c r="CL115" s="117">
        <f t="shared" ref="CL115" si="686">W115</f>
        <v>205</v>
      </c>
      <c r="CM115" s="117" t="str">
        <f t="shared" ref="CM115" si="687">AA115</f>
        <v>-</v>
      </c>
      <c r="CN115" s="117">
        <f t="shared" ref="CN115" si="688">AE115</f>
        <v>240</v>
      </c>
      <c r="CO115" s="117">
        <f t="shared" ref="CO115" si="689">AI115</f>
        <v>257</v>
      </c>
      <c r="CP115" s="117">
        <f t="shared" ref="CP115" si="690">AM115</f>
        <v>303</v>
      </c>
      <c r="CQ115" s="117">
        <f t="shared" ref="CQ115" si="691">AQ115</f>
        <v>350</v>
      </c>
      <c r="CR115" s="117">
        <f t="shared" ref="CR115" si="692">AU115</f>
        <v>389</v>
      </c>
      <c r="CS115" s="117">
        <f t="shared" ref="CS115" si="693">AY115</f>
        <v>403</v>
      </c>
      <c r="CT115" s="112">
        <f t="shared" ref="CT115" si="694">M115-K115</f>
        <v>1</v>
      </c>
    </row>
    <row r="116" spans="1:1029" s="12" customFormat="1" x14ac:dyDescent="0.2">
      <c r="A116" s="9" t="str">
        <f t="shared" ref="A116" si="695">CONCATENATE(B116,"_",C116)</f>
        <v>ednrb_human_5XPR</v>
      </c>
      <c r="B116" s="41" t="s">
        <v>196</v>
      </c>
      <c r="C116" s="41" t="s">
        <v>1450</v>
      </c>
      <c r="D116" s="9" t="str">
        <f>IFERROR(MID(VLOOKUP($B116,Seqs!$A:$B,2,0),E116,1),"")</f>
        <v>G</v>
      </c>
      <c r="E116" s="41">
        <v>92</v>
      </c>
      <c r="F116" s="9" t="str">
        <f>IFERROR(MID(VLOOKUP($B116,Seqs!$A:$B,2,0),G116,1),"")</f>
        <v>N</v>
      </c>
      <c r="G116" s="41">
        <v>129</v>
      </c>
      <c r="H116" s="9" t="str">
        <f>IFERROR(MID(VLOOKUP($B116,Seqs!$A:$B,2,0),I116,1),"")</f>
        <v>K</v>
      </c>
      <c r="I116" s="127">
        <v>130</v>
      </c>
      <c r="J116" s="9" t="str">
        <f>IFERROR(MID(VLOOKUP($B116,Seqs!$A:$B,2,0),K116,1),"")</f>
        <v>N</v>
      </c>
      <c r="K116" s="127">
        <v>134</v>
      </c>
      <c r="L116" s="9" t="str">
        <f>IFERROR(MID(VLOOKUP($B116,Seqs!$A:$B,2,0),M116,1),"")</f>
        <v>G</v>
      </c>
      <c r="M116" s="41">
        <v>135</v>
      </c>
      <c r="N116" s="9" t="str">
        <f>IFERROR(MID(VLOOKUP($B116,Seqs!$A:$B,2,0),O116,1),"")</f>
        <v>A</v>
      </c>
      <c r="O116" s="41">
        <v>164</v>
      </c>
      <c r="P116" s="9" t="str">
        <f>IFERROR(MID(VLOOKUP($B116,Seqs!$A:$B,2,0),Q116,1),"")</f>
        <v>D</v>
      </c>
      <c r="Q116" s="41">
        <v>166</v>
      </c>
      <c r="R116" s="9" t="str">
        <f>IFERROR(MID(VLOOKUP($B116,Seqs!$A:$B,2,0),S116,1),"")</f>
        <v>F</v>
      </c>
      <c r="S116" s="41">
        <v>169</v>
      </c>
      <c r="T116" s="9" t="str">
        <f>IFERROR(MID(VLOOKUP($B116,Seqs!$A:$B,2,0),U116,1),"")</f>
        <v>A</v>
      </c>
      <c r="U116" s="11">
        <v>171</v>
      </c>
      <c r="V116" s="9" t="str">
        <f>IFERROR(MID(VLOOKUP($B116,Seqs!$A:$B,2,0),W116,1),"")</f>
        <v>A</v>
      </c>
      <c r="W116" s="41">
        <v>202</v>
      </c>
      <c r="X116" s="9" t="str">
        <f>IFERROR(MID(VLOOKUP($B116,Seqs!$A:$B,2,0),Y116,1),"")</f>
        <v/>
      </c>
      <c r="Y116" s="41" t="s">
        <v>23</v>
      </c>
      <c r="Z116" s="9" t="str">
        <f>IFERROR(MID(VLOOKUP($B116,Seqs!$A:$B,2,0),AA116,1),"")</f>
        <v/>
      </c>
      <c r="AA116" s="41" t="s">
        <v>23</v>
      </c>
      <c r="AB116" s="9" t="str">
        <f>IFERROR(MID(VLOOKUP($B116,Seqs!$A:$B,2,0),AC116,1),"")</f>
        <v>K</v>
      </c>
      <c r="AC116" s="41">
        <v>216</v>
      </c>
      <c r="AD116" s="9" t="str">
        <f>IFERROR(MID(VLOOKUP($B116,Seqs!$A:$B,2,0),AE116,1),"")</f>
        <v>F</v>
      </c>
      <c r="AE116" s="41">
        <v>240</v>
      </c>
      <c r="AF116" s="9" t="str">
        <f>IFERROR(MID(VLOOKUP($B116,Seqs!$A:$B,2,0),AG116,1),"")</f>
        <v>C</v>
      </c>
      <c r="AG116" s="41">
        <v>255</v>
      </c>
      <c r="AH116" s="9" t="str">
        <f>IFERROR(MID(VLOOKUP($B116,Seqs!$A:$B,2,0),AI116,1),"")</f>
        <v>L</v>
      </c>
      <c r="AI116" s="41">
        <v>257</v>
      </c>
      <c r="AJ116" s="9" t="str">
        <f>IFERROR(MID(VLOOKUP($B116,Seqs!$A:$B,2,0),AK116,1),"")</f>
        <v>T</v>
      </c>
      <c r="AK116" s="41">
        <v>263</v>
      </c>
      <c r="AL116" s="9" t="str">
        <f>IFERROR(MID(VLOOKUP($B116,Seqs!$A:$B,2,0),AM116,1),"")</f>
        <v>K</v>
      </c>
      <c r="AM116" s="41">
        <v>303</v>
      </c>
      <c r="AN116" s="9" t="str">
        <f>IFERROR(MID(VLOOKUP($B116,Seqs!$A:$B,2,0),AO116,1),"")</f>
        <v>N</v>
      </c>
      <c r="AO116" s="41">
        <v>312</v>
      </c>
      <c r="AP116" s="9" t="str">
        <f>IFERROR(MID(VLOOKUP($B116,Seqs!$A:$B,2,0),AQ116,1),"")</f>
        <v>L</v>
      </c>
      <c r="AQ116" s="41">
        <v>349</v>
      </c>
      <c r="AR116" s="9" t="str">
        <f>IFERROR(MID(VLOOKUP($B116,Seqs!$A:$B,2,0),AS116,1),"")</f>
        <v>N</v>
      </c>
      <c r="AS116" s="41">
        <v>356</v>
      </c>
      <c r="AT116" s="9" t="str">
        <f>IFERROR(MID(VLOOKUP($B116,Seqs!$A:$B,2,0),AU116,1),"")</f>
        <v>V</v>
      </c>
      <c r="AU116" s="41">
        <v>389</v>
      </c>
      <c r="AV116" s="9" t="str">
        <f>IFERROR(MID(VLOOKUP($B116,Seqs!$A:$B,2,0),AW116,1),"")</f>
        <v>S</v>
      </c>
      <c r="AW116" s="41">
        <v>390</v>
      </c>
      <c r="AX116" s="9" t="str">
        <f>IFERROR(MID(VLOOKUP($B116,Seqs!$A:$B,2,0),AY116,1),"")</f>
        <v>C</v>
      </c>
      <c r="AY116" s="41">
        <v>402</v>
      </c>
      <c r="AZ116" s="113" t="str">
        <f>VLOOKUP(B116,Classification!A:D,2,0)</f>
        <v>A</v>
      </c>
      <c r="BA116" s="101" t="str">
        <f>VLOOKUP(B116,Classification!A:D,4,0)</f>
        <v>Endothelin</v>
      </c>
      <c r="BB116" s="37" t="b">
        <f t="shared" ref="BB116" si="696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112">
        <f t="shared" ref="BC116" si="697">_xlfn.AGGREGATE(9,6,CH116:CS116)-_xlfn.AGGREGATE(9,6,BV116:CG116)+12</f>
        <v>264</v>
      </c>
      <c r="BD116" s="41" t="s">
        <v>23</v>
      </c>
      <c r="BE116" s="9" t="s">
        <v>1381</v>
      </c>
      <c r="BF116" s="125">
        <v>3.6</v>
      </c>
      <c r="BG116" s="52" t="s">
        <v>1</v>
      </c>
      <c r="BH116" s="52" t="s">
        <v>1</v>
      </c>
      <c r="BI116" s="41"/>
      <c r="BJ116" s="114" t="s">
        <v>1293</v>
      </c>
      <c r="BK116" s="115" t="s">
        <v>1293</v>
      </c>
      <c r="BL116" s="115" t="s">
        <v>1293</v>
      </c>
      <c r="BM116" s="115" t="s">
        <v>1293</v>
      </c>
      <c r="BN116" s="115" t="s">
        <v>1293</v>
      </c>
      <c r="BO116" s="115" t="s">
        <v>1293</v>
      </c>
      <c r="BP116" s="115" t="s">
        <v>1293</v>
      </c>
      <c r="BQ116" s="115" t="s">
        <v>1293</v>
      </c>
      <c r="BR116" s="115" t="s">
        <v>1293</v>
      </c>
      <c r="BS116" s="115" t="s">
        <v>1293</v>
      </c>
      <c r="BT116" s="115" t="s">
        <v>1293</v>
      </c>
      <c r="BU116" s="115" t="s">
        <v>1293</v>
      </c>
      <c r="BV116" s="114">
        <f t="shared" ref="BV116" si="698">E116</f>
        <v>92</v>
      </c>
      <c r="BW116" s="116">
        <f t="shared" ref="BW116" si="699">I116</f>
        <v>130</v>
      </c>
      <c r="BX116" s="117">
        <f t="shared" ref="BX116" si="700">M116</f>
        <v>135</v>
      </c>
      <c r="BY116" s="116">
        <f t="shared" ref="BY116" si="701">Q116</f>
        <v>166</v>
      </c>
      <c r="BZ116" s="117">
        <f t="shared" ref="BZ116" si="702">U116</f>
        <v>171</v>
      </c>
      <c r="CA116" s="116" t="str">
        <f t="shared" ref="CA116" si="703">Y116</f>
        <v>-</v>
      </c>
      <c r="CB116" s="117">
        <f t="shared" ref="CB116" si="704">AC116</f>
        <v>216</v>
      </c>
      <c r="CC116" s="116">
        <f t="shared" ref="CC116" si="705">AG116</f>
        <v>255</v>
      </c>
      <c r="CD116" s="117">
        <f t="shared" ref="CD116" si="706">AK116</f>
        <v>263</v>
      </c>
      <c r="CE116" s="116">
        <f t="shared" ref="CE116" si="707">AO116</f>
        <v>312</v>
      </c>
      <c r="CF116" s="117">
        <f t="shared" ref="CF116" si="708">AS116</f>
        <v>356</v>
      </c>
      <c r="CG116" s="116">
        <f t="shared" ref="CG116" si="709">AW116</f>
        <v>390</v>
      </c>
      <c r="CH116" s="114">
        <f t="shared" ref="CH116" si="710">G116</f>
        <v>129</v>
      </c>
      <c r="CI116" s="116">
        <f t="shared" ref="CI116" si="711">K116</f>
        <v>134</v>
      </c>
      <c r="CJ116" s="117">
        <f t="shared" ref="CJ116" si="712">O116</f>
        <v>164</v>
      </c>
      <c r="CK116" s="117">
        <f t="shared" ref="CK116" si="713">S116</f>
        <v>169</v>
      </c>
      <c r="CL116" s="117">
        <f t="shared" ref="CL116" si="714">W116</f>
        <v>202</v>
      </c>
      <c r="CM116" s="117" t="str">
        <f t="shared" ref="CM116" si="715">AA116</f>
        <v>-</v>
      </c>
      <c r="CN116" s="117">
        <f t="shared" ref="CN116" si="716">AE116</f>
        <v>240</v>
      </c>
      <c r="CO116" s="117">
        <f t="shared" ref="CO116" si="717">AI116</f>
        <v>257</v>
      </c>
      <c r="CP116" s="117">
        <f t="shared" ref="CP116" si="718">AM116</f>
        <v>303</v>
      </c>
      <c r="CQ116" s="117">
        <f t="shared" ref="CQ116" si="719">AQ116</f>
        <v>349</v>
      </c>
      <c r="CR116" s="117">
        <f t="shared" ref="CR116" si="720">AU116</f>
        <v>389</v>
      </c>
      <c r="CS116" s="117">
        <f t="shared" ref="CS116" si="721">AY116</f>
        <v>402</v>
      </c>
      <c r="CT116" s="112">
        <f t="shared" ref="CT116" si="722">M116-K116</f>
        <v>1</v>
      </c>
    </row>
    <row r="117" spans="1:1029" x14ac:dyDescent="0.2">
      <c r="A117" s="3" t="str">
        <f t="shared" si="362"/>
        <v>ffar1_human__wt</v>
      </c>
      <c r="B117" s="3" t="s">
        <v>1173</v>
      </c>
      <c r="C117" s="3" t="s">
        <v>100</v>
      </c>
      <c r="D117" s="3" t="str">
        <f>IFERROR(MID(VLOOKUP($B117,Seqs!$A:$B,2,0),E117,1),"")</f>
        <v>P</v>
      </c>
      <c r="E117" s="3">
        <v>4</v>
      </c>
      <c r="F117" s="3" t="str">
        <f>IFERROR(MID(VLOOKUP($B117,Seqs!$A:$B,2,0),G117,1),"")</f>
        <v>R</v>
      </c>
      <c r="G117" s="3">
        <v>37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39</v>
      </c>
      <c r="N117" s="3" t="str">
        <f>IFERROR(MID(VLOOKUP($B117,Seqs!$A:$B,2,0),O117,1),"")</f>
        <v>S</v>
      </c>
      <c r="O117" s="3">
        <v>69</v>
      </c>
      <c r="P117" s="3" t="str">
        <f>IFERROR(MID(VLOOKUP($B117,Seqs!$A:$B,2,0),Q117,1),"")</f>
        <v>A</v>
      </c>
      <c r="Q117" s="3">
        <v>71</v>
      </c>
      <c r="R117" s="3" t="str">
        <f>IFERROR(MID(VLOOKUP($B117,Seqs!$A:$B,2,0),S117,1),"")</f>
        <v>L</v>
      </c>
      <c r="S117" s="3">
        <v>74</v>
      </c>
      <c r="T117" s="3" t="str">
        <f>IFERROR(MID(VLOOKUP($B117,Seqs!$A:$B,2,0),U117,1),"")</f>
        <v>P</v>
      </c>
      <c r="U117" s="3">
        <v>75</v>
      </c>
      <c r="V117" s="3" t="str">
        <f>IFERROR(MID(VLOOKUP($B117,Seqs!$A:$B,2,0),W117,1),"")</f>
        <v>F</v>
      </c>
      <c r="W117" s="3">
        <v>110</v>
      </c>
      <c r="X117" s="3" t="str">
        <f>IFERROR(MID(VLOOKUP($B117,Seqs!$A:$B,2,0),Y117,1),"")</f>
        <v>P</v>
      </c>
      <c r="Y117" s="3">
        <v>111</v>
      </c>
      <c r="Z117" s="3" t="str">
        <f>IFERROR(MID(VLOOKUP($B117,Seqs!$A:$B,2,0),AA117,1),"")</f>
        <v>R</v>
      </c>
      <c r="AA117" s="3">
        <v>118</v>
      </c>
      <c r="AB117" s="3" t="str">
        <f>IFERROR(MID(VLOOKUP($B117,Seqs!$A:$B,2,0),AC117,1),"")</f>
        <v>R</v>
      </c>
      <c r="AC117" s="9">
        <v>119</v>
      </c>
      <c r="AD117" s="3" t="str">
        <f>IFERROR(MID(VLOOKUP($B117,Seqs!$A:$B,2,0),AE117,1),"")</f>
        <v>A</v>
      </c>
      <c r="AE117" s="3">
        <v>146</v>
      </c>
      <c r="AF117" s="3" t="str">
        <f>IFERROR(MID(VLOOKUP($B117,Seqs!$A:$B,2,0),AG117,1),"")</f>
        <v>C</v>
      </c>
      <c r="AG117" s="3">
        <v>170</v>
      </c>
      <c r="AH117" s="3" t="str">
        <f>IFERROR(MID(VLOOKUP($B117,Seqs!$A:$B,2,0),AI117,1),"")</f>
        <v>E</v>
      </c>
      <c r="AI117" s="3">
        <v>172</v>
      </c>
      <c r="AJ117" s="3" t="str">
        <f>IFERROR(MID(VLOOKUP($B117,Seqs!$A:$B,2,0),AK117,1),"")</f>
        <v>D</v>
      </c>
      <c r="AK117" s="3">
        <v>175</v>
      </c>
      <c r="AL117" s="3" t="str">
        <f>IFERROR(MID(VLOOKUP($B117,Seqs!$A:$B,2,0),AM117,1),"")</f>
        <v>R</v>
      </c>
      <c r="AM117" s="3">
        <v>211</v>
      </c>
      <c r="AN117" s="3" t="str">
        <f>IFERROR(MID(VLOOKUP($B117,Seqs!$A:$B,2,0),AO117,1),"")</f>
        <v>R</v>
      </c>
      <c r="AO117" s="3">
        <v>217</v>
      </c>
      <c r="AP117" s="3" t="str">
        <f>IFERROR(MID(VLOOKUP($B117,Seqs!$A:$B,2,0),AQ117,1),"")</f>
        <v>Y</v>
      </c>
      <c r="AQ117" s="3">
        <v>250</v>
      </c>
      <c r="AR117" s="3" t="str">
        <f>IFERROR(MID(VLOOKUP($B117,Seqs!$A:$B,2,0),AS117,1),"")</f>
        <v>G</v>
      </c>
      <c r="AS117" s="3">
        <v>255</v>
      </c>
      <c r="AT117" s="3" t="str">
        <f>IFERROR(MID(VLOOKUP($B117,Seqs!$A:$B,2,0),AU117,1),"")</f>
        <v>L</v>
      </c>
      <c r="AU117" s="3">
        <v>279</v>
      </c>
      <c r="AV117" s="3" t="str">
        <f>IFERROR(MID(VLOOKUP($B117,Seqs!$A:$B,2,0),AW117,1),"")</f>
        <v>G</v>
      </c>
      <c r="AW117" s="3">
        <v>280</v>
      </c>
      <c r="AX117" s="3" t="str">
        <f>IFERROR(MID(VLOOKUP($B117,Seqs!$A:$B,2,0),AY117,1),"")</f>
        <v>Q</v>
      </c>
      <c r="AY117" s="3">
        <v>294</v>
      </c>
      <c r="AZ117" s="79" t="str">
        <f>VLOOKUP(B117,Classification!A:D,2,0)</f>
        <v>A</v>
      </c>
      <c r="BA117" s="97" t="str">
        <f>VLOOKUP(B117,Classification!A:D,4,0)</f>
        <v>Freefattyacid</v>
      </c>
      <c r="BB117" s="27" t="b">
        <f t="shared" si="363"/>
        <v>1</v>
      </c>
      <c r="BC117" s="23">
        <f t="shared" si="641"/>
        <v>256</v>
      </c>
      <c r="BD117" s="35" t="s">
        <v>1379</v>
      </c>
      <c r="BE117" s="3" t="s">
        <v>23</v>
      </c>
      <c r="BF117" s="124" t="s">
        <v>23</v>
      </c>
      <c r="BG117" s="50" t="s">
        <v>1379</v>
      </c>
      <c r="BH117" s="50" t="s">
        <v>1384</v>
      </c>
      <c r="BI117" s="1"/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642"/>
        <v>4</v>
      </c>
      <c r="BW117" s="73" t="str">
        <f t="shared" si="643"/>
        <v>-</v>
      </c>
      <c r="BX117" s="74">
        <f t="shared" si="644"/>
        <v>39</v>
      </c>
      <c r="BY117" s="73">
        <f t="shared" si="645"/>
        <v>71</v>
      </c>
      <c r="BZ117" s="74">
        <f t="shared" si="646"/>
        <v>75</v>
      </c>
      <c r="CA117" s="73">
        <f t="shared" si="647"/>
        <v>111</v>
      </c>
      <c r="CB117" s="74">
        <f t="shared" si="648"/>
        <v>119</v>
      </c>
      <c r="CC117" s="73">
        <f t="shared" si="649"/>
        <v>170</v>
      </c>
      <c r="CD117" s="74">
        <f t="shared" si="650"/>
        <v>175</v>
      </c>
      <c r="CE117" s="73">
        <f t="shared" si="651"/>
        <v>217</v>
      </c>
      <c r="CF117" s="74">
        <f t="shared" si="652"/>
        <v>255</v>
      </c>
      <c r="CG117" s="73">
        <f t="shared" si="653"/>
        <v>280</v>
      </c>
      <c r="CH117" s="72">
        <f t="shared" si="654"/>
        <v>37</v>
      </c>
      <c r="CI117" s="73" t="str">
        <f t="shared" si="655"/>
        <v>-</v>
      </c>
      <c r="CJ117" s="74">
        <f t="shared" si="656"/>
        <v>69</v>
      </c>
      <c r="CK117" s="74">
        <f t="shared" si="657"/>
        <v>74</v>
      </c>
      <c r="CL117" s="74">
        <f t="shared" si="658"/>
        <v>110</v>
      </c>
      <c r="CM117" s="74">
        <f t="shared" si="659"/>
        <v>118</v>
      </c>
      <c r="CN117" s="74">
        <f t="shared" si="660"/>
        <v>146</v>
      </c>
      <c r="CO117" s="74">
        <f t="shared" si="661"/>
        <v>172</v>
      </c>
      <c r="CP117" s="74">
        <f t="shared" si="662"/>
        <v>211</v>
      </c>
      <c r="CQ117" s="74">
        <f t="shared" si="663"/>
        <v>250</v>
      </c>
      <c r="CR117" s="74">
        <f t="shared" si="664"/>
        <v>279</v>
      </c>
      <c r="CS117" s="74">
        <f t="shared" si="665"/>
        <v>294</v>
      </c>
      <c r="CT117" s="23" t="e">
        <f t="shared" si="666"/>
        <v>#VALUE!</v>
      </c>
    </row>
    <row r="118" spans="1:1029" x14ac:dyDescent="0.2">
      <c r="A118" s="3" t="str">
        <f t="shared" si="362"/>
        <v>ffar1_human_4PHU</v>
      </c>
      <c r="B118" s="3" t="s">
        <v>1173</v>
      </c>
      <c r="C118" s="3" t="s">
        <v>52</v>
      </c>
      <c r="D118" s="3" t="str">
        <f>IFERROR(MID(VLOOKUP($B118,Seqs!$A:$B,2,0),E118,1),"")</f>
        <v>P</v>
      </c>
      <c r="E118" s="3">
        <v>4</v>
      </c>
      <c r="F118" s="3" t="str">
        <f>IFERROR(MID(VLOOKUP($B118,Seqs!$A:$B,2,0),G118,1),"")</f>
        <v>R</v>
      </c>
      <c r="G118" s="3">
        <v>37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39</v>
      </c>
      <c r="N118" s="3" t="str">
        <f>IFERROR(MID(VLOOKUP($B118,Seqs!$A:$B,2,0),O118,1),"")</f>
        <v>S</v>
      </c>
      <c r="O118" s="3">
        <v>69</v>
      </c>
      <c r="P118" s="3" t="str">
        <f>IFERROR(MID(VLOOKUP($B118,Seqs!$A:$B,2,0),Q118,1),"")</f>
        <v>A</v>
      </c>
      <c r="Q118" s="3">
        <v>71</v>
      </c>
      <c r="R118" s="3" t="str">
        <f>IFERROR(MID(VLOOKUP($B118,Seqs!$A:$B,2,0),S118,1),"")</f>
        <v>L</v>
      </c>
      <c r="S118" s="3">
        <v>74</v>
      </c>
      <c r="T118" s="3" t="str">
        <f>IFERROR(MID(VLOOKUP($B118,Seqs!$A:$B,2,0),U118,1),"")</f>
        <v>P</v>
      </c>
      <c r="U118" s="3">
        <v>75</v>
      </c>
      <c r="V118" s="3" t="str">
        <f>IFERROR(MID(VLOOKUP($B118,Seqs!$A:$B,2,0),W118,1),"")</f>
        <v>F</v>
      </c>
      <c r="W118" s="3">
        <v>110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C</v>
      </c>
      <c r="AC118" s="9">
        <v>121</v>
      </c>
      <c r="AD118" s="3" t="str">
        <f>IFERROR(MID(VLOOKUP($B118,Seqs!$A:$B,2,0),AE118,1),"")</f>
        <v>A</v>
      </c>
      <c r="AE118" s="3">
        <v>146</v>
      </c>
      <c r="AF118" s="3" t="str">
        <f>IFERROR(MID(VLOOKUP($B118,Seqs!$A:$B,2,0),AG118,1),"")</f>
        <v>C</v>
      </c>
      <c r="AG118" s="3">
        <v>170</v>
      </c>
      <c r="AH118" s="3" t="str">
        <f>IFERROR(MID(VLOOKUP($B118,Seqs!$A:$B,2,0),AI118,1),"")</f>
        <v>E</v>
      </c>
      <c r="AI118" s="3">
        <v>172</v>
      </c>
      <c r="AJ118" s="3" t="str">
        <f>IFERROR(MID(VLOOKUP($B118,Seqs!$A:$B,2,0),AK118,1),"")</f>
        <v>D</v>
      </c>
      <c r="AK118" s="3">
        <v>175</v>
      </c>
      <c r="AL118" s="3" t="str">
        <f>IFERROR(MID(VLOOKUP($B118,Seqs!$A:$B,2,0),AM118,1),"")</f>
        <v>A</v>
      </c>
      <c r="AM118" s="3">
        <v>210</v>
      </c>
      <c r="AN118" s="3" t="str">
        <f>IFERROR(MID(VLOOKUP($B118,Seqs!$A:$B,2,0),AO118,1),"")</f>
        <v>L</v>
      </c>
      <c r="AO118" s="3">
        <v>214</v>
      </c>
      <c r="AP118" s="3" t="str">
        <f>IFERROR(MID(VLOOKUP($B118,Seqs!$A:$B,2,0),AQ118,1),"")</f>
        <v>Y</v>
      </c>
      <c r="AQ118" s="3">
        <v>250</v>
      </c>
      <c r="AR118" s="3" t="str">
        <f>IFERROR(MID(VLOOKUP($B118,Seqs!$A:$B,2,0),AS118,1),"")</f>
        <v>G</v>
      </c>
      <c r="AS118" s="3">
        <v>255</v>
      </c>
      <c r="AT118" s="3" t="str">
        <f>IFERROR(MID(VLOOKUP($B118,Seqs!$A:$B,2,0),AU118,1),"")</f>
        <v>T</v>
      </c>
      <c r="AU118" s="3">
        <v>276</v>
      </c>
      <c r="AV118" s="3" t="str">
        <f>IFERROR(MID(VLOOKUP($B118,Seqs!$A:$B,2,0),AW118,1),"")</f>
        <v/>
      </c>
      <c r="AW118" s="3" t="s">
        <v>23</v>
      </c>
      <c r="AX118" s="3" t="str">
        <f>IFERROR(MID(VLOOKUP($B118,Seqs!$A:$B,2,0),AY118,1),"")</f>
        <v/>
      </c>
      <c r="AY118" s="3" t="s">
        <v>23</v>
      </c>
      <c r="AZ118" s="79" t="str">
        <f>VLOOKUP(B118,Classification!A:D,2,0)</f>
        <v>A</v>
      </c>
      <c r="BA118" s="97" t="str">
        <f>VLOOKUP(B118,Classification!A:D,4,0)</f>
        <v>Freefattyacid</v>
      </c>
      <c r="BB118" s="27" t="b">
        <f t="shared" si="363"/>
        <v>1</v>
      </c>
      <c r="BC118" s="23">
        <f t="shared" si="641"/>
        <v>232</v>
      </c>
      <c r="BD118" s="16" t="s">
        <v>23</v>
      </c>
      <c r="BE118" s="3" t="s">
        <v>1439</v>
      </c>
      <c r="BF118" s="124">
        <v>2.33</v>
      </c>
      <c r="BG118" s="50" t="s">
        <v>1384</v>
      </c>
      <c r="BH118" s="50" t="s">
        <v>1384</v>
      </c>
      <c r="BI118" s="1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642"/>
        <v>4</v>
      </c>
      <c r="BW118" s="73" t="str">
        <f t="shared" si="643"/>
        <v>-</v>
      </c>
      <c r="BX118" s="74">
        <f t="shared" si="644"/>
        <v>39</v>
      </c>
      <c r="BY118" s="73">
        <f t="shared" si="645"/>
        <v>71</v>
      </c>
      <c r="BZ118" s="74">
        <f t="shared" si="646"/>
        <v>75</v>
      </c>
      <c r="CA118" s="73" t="str">
        <f t="shared" si="647"/>
        <v>-</v>
      </c>
      <c r="CB118" s="74">
        <f t="shared" si="648"/>
        <v>121</v>
      </c>
      <c r="CC118" s="73">
        <f t="shared" si="649"/>
        <v>170</v>
      </c>
      <c r="CD118" s="74">
        <f t="shared" si="650"/>
        <v>175</v>
      </c>
      <c r="CE118" s="73">
        <f t="shared" si="651"/>
        <v>214</v>
      </c>
      <c r="CF118" s="74">
        <f t="shared" si="652"/>
        <v>255</v>
      </c>
      <c r="CG118" s="73" t="str">
        <f t="shared" si="653"/>
        <v>-</v>
      </c>
      <c r="CH118" s="72">
        <f t="shared" si="654"/>
        <v>37</v>
      </c>
      <c r="CI118" s="73" t="str">
        <f t="shared" si="655"/>
        <v>-</v>
      </c>
      <c r="CJ118" s="74">
        <f t="shared" si="656"/>
        <v>69</v>
      </c>
      <c r="CK118" s="74">
        <f t="shared" si="657"/>
        <v>74</v>
      </c>
      <c r="CL118" s="74">
        <f t="shared" si="658"/>
        <v>110</v>
      </c>
      <c r="CM118" s="74" t="str">
        <f t="shared" si="659"/>
        <v>-</v>
      </c>
      <c r="CN118" s="74">
        <f t="shared" si="660"/>
        <v>146</v>
      </c>
      <c r="CO118" s="74">
        <f t="shared" si="661"/>
        <v>172</v>
      </c>
      <c r="CP118" s="74">
        <f t="shared" si="662"/>
        <v>210</v>
      </c>
      <c r="CQ118" s="74">
        <f t="shared" si="663"/>
        <v>250</v>
      </c>
      <c r="CR118" s="74">
        <f t="shared" si="664"/>
        <v>276</v>
      </c>
      <c r="CS118" s="74" t="str">
        <f t="shared" si="665"/>
        <v>-</v>
      </c>
      <c r="CT118" s="23" t="e">
        <f t="shared" si="666"/>
        <v>#VALUE!</v>
      </c>
    </row>
    <row r="119" spans="1:1029" s="12" customFormat="1" x14ac:dyDescent="0.2">
      <c r="A119" s="9" t="str">
        <f t="shared" ref="A119" si="723">CONCATENATE(B119,"_",C119)</f>
        <v>ffar1_human_5TZR</v>
      </c>
      <c r="B119" s="9" t="s">
        <v>1173</v>
      </c>
      <c r="C119" s="9" t="s">
        <v>1426</v>
      </c>
      <c r="D119" s="9" t="str">
        <f>IFERROR(MID(VLOOKUP($B119,Seqs!$A:$B,2,0),E119,1),"")</f>
        <v>P</v>
      </c>
      <c r="E119" s="9">
        <v>4</v>
      </c>
      <c r="F119" s="9" t="str">
        <f>IFERROR(MID(VLOOKUP($B119,Seqs!$A:$B,2,0),G119,1),"")</f>
        <v>R</v>
      </c>
      <c r="G119" s="9">
        <v>37</v>
      </c>
      <c r="H119" s="9" t="str">
        <f>IFERROR(MID(VLOOKUP($B119,Seqs!$A:$B,2,0),I119,1),"")</f>
        <v/>
      </c>
      <c r="I119" s="112" t="s">
        <v>23</v>
      </c>
      <c r="J119" s="9" t="str">
        <f>IFERROR(MID(VLOOKUP($B119,Seqs!$A:$B,2,0),K119,1),"")</f>
        <v/>
      </c>
      <c r="K119" s="112" t="s">
        <v>23</v>
      </c>
      <c r="L119" s="9" t="str">
        <f>IFERROR(MID(VLOOKUP($B119,Seqs!$A:$B,2,0),M119,1),"")</f>
        <v>T</v>
      </c>
      <c r="M119" s="9">
        <v>39</v>
      </c>
      <c r="N119" s="9" t="str">
        <f>IFERROR(MID(VLOOKUP($B119,Seqs!$A:$B,2,0),O119,1),"")</f>
        <v>S</v>
      </c>
      <c r="O119" s="9">
        <v>69</v>
      </c>
      <c r="P119" s="9" t="str">
        <f>IFERROR(MID(VLOOKUP($B119,Seqs!$A:$B,2,0),Q119,1),"")</f>
        <v>A</v>
      </c>
      <c r="Q119" s="9">
        <v>71</v>
      </c>
      <c r="R119" s="9" t="str">
        <f>IFERROR(MID(VLOOKUP($B119,Seqs!$A:$B,2,0),S119,1),"")</f>
        <v>L</v>
      </c>
      <c r="S119" s="9">
        <v>74</v>
      </c>
      <c r="T119" s="9" t="str">
        <f>IFERROR(MID(VLOOKUP($B119,Seqs!$A:$B,2,0),U119,1),"")</f>
        <v>P</v>
      </c>
      <c r="U119" s="9">
        <v>75</v>
      </c>
      <c r="V119" s="9" t="str">
        <f>IFERROR(MID(VLOOKUP($B119,Seqs!$A:$B,2,0),W119,1),"")</f>
        <v>F</v>
      </c>
      <c r="W119" s="9">
        <v>110</v>
      </c>
      <c r="X119" s="9" t="str">
        <f>IFERROR(MID(VLOOKUP($B119,Seqs!$A:$B,2,0),Y119,1),"")</f>
        <v/>
      </c>
      <c r="Y119" s="9" t="s">
        <v>23</v>
      </c>
      <c r="Z119" s="9" t="str">
        <f>IFERROR(MID(VLOOKUP($B119,Seqs!$A:$B,2,0),AA119,1),"")</f>
        <v/>
      </c>
      <c r="AA119" s="9" t="s">
        <v>23</v>
      </c>
      <c r="AB119" s="9" t="str">
        <f>IFERROR(MID(VLOOKUP($B119,Seqs!$A:$B,2,0),AC119,1),"")</f>
        <v>C</v>
      </c>
      <c r="AC119" s="9">
        <v>121</v>
      </c>
      <c r="AD119" s="9" t="str">
        <f>IFERROR(MID(VLOOKUP($B119,Seqs!$A:$B,2,0),AE119,1),"")</f>
        <v>A</v>
      </c>
      <c r="AE119" s="9">
        <v>146</v>
      </c>
      <c r="AF119" s="9" t="str">
        <f>IFERROR(MID(VLOOKUP($B119,Seqs!$A:$B,2,0),AG119,1),"")</f>
        <v>C</v>
      </c>
      <c r="AG119" s="9">
        <v>170</v>
      </c>
      <c r="AH119" s="9" t="str">
        <f>IFERROR(MID(VLOOKUP($B119,Seqs!$A:$B,2,0),AI119,1),"")</f>
        <v>E</v>
      </c>
      <c r="AI119" s="9">
        <v>172</v>
      </c>
      <c r="AJ119" s="9" t="str">
        <f>IFERROR(MID(VLOOKUP($B119,Seqs!$A:$B,2,0),AK119,1),"")</f>
        <v>D</v>
      </c>
      <c r="AK119" s="9">
        <v>175</v>
      </c>
      <c r="AL119" s="9" t="str">
        <f>IFERROR(MID(VLOOKUP($B119,Seqs!$A:$B,2,0),AM119,1),"")</f>
        <v>R</v>
      </c>
      <c r="AM119" s="9">
        <v>211</v>
      </c>
      <c r="AN119" s="9" t="str">
        <f>IFERROR(MID(VLOOKUP($B119,Seqs!$A:$B,2,0),AO119,1),"")</f>
        <v>L</v>
      </c>
      <c r="AO119" s="9">
        <v>214</v>
      </c>
      <c r="AP119" s="9" t="str">
        <f>IFERROR(MID(VLOOKUP($B119,Seqs!$A:$B,2,0),AQ119,1),"")</f>
        <v>Y</v>
      </c>
      <c r="AQ119" s="9">
        <v>250</v>
      </c>
      <c r="AR119" s="9" t="str">
        <f>IFERROR(MID(VLOOKUP($B119,Seqs!$A:$B,2,0),AS119,1),"")</f>
        <v>G</v>
      </c>
      <c r="AS119" s="9">
        <v>255</v>
      </c>
      <c r="AT119" s="9" t="str">
        <f>IFERROR(MID(VLOOKUP($B119,Seqs!$A:$B,2,0),AU119,1),"")</f>
        <v>T</v>
      </c>
      <c r="AU119" s="9">
        <v>276</v>
      </c>
      <c r="AV119" s="9" t="str">
        <f>IFERROR(MID(VLOOKUP($B119,Seqs!$A:$B,2,0),AW119,1),"")</f>
        <v/>
      </c>
      <c r="AW119" s="9" t="s">
        <v>23</v>
      </c>
      <c r="AX119" s="9" t="str">
        <f>IFERROR(MID(VLOOKUP($B119,Seqs!$A:$B,2,0),AY119,1),"")</f>
        <v/>
      </c>
      <c r="AY119" s="9" t="s">
        <v>23</v>
      </c>
      <c r="AZ119" s="113" t="str">
        <f>VLOOKUP(B119,Classification!A:D,2,0)</f>
        <v>A</v>
      </c>
      <c r="BA119" s="101" t="str">
        <f>VLOOKUP(B119,Classification!A:D,4,0)</f>
        <v>Freefattyacid</v>
      </c>
      <c r="BB119" s="37" t="b">
        <f t="shared" ref="BB119" si="724">AND(E119&lt;G119,OR(G119&lt;I119,I119="-"),OR(I119&lt;K119,I119="-"),OR(K119&lt;M119,K119="-"),M119&lt;O119,OR(O119&lt;Q119,Q119="-"),OR(Q119&lt;S119,Q119="-"),OR(S119&lt;U119,S119="-"),U119&lt;W119,OR(W119&lt;Y119,Y119="-"),OR(Y119&lt;AA119,Y119="-"),OR(AA119&lt;AC119,AA119="-"),AC119&lt;AE119,OR(AE119&lt;AG119,AG119="-"),OR(AG119&lt;AI119,AG119="-"),OR(AI119&lt;AK119,AI119="-"),AK119&lt;AM119,AM119&lt;AO119,AO119&lt;AQ119,AQ119&lt;AS119,AS119&lt;AU119,OR(AU119&lt;AW119,AW119="-"),OR(AW119&lt;AY119,AW119="-"))</f>
        <v>1</v>
      </c>
      <c r="BC119" s="112">
        <f t="shared" ref="BC119" si="725">_xlfn.AGGREGATE(9,6,CH119:CS119)-_xlfn.AGGREGATE(9,6,BV119:CG119)+12</f>
        <v>233</v>
      </c>
      <c r="BD119" s="122" t="s">
        <v>23</v>
      </c>
      <c r="BE119" s="9" t="s">
        <v>1439</v>
      </c>
      <c r="BF119" s="125">
        <v>2.2000000000000002</v>
      </c>
      <c r="BG119" s="52" t="s">
        <v>1</v>
      </c>
      <c r="BH119" s="52" t="s">
        <v>1</v>
      </c>
      <c r="BJ119" s="114" t="s">
        <v>1293</v>
      </c>
      <c r="BK119" s="115" t="s">
        <v>1293</v>
      </c>
      <c r="BL119" s="115" t="s">
        <v>1293</v>
      </c>
      <c r="BM119" s="115" t="s">
        <v>1293</v>
      </c>
      <c r="BN119" s="115" t="s">
        <v>1293</v>
      </c>
      <c r="BO119" s="115" t="s">
        <v>1293</v>
      </c>
      <c r="BP119" s="115" t="s">
        <v>1293</v>
      </c>
      <c r="BQ119" s="115" t="s">
        <v>1293</v>
      </c>
      <c r="BR119" s="115" t="s">
        <v>1293</v>
      </c>
      <c r="BS119" s="115" t="s">
        <v>1293</v>
      </c>
      <c r="BT119" s="115" t="s">
        <v>1293</v>
      </c>
      <c r="BU119" s="115" t="s">
        <v>1293</v>
      </c>
      <c r="BV119" s="114">
        <f t="shared" ref="BV119" si="726">E119</f>
        <v>4</v>
      </c>
      <c r="BW119" s="116" t="str">
        <f t="shared" ref="BW119" si="727">I119</f>
        <v>-</v>
      </c>
      <c r="BX119" s="117">
        <f t="shared" ref="BX119" si="728">M119</f>
        <v>39</v>
      </c>
      <c r="BY119" s="116">
        <f t="shared" ref="BY119" si="729">Q119</f>
        <v>71</v>
      </c>
      <c r="BZ119" s="117">
        <f t="shared" ref="BZ119" si="730">U119</f>
        <v>75</v>
      </c>
      <c r="CA119" s="116" t="str">
        <f t="shared" ref="CA119" si="731">Y119</f>
        <v>-</v>
      </c>
      <c r="CB119" s="117">
        <f t="shared" ref="CB119" si="732">AC119</f>
        <v>121</v>
      </c>
      <c r="CC119" s="116">
        <f t="shared" ref="CC119" si="733">AG119</f>
        <v>170</v>
      </c>
      <c r="CD119" s="117">
        <f t="shared" ref="CD119" si="734">AK119</f>
        <v>175</v>
      </c>
      <c r="CE119" s="116">
        <f t="shared" ref="CE119" si="735">AO119</f>
        <v>214</v>
      </c>
      <c r="CF119" s="117">
        <f t="shared" ref="CF119" si="736">AS119</f>
        <v>255</v>
      </c>
      <c r="CG119" s="116" t="str">
        <f t="shared" ref="CG119" si="737">AW119</f>
        <v>-</v>
      </c>
      <c r="CH119" s="114">
        <f t="shared" ref="CH119" si="738">G119</f>
        <v>37</v>
      </c>
      <c r="CI119" s="116" t="str">
        <f t="shared" ref="CI119" si="739">K119</f>
        <v>-</v>
      </c>
      <c r="CJ119" s="117">
        <f t="shared" ref="CJ119" si="740">O119</f>
        <v>69</v>
      </c>
      <c r="CK119" s="117">
        <f t="shared" ref="CK119" si="741">S119</f>
        <v>74</v>
      </c>
      <c r="CL119" s="117">
        <f t="shared" ref="CL119" si="742">W119</f>
        <v>110</v>
      </c>
      <c r="CM119" s="117" t="str">
        <f t="shared" ref="CM119" si="743">AA119</f>
        <v>-</v>
      </c>
      <c r="CN119" s="117">
        <f t="shared" ref="CN119" si="744">AE119</f>
        <v>146</v>
      </c>
      <c r="CO119" s="117">
        <f t="shared" ref="CO119" si="745">AI119</f>
        <v>172</v>
      </c>
      <c r="CP119" s="117">
        <f t="shared" ref="CP119" si="746">AM119</f>
        <v>211</v>
      </c>
      <c r="CQ119" s="117">
        <f t="shared" ref="CQ119" si="747">AQ119</f>
        <v>250</v>
      </c>
      <c r="CR119" s="117">
        <f t="shared" ref="CR119" si="748">AU119</f>
        <v>276</v>
      </c>
      <c r="CS119" s="117" t="str">
        <f t="shared" ref="CS119" si="749">AY119</f>
        <v>-</v>
      </c>
      <c r="CT119" s="112" t="e">
        <f t="shared" ref="CT119" si="750">M119-K119</f>
        <v>#VALUE!</v>
      </c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</row>
    <row r="120" spans="1:1029" s="12" customFormat="1" x14ac:dyDescent="0.2">
      <c r="A120" s="9" t="str">
        <f t="shared" ref="A120" si="751">CONCATENATE(B120,"_",C120)</f>
        <v>ffar1_human_5TZY</v>
      </c>
      <c r="B120" s="9" t="s">
        <v>1173</v>
      </c>
      <c r="C120" s="9" t="s">
        <v>1427</v>
      </c>
      <c r="D120" s="9" t="str">
        <f>IFERROR(MID(VLOOKUP($B120,Seqs!$A:$B,2,0),E120,1),"")</f>
        <v>P</v>
      </c>
      <c r="E120" s="9">
        <v>4</v>
      </c>
      <c r="F120" s="9" t="str">
        <f>IFERROR(MID(VLOOKUP($B120,Seqs!$A:$B,2,0),G120,1),"")</f>
        <v>R</v>
      </c>
      <c r="G120" s="9">
        <v>37</v>
      </c>
      <c r="H120" s="9" t="str">
        <f>IFERROR(MID(VLOOKUP($B120,Seqs!$A:$B,2,0),I120,1),"")</f>
        <v/>
      </c>
      <c r="I120" s="112" t="s">
        <v>23</v>
      </c>
      <c r="J120" s="9" t="str">
        <f>IFERROR(MID(VLOOKUP($B120,Seqs!$A:$B,2,0),K120,1),"")</f>
        <v/>
      </c>
      <c r="K120" s="112" t="s">
        <v>23</v>
      </c>
      <c r="L120" s="9" t="str">
        <f>IFERROR(MID(VLOOKUP($B120,Seqs!$A:$B,2,0),M120,1),"")</f>
        <v>T</v>
      </c>
      <c r="M120" s="9">
        <v>39</v>
      </c>
      <c r="N120" s="9" t="str">
        <f>IFERROR(MID(VLOOKUP($B120,Seqs!$A:$B,2,0),O120,1),"")</f>
        <v>A</v>
      </c>
      <c r="O120" s="9">
        <v>68</v>
      </c>
      <c r="P120" s="9" t="str">
        <f>IFERROR(MID(VLOOKUP($B120,Seqs!$A:$B,2,0),Q120,1),"")</f>
        <v>A</v>
      </c>
      <c r="Q120" s="9">
        <v>71</v>
      </c>
      <c r="R120" s="9" t="str">
        <f>IFERROR(MID(VLOOKUP($B120,Seqs!$A:$B,2,0),S120,1),"")</f>
        <v>L</v>
      </c>
      <c r="S120" s="9">
        <v>74</v>
      </c>
      <c r="T120" s="9" t="str">
        <f>IFERROR(MID(VLOOKUP($B120,Seqs!$A:$B,2,0),U120,1),"")</f>
        <v>P</v>
      </c>
      <c r="U120" s="9">
        <v>75</v>
      </c>
      <c r="V120" s="9" t="str">
        <f>IFERROR(MID(VLOOKUP($B120,Seqs!$A:$B,2,0),W120,1),"")</f>
        <v>F</v>
      </c>
      <c r="W120" s="9">
        <v>110</v>
      </c>
      <c r="X120" s="9" t="str">
        <f>IFERROR(MID(VLOOKUP($B120,Seqs!$A:$B,2,0),Y120,1),"")</f>
        <v>P</v>
      </c>
      <c r="Y120" s="9">
        <v>111</v>
      </c>
      <c r="Z120" s="9" t="str">
        <f>IFERROR(MID(VLOOKUP($B120,Seqs!$A:$B,2,0),AA120,1),"")</f>
        <v>R</v>
      </c>
      <c r="AA120" s="9">
        <v>118</v>
      </c>
      <c r="AB120" s="9" t="str">
        <f>IFERROR(MID(VLOOKUP($B120,Seqs!$A:$B,2,0),AC120,1),"")</f>
        <v>R</v>
      </c>
      <c r="AC120" s="9">
        <v>119</v>
      </c>
      <c r="AD120" s="9" t="str">
        <f>IFERROR(MID(VLOOKUP($B120,Seqs!$A:$B,2,0),AE120,1),"")</f>
        <v>A</v>
      </c>
      <c r="AE120" s="9">
        <v>146</v>
      </c>
      <c r="AF120" s="9" t="str">
        <f>IFERROR(MID(VLOOKUP($B120,Seqs!$A:$B,2,0),AG120,1),"")</f>
        <v>C</v>
      </c>
      <c r="AG120" s="9">
        <v>170</v>
      </c>
      <c r="AH120" s="9" t="str">
        <f>IFERROR(MID(VLOOKUP($B120,Seqs!$A:$B,2,0),AI120,1),"")</f>
        <v>E</v>
      </c>
      <c r="AI120" s="9">
        <v>172</v>
      </c>
      <c r="AJ120" s="9" t="str">
        <f>IFERROR(MID(VLOOKUP($B120,Seqs!$A:$B,2,0),AK120,1),"")</f>
        <v>D</v>
      </c>
      <c r="AK120" s="9">
        <v>175</v>
      </c>
      <c r="AL120" s="9" t="str">
        <f>IFERROR(MID(VLOOKUP($B120,Seqs!$A:$B,2,0),AM120,1),"")</f>
        <v>R</v>
      </c>
      <c r="AM120" s="9">
        <v>211</v>
      </c>
      <c r="AN120" s="9" t="str">
        <f>IFERROR(MID(VLOOKUP($B120,Seqs!$A:$B,2,0),AO120,1),"")</f>
        <v>T</v>
      </c>
      <c r="AO120" s="9">
        <v>215</v>
      </c>
      <c r="AP120" s="9" t="str">
        <f>IFERROR(MID(VLOOKUP($B120,Seqs!$A:$B,2,0),AQ120,1),"")</f>
        <v>Y</v>
      </c>
      <c r="AQ120" s="9">
        <v>250</v>
      </c>
      <c r="AR120" s="9" t="str">
        <f>IFERROR(MID(VLOOKUP($B120,Seqs!$A:$B,2,0),AS120,1),"")</f>
        <v>G</v>
      </c>
      <c r="AS120" s="9">
        <v>254</v>
      </c>
      <c r="AT120" s="9" t="str">
        <f>IFERROR(MID(VLOOKUP($B120,Seqs!$A:$B,2,0),AU120,1),"")</f>
        <v>G</v>
      </c>
      <c r="AU120" s="9">
        <v>277</v>
      </c>
      <c r="AV120" s="9" t="str">
        <f>IFERROR(MID(VLOOKUP($B120,Seqs!$A:$B,2,0),AW120,1),"")</f>
        <v/>
      </c>
      <c r="AW120" s="9" t="s">
        <v>23</v>
      </c>
      <c r="AX120" s="9" t="str">
        <f>IFERROR(MID(VLOOKUP($B120,Seqs!$A:$B,2,0),AY120,1),"")</f>
        <v/>
      </c>
      <c r="AY120" s="9" t="s">
        <v>23</v>
      </c>
      <c r="AZ120" s="113" t="str">
        <f>VLOOKUP(B120,Classification!A:D,2,0)</f>
        <v>A</v>
      </c>
      <c r="BA120" s="101" t="str">
        <f>VLOOKUP(B120,Classification!A:D,4,0)</f>
        <v>Freefattyacid</v>
      </c>
      <c r="BB120" s="37" t="b">
        <f t="shared" ref="BB120" si="752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112">
        <f t="shared" ref="BC120" si="753">_xlfn.AGGREGATE(9,6,CH120:CS120)-_xlfn.AGGREGATE(9,6,BV120:CG120)+12</f>
        <v>242</v>
      </c>
      <c r="BD120" s="122" t="s">
        <v>1440</v>
      </c>
      <c r="BE120" s="9" t="s">
        <v>1439</v>
      </c>
      <c r="BF120" s="125">
        <v>3.22</v>
      </c>
      <c r="BG120" s="52" t="s">
        <v>1</v>
      </c>
      <c r="BH120" s="52" t="s">
        <v>1</v>
      </c>
      <c r="BJ120" s="114" t="s">
        <v>1293</v>
      </c>
      <c r="BK120" s="115" t="s">
        <v>1293</v>
      </c>
      <c r="BL120" s="115" t="s">
        <v>1293</v>
      </c>
      <c r="BM120" s="115" t="s">
        <v>1293</v>
      </c>
      <c r="BN120" s="115" t="s">
        <v>1293</v>
      </c>
      <c r="BO120" s="115" t="s">
        <v>1293</v>
      </c>
      <c r="BP120" s="115" t="s">
        <v>1293</v>
      </c>
      <c r="BQ120" s="115" t="s">
        <v>1293</v>
      </c>
      <c r="BR120" s="115" t="s">
        <v>1293</v>
      </c>
      <c r="BS120" s="115" t="s">
        <v>1293</v>
      </c>
      <c r="BT120" s="115" t="s">
        <v>1293</v>
      </c>
      <c r="BU120" s="115" t="s">
        <v>1293</v>
      </c>
      <c r="BV120" s="114">
        <f t="shared" ref="BV120" si="754">E120</f>
        <v>4</v>
      </c>
      <c r="BW120" s="116" t="str">
        <f t="shared" ref="BW120" si="755">I120</f>
        <v>-</v>
      </c>
      <c r="BX120" s="117">
        <f t="shared" ref="BX120" si="756">M120</f>
        <v>39</v>
      </c>
      <c r="BY120" s="116">
        <f t="shared" ref="BY120" si="757">Q120</f>
        <v>71</v>
      </c>
      <c r="BZ120" s="117">
        <f t="shared" ref="BZ120" si="758">U120</f>
        <v>75</v>
      </c>
      <c r="CA120" s="116">
        <f t="shared" ref="CA120" si="759">Y120</f>
        <v>111</v>
      </c>
      <c r="CB120" s="117">
        <f t="shared" ref="CB120" si="760">AC120</f>
        <v>119</v>
      </c>
      <c r="CC120" s="116">
        <f t="shared" ref="CC120" si="761">AG120</f>
        <v>170</v>
      </c>
      <c r="CD120" s="117">
        <f t="shared" ref="CD120" si="762">AK120</f>
        <v>175</v>
      </c>
      <c r="CE120" s="116">
        <f t="shared" ref="CE120" si="763">AO120</f>
        <v>215</v>
      </c>
      <c r="CF120" s="117">
        <f t="shared" ref="CF120" si="764">AS120</f>
        <v>254</v>
      </c>
      <c r="CG120" s="116" t="str">
        <f t="shared" ref="CG120" si="765">AW120</f>
        <v>-</v>
      </c>
      <c r="CH120" s="114">
        <f t="shared" ref="CH120" si="766">G120</f>
        <v>37</v>
      </c>
      <c r="CI120" s="116" t="str">
        <f t="shared" ref="CI120" si="767">K120</f>
        <v>-</v>
      </c>
      <c r="CJ120" s="117">
        <f t="shared" ref="CJ120" si="768">O120</f>
        <v>68</v>
      </c>
      <c r="CK120" s="117">
        <f t="shared" ref="CK120" si="769">S120</f>
        <v>74</v>
      </c>
      <c r="CL120" s="117">
        <f t="shared" ref="CL120" si="770">W120</f>
        <v>110</v>
      </c>
      <c r="CM120" s="117">
        <f t="shared" ref="CM120" si="771">AA120</f>
        <v>118</v>
      </c>
      <c r="CN120" s="117">
        <f t="shared" ref="CN120" si="772">AE120</f>
        <v>146</v>
      </c>
      <c r="CO120" s="117">
        <f t="shared" ref="CO120" si="773">AI120</f>
        <v>172</v>
      </c>
      <c r="CP120" s="117">
        <f t="shared" ref="CP120" si="774">AM120</f>
        <v>211</v>
      </c>
      <c r="CQ120" s="117">
        <f t="shared" ref="CQ120" si="775">AQ120</f>
        <v>250</v>
      </c>
      <c r="CR120" s="117">
        <f t="shared" ref="CR120" si="776">AU120</f>
        <v>277</v>
      </c>
      <c r="CS120" s="117" t="str">
        <f t="shared" ref="CS120" si="777">AY120</f>
        <v>-</v>
      </c>
      <c r="CT120" s="112" t="e">
        <f t="shared" ref="CT120" si="778">M120-K120</f>
        <v>#VALUE!</v>
      </c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</row>
    <row r="121" spans="1:1029" x14ac:dyDescent="0.2">
      <c r="A121" s="3" t="str">
        <f t="shared" si="362"/>
        <v>hrh1_human__wt</v>
      </c>
      <c r="B121" s="3" t="s">
        <v>278</v>
      </c>
      <c r="C121" s="3" t="s">
        <v>100</v>
      </c>
      <c r="D121" s="3" t="str">
        <f>IFERROR(MID(VLOOKUP($B121,Seqs!$A:$B,2,0),E121,1),"")</f>
        <v>P</v>
      </c>
      <c r="E121" s="3">
        <v>29</v>
      </c>
      <c r="F121" s="3" t="str">
        <f>IFERROR(MID(VLOOKUP($B121,Seqs!$A:$B,2,0),G121,1),"")</f>
        <v>E</v>
      </c>
      <c r="G121" s="3">
        <v>55</v>
      </c>
      <c r="H121" s="3" t="str">
        <f>IFERROR(MID(VLOOKUP($B121,Seqs!$A:$B,2,0),I121,1),"")</f>
        <v>R</v>
      </c>
      <c r="I121" s="23">
        <v>56</v>
      </c>
      <c r="J121" s="3" t="str">
        <f>IFERROR(MID(VLOOKUP($B121,Seqs!$A:$B,2,0),K121,1),"")</f>
        <v>H</v>
      </c>
      <c r="K121" s="23">
        <v>59</v>
      </c>
      <c r="L121" s="3" t="str">
        <f>IFERROR(MID(VLOOKUP($B121,Seqs!$A:$B,2,0),M121,1),"")</f>
        <v>T</v>
      </c>
      <c r="M121" s="3">
        <v>60</v>
      </c>
      <c r="N121" s="3" t="str">
        <f>IFERROR(MID(VLOOKUP($B121,Seqs!$A:$B,2,0),O121,1),"")</f>
        <v>M</v>
      </c>
      <c r="O121" s="3">
        <v>90</v>
      </c>
      <c r="P121" s="3" t="str">
        <f>IFERROR(MID(VLOOKUP($B121,Seqs!$A:$B,2,0),Q121,1),"")</f>
        <v>K</v>
      </c>
      <c r="Q121" s="3">
        <v>92</v>
      </c>
      <c r="R121" s="3" t="str">
        <f>IFERROR(MID(VLOOKUP($B121,Seqs!$A:$B,2,0),S121,1),"")</f>
        <v>L</v>
      </c>
      <c r="S121" s="3">
        <v>95</v>
      </c>
      <c r="T121" s="3" t="str">
        <f>IFERROR(MID(VLOOKUP($B121,Seqs!$A:$B,2,0),U121,1),"")</f>
        <v>G</v>
      </c>
      <c r="U121" s="3">
        <v>96</v>
      </c>
      <c r="V121" s="3" t="str">
        <f>IFERROR(MID(VLOOKUP($B121,Seqs!$A:$B,2,0),W121,1),"")</f>
        <v>Q</v>
      </c>
      <c r="W121" s="3">
        <v>131</v>
      </c>
      <c r="X121" s="3" t="str">
        <f>IFERROR(MID(VLOOKUP($B121,Seqs!$A:$B,2,0),Y121,1),"")</f>
        <v>P</v>
      </c>
      <c r="Y121" s="3">
        <v>132</v>
      </c>
      <c r="Z121" s="3" t="str">
        <f>IFERROR(MID(VLOOKUP($B121,Seqs!$A:$B,2,0),AA121,1),"")</f>
        <v>R</v>
      </c>
      <c r="AA121" s="3">
        <v>139</v>
      </c>
      <c r="AB121" s="3" t="str">
        <f>IFERROR(MID(VLOOKUP($B121,Seqs!$A:$B,2,0),AC121,1),"")</f>
        <v>T</v>
      </c>
      <c r="AC121" s="9">
        <v>140</v>
      </c>
      <c r="AD121" s="3" t="str">
        <f>IFERROR(MID(VLOOKUP($B121,Seqs!$A:$B,2,0),AE121,1),"")</f>
        <v>G</v>
      </c>
      <c r="AE121" s="3">
        <v>164</v>
      </c>
      <c r="AF121" s="3" t="str">
        <f>IFERROR(MID(VLOOKUP($B121,Seqs!$A:$B,2,0),AG121,1),"")</f>
        <v>C</v>
      </c>
      <c r="AG121" s="3">
        <v>180</v>
      </c>
      <c r="AH121" s="3" t="str">
        <f>IFERROR(MID(VLOOKUP($B121,Seqs!$A:$B,2,0),AI121,1),"")</f>
        <v>T</v>
      </c>
      <c r="AI121" s="3">
        <v>182</v>
      </c>
      <c r="AJ121" s="3" t="str">
        <f>IFERROR(MID(VLOOKUP($B121,Seqs!$A:$B,2,0),AK121,1),"")</f>
        <v>V</v>
      </c>
      <c r="AK121" s="3">
        <v>187</v>
      </c>
      <c r="AL121" s="3" t="str">
        <f>IFERROR(MID(VLOOKUP($B121,Seqs!$A:$B,2,0),AM121,1),"")</f>
        <v>N</v>
      </c>
      <c r="AM121" s="3">
        <v>228</v>
      </c>
      <c r="AN121" s="3" t="str">
        <f>IFERROR(MID(VLOOKUP($B121,Seqs!$A:$B,2,0),AO121,1),"")</f>
        <v>G</v>
      </c>
      <c r="AO121" s="3">
        <v>404</v>
      </c>
      <c r="AP121" s="3" t="str">
        <f>IFERROR(MID(VLOOKUP($B121,Seqs!$A:$B,2,0),AQ121,1),"")</f>
        <v>C</v>
      </c>
      <c r="AQ121" s="3">
        <v>441</v>
      </c>
      <c r="AR121" s="3" t="str">
        <f>IFERROR(MID(VLOOKUP($B121,Seqs!$A:$B,2,0),AS121,1),"")</f>
        <v>N</v>
      </c>
      <c r="AS121" s="3">
        <v>446</v>
      </c>
      <c r="AT121" s="3" t="str">
        <f>IFERROR(MID(VLOOKUP($B121,Seqs!$A:$B,2,0),AU121,1),"")</f>
        <v>C</v>
      </c>
      <c r="AU121" s="3">
        <v>471</v>
      </c>
      <c r="AV121" s="3" t="str">
        <f>IFERROR(MID(VLOOKUP($B121,Seqs!$A:$B,2,0),AW121,1),"")</f>
        <v>N</v>
      </c>
      <c r="AW121" s="3">
        <v>472</v>
      </c>
      <c r="AX121" s="3" t="str">
        <f>IFERROR(MID(VLOOKUP($B121,Seqs!$A:$B,2,0),AY121,1),"")</f>
        <v>H</v>
      </c>
      <c r="AY121" s="3">
        <v>484</v>
      </c>
      <c r="AZ121" s="79" t="str">
        <f>VLOOKUP(B121,Classification!A:D,2,0)</f>
        <v>A</v>
      </c>
      <c r="BA121" s="97" t="str">
        <f>VLOOKUP(B121,Classification!A:D,4,0)</f>
        <v>Histamine</v>
      </c>
      <c r="BB121" s="27" t="b">
        <f t="shared" si="363"/>
        <v>1</v>
      </c>
      <c r="BC121" s="23">
        <f t="shared" si="641"/>
        <v>257</v>
      </c>
      <c r="BD121" s="35" t="s">
        <v>1379</v>
      </c>
      <c r="BE121" s="3" t="s">
        <v>23</v>
      </c>
      <c r="BF121" s="124" t="s">
        <v>23</v>
      </c>
      <c r="BG121" s="50" t="s">
        <v>1379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642"/>
        <v>29</v>
      </c>
      <c r="BW121" s="73">
        <f t="shared" si="643"/>
        <v>56</v>
      </c>
      <c r="BX121" s="74">
        <f t="shared" si="644"/>
        <v>60</v>
      </c>
      <c r="BY121" s="73">
        <f t="shared" si="645"/>
        <v>92</v>
      </c>
      <c r="BZ121" s="74">
        <f t="shared" si="646"/>
        <v>96</v>
      </c>
      <c r="CA121" s="73">
        <f t="shared" si="647"/>
        <v>132</v>
      </c>
      <c r="CB121" s="74">
        <f t="shared" si="648"/>
        <v>140</v>
      </c>
      <c r="CC121" s="73">
        <f t="shared" si="649"/>
        <v>180</v>
      </c>
      <c r="CD121" s="74">
        <f t="shared" si="650"/>
        <v>187</v>
      </c>
      <c r="CE121" s="73">
        <f t="shared" si="651"/>
        <v>404</v>
      </c>
      <c r="CF121" s="74">
        <f t="shared" si="652"/>
        <v>446</v>
      </c>
      <c r="CG121" s="73">
        <f t="shared" si="653"/>
        <v>472</v>
      </c>
      <c r="CH121" s="72">
        <f t="shared" si="654"/>
        <v>55</v>
      </c>
      <c r="CI121" s="73">
        <f t="shared" si="655"/>
        <v>59</v>
      </c>
      <c r="CJ121" s="74">
        <f t="shared" si="656"/>
        <v>90</v>
      </c>
      <c r="CK121" s="74">
        <f t="shared" si="657"/>
        <v>95</v>
      </c>
      <c r="CL121" s="74">
        <f t="shared" si="658"/>
        <v>131</v>
      </c>
      <c r="CM121" s="74">
        <f t="shared" si="659"/>
        <v>139</v>
      </c>
      <c r="CN121" s="74">
        <f t="shared" si="660"/>
        <v>164</v>
      </c>
      <c r="CO121" s="74">
        <f t="shared" si="661"/>
        <v>182</v>
      </c>
      <c r="CP121" s="74">
        <f t="shared" si="662"/>
        <v>228</v>
      </c>
      <c r="CQ121" s="74">
        <f t="shared" si="663"/>
        <v>441</v>
      </c>
      <c r="CR121" s="74">
        <f t="shared" si="664"/>
        <v>471</v>
      </c>
      <c r="CS121" s="74">
        <f t="shared" si="665"/>
        <v>484</v>
      </c>
      <c r="CT121" s="23">
        <f t="shared" si="66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362"/>
        <v>hrh1_human_3RZE</v>
      </c>
      <c r="B122" s="3" t="s">
        <v>278</v>
      </c>
      <c r="C122" s="3" t="s">
        <v>73</v>
      </c>
      <c r="D122" s="3" t="str">
        <f>IFERROR(MID(VLOOKUP($B122,Seqs!$A:$B,2,0),E122,1),"")</f>
        <v>V</v>
      </c>
      <c r="E122" s="3">
        <v>33</v>
      </c>
      <c r="F122" s="3" t="str">
        <f>IFERROR(MID(VLOOKUP($B122,Seqs!$A:$B,2,0),G122,1),"")</f>
        <v>E</v>
      </c>
      <c r="G122" s="3">
        <v>55</v>
      </c>
      <c r="H122" s="3" t="str">
        <f>IFERROR(MID(VLOOKUP($B122,Seqs!$A:$B,2,0),I122,1),"")</f>
        <v>R</v>
      </c>
      <c r="I122" s="23">
        <v>56</v>
      </c>
      <c r="J122" s="3" t="str">
        <f>IFERROR(MID(VLOOKUP($B122,Seqs!$A:$B,2,0),K122,1),"")</f>
        <v>H</v>
      </c>
      <c r="K122" s="23">
        <v>59</v>
      </c>
      <c r="L122" s="3" t="str">
        <f>IFERROR(MID(VLOOKUP($B122,Seqs!$A:$B,2,0),M122,1),"")</f>
        <v>T</v>
      </c>
      <c r="M122" s="3">
        <v>60</v>
      </c>
      <c r="N122" s="3" t="str">
        <f>IFERROR(MID(VLOOKUP($B122,Seqs!$A:$B,2,0),O122,1),"")</f>
        <v>M</v>
      </c>
      <c r="O122" s="3">
        <v>90</v>
      </c>
      <c r="P122" s="3" t="str">
        <f>IFERROR(MID(VLOOKUP($B122,Seqs!$A:$B,2,0),Q122,1),"")</f>
        <v>K</v>
      </c>
      <c r="Q122" s="3">
        <v>92</v>
      </c>
      <c r="R122" s="3" t="str">
        <f>IFERROR(MID(VLOOKUP($B122,Seqs!$A:$B,2,0),S122,1),"")</f>
        <v>L</v>
      </c>
      <c r="S122" s="3">
        <v>95</v>
      </c>
      <c r="T122" s="3" t="str">
        <f>IFERROR(MID(VLOOKUP($B122,Seqs!$A:$B,2,0),U122,1),"")</f>
        <v>G</v>
      </c>
      <c r="U122" s="3">
        <v>96</v>
      </c>
      <c r="V122" s="3" t="str">
        <f>IFERROR(MID(VLOOKUP($B122,Seqs!$A:$B,2,0),W122,1),"")</f>
        <v>Q</v>
      </c>
      <c r="W122" s="3">
        <v>131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9">
        <v>140</v>
      </c>
      <c r="AD122" s="3" t="str">
        <f>IFERROR(MID(VLOOKUP($B122,Seqs!$A:$B,2,0),AE122,1),"")</f>
        <v>G</v>
      </c>
      <c r="AE122" s="3">
        <v>164</v>
      </c>
      <c r="AF122" s="3" t="str">
        <f>IFERROR(MID(VLOOKUP($B122,Seqs!$A:$B,2,0),AG122,1),"")</f>
        <v>C</v>
      </c>
      <c r="AG122" s="3">
        <v>180</v>
      </c>
      <c r="AH122" s="3" t="str">
        <f>IFERROR(MID(VLOOKUP($B122,Seqs!$A:$B,2,0),AI122,1),"")</f>
        <v>T</v>
      </c>
      <c r="AI122" s="3">
        <v>182</v>
      </c>
      <c r="AJ122" s="3" t="str">
        <f>IFERROR(MID(VLOOKUP($B122,Seqs!$A:$B,2,0),AK122,1),"")</f>
        <v>V</v>
      </c>
      <c r="AK122" s="3">
        <v>187</v>
      </c>
      <c r="AL122" s="3" t="str">
        <f>IFERROR(MID(VLOOKUP($B122,Seqs!$A:$B,2,0),AM122,1),"")</f>
        <v>V</v>
      </c>
      <c r="AM122" s="3">
        <v>217</v>
      </c>
      <c r="AN122" s="3" t="str">
        <f>IFERROR(MID(VLOOKUP($B122,Seqs!$A:$B,2,0),AO122,1),"")</f>
        <v>N</v>
      </c>
      <c r="AO122" s="3">
        <v>408</v>
      </c>
      <c r="AP122" s="3" t="str">
        <f>IFERROR(MID(VLOOKUP($B122,Seqs!$A:$B,2,0),AQ122,1),"")</f>
        <v>C</v>
      </c>
      <c r="AQ122" s="3">
        <v>441</v>
      </c>
      <c r="AR122" s="3" t="str">
        <f>IFERROR(MID(VLOOKUP($B122,Seqs!$A:$B,2,0),AS122,1),"")</f>
        <v>N</v>
      </c>
      <c r="AS122" s="3">
        <v>446</v>
      </c>
      <c r="AT122" s="3" t="str">
        <f>IFERROR(MID(VLOOKUP($B122,Seqs!$A:$B,2,0),AU122,1),"")</f>
        <v>C</v>
      </c>
      <c r="AU122" s="3">
        <v>471</v>
      </c>
      <c r="AV122" s="3" t="str">
        <f>IFERROR(MID(VLOOKUP($B122,Seqs!$A:$B,2,0),AW122,1),"")</f>
        <v>N</v>
      </c>
      <c r="AW122" s="3">
        <v>472</v>
      </c>
      <c r="AX122" s="3" t="str">
        <f>IFERROR(MID(VLOOKUP($B122,Seqs!$A:$B,2,0),AY122,1),"")</f>
        <v>H</v>
      </c>
      <c r="AY122" s="3">
        <v>484</v>
      </c>
      <c r="AZ122" s="79" t="str">
        <f>VLOOKUP(B122,Classification!A:D,2,0)</f>
        <v>A</v>
      </c>
      <c r="BA122" s="97" t="str">
        <f>VLOOKUP(B122,Classification!A:D,4,0)</f>
        <v>Histamine</v>
      </c>
      <c r="BB122" s="27" t="b">
        <f t="shared" si="363"/>
        <v>1</v>
      </c>
      <c r="BC122" s="23">
        <f t="shared" si="641"/>
        <v>231</v>
      </c>
      <c r="BD122" s="16" t="s">
        <v>1383</v>
      </c>
      <c r="BE122" s="3" t="s">
        <v>1381</v>
      </c>
      <c r="BF122" s="124">
        <v>3.1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642"/>
        <v>33</v>
      </c>
      <c r="BW122" s="73">
        <f t="shared" si="643"/>
        <v>56</v>
      </c>
      <c r="BX122" s="74">
        <f t="shared" si="644"/>
        <v>60</v>
      </c>
      <c r="BY122" s="73">
        <f t="shared" si="645"/>
        <v>92</v>
      </c>
      <c r="BZ122" s="74">
        <f t="shared" si="646"/>
        <v>96</v>
      </c>
      <c r="CA122" s="73" t="str">
        <f t="shared" si="647"/>
        <v>-</v>
      </c>
      <c r="CB122" s="74">
        <f t="shared" si="648"/>
        <v>140</v>
      </c>
      <c r="CC122" s="73">
        <f t="shared" si="649"/>
        <v>180</v>
      </c>
      <c r="CD122" s="74">
        <f t="shared" si="650"/>
        <v>187</v>
      </c>
      <c r="CE122" s="73">
        <f t="shared" si="651"/>
        <v>408</v>
      </c>
      <c r="CF122" s="74">
        <f t="shared" si="652"/>
        <v>446</v>
      </c>
      <c r="CG122" s="73">
        <f t="shared" si="653"/>
        <v>472</v>
      </c>
      <c r="CH122" s="72">
        <f t="shared" si="654"/>
        <v>55</v>
      </c>
      <c r="CI122" s="73">
        <f t="shared" si="655"/>
        <v>59</v>
      </c>
      <c r="CJ122" s="74">
        <f t="shared" si="656"/>
        <v>90</v>
      </c>
      <c r="CK122" s="74">
        <f t="shared" si="657"/>
        <v>95</v>
      </c>
      <c r="CL122" s="74">
        <f t="shared" si="658"/>
        <v>131</v>
      </c>
      <c r="CM122" s="74" t="str">
        <f t="shared" si="659"/>
        <v>-</v>
      </c>
      <c r="CN122" s="74">
        <f t="shared" si="660"/>
        <v>164</v>
      </c>
      <c r="CO122" s="74">
        <f t="shared" si="661"/>
        <v>182</v>
      </c>
      <c r="CP122" s="74">
        <f t="shared" si="662"/>
        <v>217</v>
      </c>
      <c r="CQ122" s="74">
        <f t="shared" si="663"/>
        <v>441</v>
      </c>
      <c r="CR122" s="74">
        <f t="shared" si="664"/>
        <v>471</v>
      </c>
      <c r="CS122" s="74">
        <f t="shared" si="665"/>
        <v>484</v>
      </c>
      <c r="CT122" s="23">
        <f t="shared" si="666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:A155" si="779">CONCATENATE(B123,"_",C123)</f>
        <v>lpar1_human__wt</v>
      </c>
      <c r="B123" s="3" t="s">
        <v>103</v>
      </c>
      <c r="C123" s="3" t="s">
        <v>100</v>
      </c>
      <c r="D123" s="3" t="str">
        <f>IFERROR(MID(VLOOKUP($B123,Seqs!$A:$B,2,0),E123,1),"")</f>
        <v>T</v>
      </c>
      <c r="E123" s="3">
        <v>47</v>
      </c>
      <c r="F123" s="3" t="str">
        <f>IFERROR(MID(VLOOKUP($B123,Seqs!$A:$B,2,0),G123,1),"")</f>
        <v>N</v>
      </c>
      <c r="G123" s="3">
        <v>77</v>
      </c>
      <c r="H123" s="3" t="str">
        <f>IFERROR(MID(VLOOKUP($B123,Seqs!$A:$B,2,0),I123,1),"")</f>
        <v>R</v>
      </c>
      <c r="I123" s="23">
        <v>78</v>
      </c>
      <c r="J123" s="3" t="str">
        <f>IFERROR(MID(VLOOKUP($B123,Seqs!$A:$B,2,0),K123,1),"")</f>
        <v>H</v>
      </c>
      <c r="K123" s="23">
        <v>81</v>
      </c>
      <c r="L123" s="3" t="str">
        <f>IFERROR(MID(VLOOKUP($B123,Seqs!$A:$B,2,0),M123,1),"")</f>
        <v>F</v>
      </c>
      <c r="M123" s="3">
        <v>82</v>
      </c>
      <c r="N123" s="3" t="str">
        <f>IFERROR(MID(VLOOKUP($B123,Seqs!$A:$B,2,0),O123,1),"")</f>
        <v>N</v>
      </c>
      <c r="O123" s="3">
        <v>108</v>
      </c>
      <c r="P123" s="3" t="str">
        <f>IFERROR(MID(VLOOKUP($B123,Seqs!$A:$B,2,0),Q123,1),"")</f>
        <v>G</v>
      </c>
      <c r="Q123" s="3">
        <v>110</v>
      </c>
      <c r="R123" s="3" t="str">
        <f>IFERROR(MID(VLOOKUP($B123,Seqs!$A:$B,2,0),S123,1),"")</f>
        <v>L</v>
      </c>
      <c r="S123" s="3">
        <v>116</v>
      </c>
      <c r="T123" s="3" t="str">
        <f>IFERROR(MID(VLOOKUP($B123,Seqs!$A:$B,2,0),U123,1),"")</f>
        <v>T</v>
      </c>
      <c r="U123" s="3">
        <v>117</v>
      </c>
      <c r="V123" s="3" t="str">
        <f>IFERROR(MID(VLOOKUP($B123,Seqs!$A:$B,2,0),W123,1),"")</f>
        <v>R</v>
      </c>
      <c r="W123" s="3">
        <v>152</v>
      </c>
      <c r="X123" s="3" t="str">
        <f>IFERROR(MID(VLOOKUP($B123,Seqs!$A:$B,2,0),Y123,1),"")</f>
        <v>M</v>
      </c>
      <c r="Y123" s="108">
        <v>153</v>
      </c>
      <c r="Z123" s="3" t="str">
        <f>IFERROR(MID(VLOOKUP($B123,Seqs!$A:$B,2,0),AA123,1),"")</f>
        <v>M</v>
      </c>
      <c r="AA123" s="108">
        <v>159</v>
      </c>
      <c r="AB123" s="3" t="str">
        <f>IFERROR(MID(VLOOKUP($B123,Seqs!$A:$B,2,0),AC123,1),"")</f>
        <v>S</v>
      </c>
      <c r="AC123" s="108">
        <v>160</v>
      </c>
      <c r="AD123" s="3" t="str">
        <f>IFERROR(MID(VLOOKUP($B123,Seqs!$A:$B,2,0),AE123,1),"")</f>
        <v>G</v>
      </c>
      <c r="AE123" s="3">
        <v>185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S</v>
      </c>
      <c r="AK123" s="3">
        <v>203</v>
      </c>
      <c r="AL123" s="3" t="str">
        <f>IFERROR(MID(VLOOKUP($B123,Seqs!$A:$B,2,0),AM123,1),"")</f>
        <v>S</v>
      </c>
      <c r="AM123" s="3">
        <v>240</v>
      </c>
      <c r="AN123" s="3" t="str">
        <f>IFERROR(MID(VLOOKUP($B123,Seqs!$A:$B,2,0),AO123,1),"")</f>
        <v>G</v>
      </c>
      <c r="AO123" s="3">
        <v>245</v>
      </c>
      <c r="AP123" s="3" t="str">
        <f>IFERROR(MID(VLOOKUP($B123,Seqs!$A:$B,2,0),AQ123,1),"")</f>
        <v>C</v>
      </c>
      <c r="AQ123" s="3">
        <v>284</v>
      </c>
      <c r="AR123" s="3" t="str">
        <f>IFERROR(MID(VLOOKUP($B123,Seqs!$A:$B,2,0),AS123,1),"")</f>
        <v>D</v>
      </c>
      <c r="AS123" s="3">
        <v>288</v>
      </c>
      <c r="AT123" s="3" t="str">
        <f>IFERROR(MID(VLOOKUP($B123,Seqs!$A:$B,2,0),AU123,1),"")</f>
        <v>R</v>
      </c>
      <c r="AU123" s="3">
        <v>314</v>
      </c>
      <c r="AV123" s="3" t="str">
        <f>IFERROR(MID(VLOOKUP($B123,Seqs!$A:$B,2,0),AW123,1),"")</f>
        <v>D</v>
      </c>
      <c r="AW123" s="3">
        <v>315</v>
      </c>
      <c r="AX123" s="3" t="str">
        <f>IFERROR(MID(VLOOKUP($B123,Seqs!$A:$B,2,0),AY123,1),"")</f>
        <v>C</v>
      </c>
      <c r="AY123" s="3">
        <v>327</v>
      </c>
      <c r="AZ123" s="79" t="str">
        <f>VLOOKUP(B123,Classification!A:D,2,0)</f>
        <v>A</v>
      </c>
      <c r="BA123" s="97" t="str">
        <f>VLOOKUP(B123,Classification!A:D,4,0)</f>
        <v>Lysophospholipid(LPA)</v>
      </c>
      <c r="BB123" s="27" t="b">
        <f t="shared" ref="BB123:BB155" si="780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si="641"/>
        <v>257</v>
      </c>
      <c r="BD123" s="57" t="s">
        <v>1379</v>
      </c>
      <c r="BE123" s="3" t="s">
        <v>23</v>
      </c>
      <c r="BF123" s="124" t="s">
        <v>23</v>
      </c>
      <c r="BG123" s="50" t="s">
        <v>1379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642"/>
        <v>47</v>
      </c>
      <c r="BW123" s="73">
        <f t="shared" si="643"/>
        <v>78</v>
      </c>
      <c r="BX123" s="74">
        <f t="shared" si="644"/>
        <v>82</v>
      </c>
      <c r="BY123" s="73">
        <f t="shared" si="645"/>
        <v>110</v>
      </c>
      <c r="BZ123" s="74">
        <f t="shared" si="646"/>
        <v>117</v>
      </c>
      <c r="CA123" s="73">
        <f t="shared" si="647"/>
        <v>153</v>
      </c>
      <c r="CB123" s="74">
        <f t="shared" si="648"/>
        <v>160</v>
      </c>
      <c r="CC123" s="73" t="str">
        <f t="shared" si="649"/>
        <v>-</v>
      </c>
      <c r="CD123" s="74">
        <f t="shared" si="650"/>
        <v>203</v>
      </c>
      <c r="CE123" s="73">
        <f t="shared" si="651"/>
        <v>245</v>
      </c>
      <c r="CF123" s="74">
        <f t="shared" si="652"/>
        <v>288</v>
      </c>
      <c r="CG123" s="73">
        <f t="shared" si="653"/>
        <v>315</v>
      </c>
      <c r="CH123" s="72">
        <f t="shared" si="654"/>
        <v>77</v>
      </c>
      <c r="CI123" s="73">
        <f t="shared" si="655"/>
        <v>81</v>
      </c>
      <c r="CJ123" s="74">
        <f t="shared" si="656"/>
        <v>108</v>
      </c>
      <c r="CK123" s="74">
        <f t="shared" si="657"/>
        <v>116</v>
      </c>
      <c r="CL123" s="74">
        <f t="shared" si="658"/>
        <v>152</v>
      </c>
      <c r="CM123" s="74">
        <f t="shared" si="659"/>
        <v>159</v>
      </c>
      <c r="CN123" s="74">
        <f t="shared" si="660"/>
        <v>185</v>
      </c>
      <c r="CO123" s="74" t="str">
        <f t="shared" si="661"/>
        <v>-</v>
      </c>
      <c r="CP123" s="74">
        <f t="shared" si="662"/>
        <v>240</v>
      </c>
      <c r="CQ123" s="74">
        <f t="shared" si="663"/>
        <v>284</v>
      </c>
      <c r="CR123" s="74">
        <f t="shared" si="664"/>
        <v>314</v>
      </c>
      <c r="CS123" s="74">
        <f t="shared" si="665"/>
        <v>327</v>
      </c>
      <c r="CT123" s="23">
        <f t="shared" si="666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779"/>
        <v>lpar1_human_4Z34</v>
      </c>
      <c r="B124" s="3" t="s">
        <v>103</v>
      </c>
      <c r="C124" s="3" t="s">
        <v>1057</v>
      </c>
      <c r="D124" s="3" t="str">
        <f>IFERROR(MID(VLOOKUP($B124,Seqs!$A:$B,2,0),E124,1),"")</f>
        <v>T</v>
      </c>
      <c r="E124" s="3">
        <v>47</v>
      </c>
      <c r="F124" s="3" t="str">
        <f>IFERROR(MID(VLOOKUP($B124,Seqs!$A:$B,2,0),G124,1),"")</f>
        <v>N</v>
      </c>
      <c r="G124" s="3">
        <v>77</v>
      </c>
      <c r="H124" s="3" t="str">
        <f>IFERROR(MID(VLOOKUP($B124,Seqs!$A:$B,2,0),I124,1),"")</f>
        <v>R</v>
      </c>
      <c r="I124" s="23">
        <v>78</v>
      </c>
      <c r="J124" s="3" t="str">
        <f>IFERROR(MID(VLOOKUP($B124,Seqs!$A:$B,2,0),K124,1),"")</f>
        <v>H</v>
      </c>
      <c r="K124" s="23">
        <v>81</v>
      </c>
      <c r="L124" s="3" t="str">
        <f>IFERROR(MID(VLOOKUP($B124,Seqs!$A:$B,2,0),M124,1),"")</f>
        <v>F</v>
      </c>
      <c r="M124" s="3">
        <v>82</v>
      </c>
      <c r="N124" s="3" t="str">
        <f>IFERROR(MID(VLOOKUP($B124,Seqs!$A:$B,2,0),O124,1),"")</f>
        <v>N</v>
      </c>
      <c r="O124" s="3">
        <v>108</v>
      </c>
      <c r="P124" s="3" t="str">
        <f>IFERROR(MID(VLOOKUP($B124,Seqs!$A:$B,2,0),Q124,1),"")</f>
        <v>G</v>
      </c>
      <c r="Q124" s="3">
        <v>110</v>
      </c>
      <c r="R124" s="3" t="str">
        <f>IFERROR(MID(VLOOKUP($B124,Seqs!$A:$B,2,0),S124,1),"")</f>
        <v>L</v>
      </c>
      <c r="S124" s="3">
        <v>116</v>
      </c>
      <c r="T124" s="3" t="str">
        <f>IFERROR(MID(VLOOKUP($B124,Seqs!$A:$B,2,0),U124,1),"")</f>
        <v>T</v>
      </c>
      <c r="U124" s="3">
        <v>117</v>
      </c>
      <c r="V124" s="3" t="str">
        <f>IFERROR(MID(VLOOKUP($B124,Seqs!$A:$B,2,0),W124,1),"")</f>
        <v>R</v>
      </c>
      <c r="W124" s="3">
        <v>152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T</v>
      </c>
      <c r="AC124" s="9">
        <v>157</v>
      </c>
      <c r="AD124" s="3" t="str">
        <f>IFERROR(MID(VLOOKUP($B124,Seqs!$A:$B,2,0),AE124,1),"")</f>
        <v>G</v>
      </c>
      <c r="AE124" s="3">
        <v>185</v>
      </c>
      <c r="AF124" s="3" t="str">
        <f>IFERROR(MID(VLOOKUP($B124,Seqs!$A:$B,2,0),AG124,1),"")</f>
        <v/>
      </c>
      <c r="AG124" s="3" t="s">
        <v>23</v>
      </c>
      <c r="AH124" s="3" t="str">
        <f>IFERROR(MID(VLOOKUP($B124,Seqs!$A:$B,2,0),AI124,1),"")</f>
        <v/>
      </c>
      <c r="AI124" s="3" t="s">
        <v>23</v>
      </c>
      <c r="AJ124" s="3" t="str">
        <f>IFERROR(MID(VLOOKUP($B124,Seqs!$A:$B,2,0),AK124,1),"")</f>
        <v>S</v>
      </c>
      <c r="AK124" s="3">
        <v>203</v>
      </c>
      <c r="AL124" s="3" t="str">
        <f>IFERROR(MID(VLOOKUP($B124,Seqs!$A:$B,2,0),AM124,1),"")</f>
        <v>R</v>
      </c>
      <c r="AM124" s="3">
        <v>235</v>
      </c>
      <c r="AN124" s="3" t="str">
        <f>IFERROR(MID(VLOOKUP($B124,Seqs!$A:$B,2,0),AO124,1),"")</f>
        <v>G</v>
      </c>
      <c r="AO124" s="3">
        <v>245</v>
      </c>
      <c r="AP124" s="3" t="str">
        <f>IFERROR(MID(VLOOKUP($B124,Seqs!$A:$B,2,0),AQ124,1),"")</f>
        <v>C</v>
      </c>
      <c r="AQ124" s="3">
        <v>284</v>
      </c>
      <c r="AR124" s="3" t="str">
        <f>IFERROR(MID(VLOOKUP($B124,Seqs!$A:$B,2,0),AS124,1),"")</f>
        <v>E</v>
      </c>
      <c r="AS124" s="3">
        <v>293</v>
      </c>
      <c r="AT124" s="3" t="str">
        <f>IFERROR(MID(VLOOKUP($B124,Seqs!$A:$B,2,0),AU124,1),"")</f>
        <v>R</v>
      </c>
      <c r="AU124" s="3">
        <v>314</v>
      </c>
      <c r="AV124" s="3" t="str">
        <f>IFERROR(MID(VLOOKUP($B124,Seqs!$A:$B,2,0),AW124,1),"")</f>
        <v>D</v>
      </c>
      <c r="AW124" s="3">
        <v>315</v>
      </c>
      <c r="AX124" s="3" t="str">
        <f>IFERROR(MID(VLOOKUP($B124,Seqs!$A:$B,2,0),AY124,1),"")</f>
        <v>C</v>
      </c>
      <c r="AY124" s="3">
        <v>327</v>
      </c>
      <c r="AZ124" s="79" t="str">
        <f>VLOOKUP(B124,Classification!A:D,2,0)</f>
        <v>A</v>
      </c>
      <c r="BA124" s="97" t="str">
        <f>VLOOKUP(B124,Classification!A:D,4,0)</f>
        <v>Lysophospholipid(LPA)</v>
      </c>
      <c r="BB124" s="27" t="b">
        <f t="shared" si="780"/>
        <v>1</v>
      </c>
      <c r="BC124" s="23">
        <f t="shared" si="641"/>
        <v>244</v>
      </c>
      <c r="BD124" s="16" t="s">
        <v>23</v>
      </c>
      <c r="BE124" s="3" t="s">
        <v>1381</v>
      </c>
      <c r="BF124" s="124">
        <v>3</v>
      </c>
      <c r="BG124" s="50" t="s">
        <v>1384</v>
      </c>
      <c r="BH124" s="50" t="s">
        <v>1384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si="642"/>
        <v>47</v>
      </c>
      <c r="BW124" s="73">
        <f t="shared" si="643"/>
        <v>78</v>
      </c>
      <c r="BX124" s="74">
        <f t="shared" si="644"/>
        <v>82</v>
      </c>
      <c r="BY124" s="73">
        <f t="shared" si="645"/>
        <v>110</v>
      </c>
      <c r="BZ124" s="74">
        <f t="shared" si="646"/>
        <v>117</v>
      </c>
      <c r="CA124" s="73" t="str">
        <f t="shared" si="647"/>
        <v>-</v>
      </c>
      <c r="CB124" s="74">
        <f t="shared" si="648"/>
        <v>157</v>
      </c>
      <c r="CC124" s="73" t="str">
        <f t="shared" si="649"/>
        <v>-</v>
      </c>
      <c r="CD124" s="74">
        <f t="shared" si="650"/>
        <v>203</v>
      </c>
      <c r="CE124" s="73">
        <f t="shared" si="651"/>
        <v>245</v>
      </c>
      <c r="CF124" s="74">
        <f t="shared" si="652"/>
        <v>293</v>
      </c>
      <c r="CG124" s="73">
        <f t="shared" si="653"/>
        <v>315</v>
      </c>
      <c r="CH124" s="72">
        <f t="shared" si="654"/>
        <v>77</v>
      </c>
      <c r="CI124" s="73">
        <f t="shared" si="655"/>
        <v>81</v>
      </c>
      <c r="CJ124" s="74">
        <f t="shared" si="656"/>
        <v>108</v>
      </c>
      <c r="CK124" s="74">
        <f t="shared" si="657"/>
        <v>116</v>
      </c>
      <c r="CL124" s="74">
        <f t="shared" si="658"/>
        <v>152</v>
      </c>
      <c r="CM124" s="74" t="str">
        <f t="shared" si="659"/>
        <v>-</v>
      </c>
      <c r="CN124" s="74">
        <f t="shared" si="660"/>
        <v>185</v>
      </c>
      <c r="CO124" s="74" t="str">
        <f t="shared" si="661"/>
        <v>-</v>
      </c>
      <c r="CP124" s="74">
        <f t="shared" si="662"/>
        <v>235</v>
      </c>
      <c r="CQ124" s="74">
        <f t="shared" si="663"/>
        <v>284</v>
      </c>
      <c r="CR124" s="74">
        <f t="shared" si="664"/>
        <v>314</v>
      </c>
      <c r="CS124" s="74">
        <f t="shared" si="665"/>
        <v>327</v>
      </c>
      <c r="CT124" s="23">
        <f t="shared" si="666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779"/>
        <v>lpar1_human_4Z35</v>
      </c>
      <c r="B125" s="3" t="s">
        <v>103</v>
      </c>
      <c r="C125" s="3" t="s">
        <v>89</v>
      </c>
      <c r="D125" s="3" t="str">
        <f>IFERROR(MID(VLOOKUP($B125,Seqs!$A:$B,2,0),E125,1),"")</f>
        <v>T</v>
      </c>
      <c r="E125" s="3">
        <v>47</v>
      </c>
      <c r="F125" s="3" t="str">
        <f>IFERROR(MID(VLOOKUP($B125,Seqs!$A:$B,2,0),G125,1),"")</f>
        <v>N</v>
      </c>
      <c r="G125" s="3">
        <v>77</v>
      </c>
      <c r="H125" s="3" t="str">
        <f>IFERROR(MID(VLOOKUP($B125,Seqs!$A:$B,2,0),I125,1),"")</f>
        <v>R</v>
      </c>
      <c r="I125" s="23">
        <v>78</v>
      </c>
      <c r="J125" s="3" t="str">
        <f>IFERROR(MID(VLOOKUP($B125,Seqs!$A:$B,2,0),K125,1),"")</f>
        <v>H</v>
      </c>
      <c r="K125" s="23">
        <v>81</v>
      </c>
      <c r="L125" s="3" t="str">
        <f>IFERROR(MID(VLOOKUP($B125,Seqs!$A:$B,2,0),M125,1),"")</f>
        <v>F</v>
      </c>
      <c r="M125" s="3">
        <v>82</v>
      </c>
      <c r="N125" s="3" t="str">
        <f>IFERROR(MID(VLOOKUP($B125,Seqs!$A:$B,2,0),O125,1),"")</f>
        <v>N</v>
      </c>
      <c r="O125" s="3">
        <v>108</v>
      </c>
      <c r="P125" s="3" t="str">
        <f>IFERROR(MID(VLOOKUP($B125,Seqs!$A:$B,2,0),Q125,1),"")</f>
        <v>G</v>
      </c>
      <c r="Q125" s="3">
        <v>110</v>
      </c>
      <c r="R125" s="3" t="str">
        <f>IFERROR(MID(VLOOKUP($B125,Seqs!$A:$B,2,0),S125,1),"")</f>
        <v>L</v>
      </c>
      <c r="S125" s="3">
        <v>116</v>
      </c>
      <c r="T125" s="3" t="str">
        <f>IFERROR(MID(VLOOKUP($B125,Seqs!$A:$B,2,0),U125,1),"")</f>
        <v>T</v>
      </c>
      <c r="U125" s="3">
        <v>117</v>
      </c>
      <c r="V125" s="3" t="str">
        <f>IFERROR(MID(VLOOKUP($B125,Seqs!$A:$B,2,0),W125,1),"")</f>
        <v>R</v>
      </c>
      <c r="W125" s="3">
        <v>152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157</v>
      </c>
      <c r="AD125" s="3" t="str">
        <f>IFERROR(MID(VLOOKUP($B125,Seqs!$A:$B,2,0),AE125,1),"")</f>
        <v>G</v>
      </c>
      <c r="AE125" s="3">
        <v>185</v>
      </c>
      <c r="AF125" s="3" t="str">
        <f>IFERROR(MID(VLOOKUP($B125,Seqs!$A:$B,2,0),AG125,1),"")</f>
        <v/>
      </c>
      <c r="AG125" s="3" t="s">
        <v>23</v>
      </c>
      <c r="AH125" s="3" t="str">
        <f>IFERROR(MID(VLOOKUP($B125,Seqs!$A:$B,2,0),AI125,1),"")</f>
        <v/>
      </c>
      <c r="AI125" s="3" t="s">
        <v>23</v>
      </c>
      <c r="AJ125" s="3" t="str">
        <f>IFERROR(MID(VLOOKUP($B125,Seqs!$A:$B,2,0),AK125,1),"")</f>
        <v>S</v>
      </c>
      <c r="AK125" s="3">
        <v>203</v>
      </c>
      <c r="AL125" s="3" t="str">
        <f>IFERROR(MID(VLOOKUP($B125,Seqs!$A:$B,2,0),AM125,1),"")</f>
        <v>R</v>
      </c>
      <c r="AM125" s="3">
        <v>235</v>
      </c>
      <c r="AN125" s="3" t="str">
        <f>IFERROR(MID(VLOOKUP($B125,Seqs!$A:$B,2,0),AO125,1),"")</f>
        <v>G</v>
      </c>
      <c r="AO125" s="3">
        <v>245</v>
      </c>
      <c r="AP125" s="3" t="str">
        <f>IFERROR(MID(VLOOKUP($B125,Seqs!$A:$B,2,0),AQ125,1),"")</f>
        <v>C</v>
      </c>
      <c r="AQ125" s="3">
        <v>284</v>
      </c>
      <c r="AR125" s="3" t="str">
        <f>IFERROR(MID(VLOOKUP($B125,Seqs!$A:$B,2,0),AS125,1),"")</f>
        <v>E</v>
      </c>
      <c r="AS125" s="3">
        <v>293</v>
      </c>
      <c r="AT125" s="3" t="str">
        <f>IFERROR(MID(VLOOKUP($B125,Seqs!$A:$B,2,0),AU125,1),"")</f>
        <v>R</v>
      </c>
      <c r="AU125" s="3">
        <v>314</v>
      </c>
      <c r="AV125" s="3" t="str">
        <f>IFERROR(MID(VLOOKUP($B125,Seqs!$A:$B,2,0),AW125,1),"")</f>
        <v>D</v>
      </c>
      <c r="AW125" s="3">
        <v>315</v>
      </c>
      <c r="AX125" s="3" t="str">
        <f>IFERROR(MID(VLOOKUP($B125,Seqs!$A:$B,2,0),AY125,1),"")</f>
        <v>C</v>
      </c>
      <c r="AY125" s="3">
        <v>327</v>
      </c>
      <c r="AZ125" s="79" t="str">
        <f>VLOOKUP(B125,Classification!A:D,2,0)</f>
        <v>A</v>
      </c>
      <c r="BA125" s="97" t="str">
        <f>VLOOKUP(B125,Classification!A:D,4,0)</f>
        <v>Lysophospholipid(LPA)</v>
      </c>
      <c r="BB125" s="27" t="b">
        <f t="shared" si="780"/>
        <v>1</v>
      </c>
      <c r="BC125" s="23">
        <f t="shared" si="641"/>
        <v>244</v>
      </c>
      <c r="BD125" s="5" t="s">
        <v>1383</v>
      </c>
      <c r="BE125" s="3" t="s">
        <v>1381</v>
      </c>
      <c r="BF125" s="124">
        <v>2.9</v>
      </c>
      <c r="BG125" s="50" t="s">
        <v>1384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642"/>
        <v>47</v>
      </c>
      <c r="BW125" s="73">
        <f t="shared" si="643"/>
        <v>78</v>
      </c>
      <c r="BX125" s="74">
        <f t="shared" si="644"/>
        <v>82</v>
      </c>
      <c r="BY125" s="73">
        <f t="shared" si="645"/>
        <v>110</v>
      </c>
      <c r="BZ125" s="74">
        <f t="shared" si="646"/>
        <v>117</v>
      </c>
      <c r="CA125" s="73" t="str">
        <f t="shared" si="647"/>
        <v>-</v>
      </c>
      <c r="CB125" s="74">
        <f t="shared" si="648"/>
        <v>157</v>
      </c>
      <c r="CC125" s="73" t="str">
        <f t="shared" si="649"/>
        <v>-</v>
      </c>
      <c r="CD125" s="74">
        <f t="shared" si="650"/>
        <v>203</v>
      </c>
      <c r="CE125" s="73">
        <f t="shared" si="651"/>
        <v>245</v>
      </c>
      <c r="CF125" s="74">
        <f t="shared" si="652"/>
        <v>293</v>
      </c>
      <c r="CG125" s="73">
        <f t="shared" si="653"/>
        <v>315</v>
      </c>
      <c r="CH125" s="72">
        <f t="shared" si="654"/>
        <v>77</v>
      </c>
      <c r="CI125" s="73">
        <f t="shared" si="655"/>
        <v>81</v>
      </c>
      <c r="CJ125" s="74">
        <f t="shared" si="656"/>
        <v>108</v>
      </c>
      <c r="CK125" s="74">
        <f t="shared" si="657"/>
        <v>116</v>
      </c>
      <c r="CL125" s="74">
        <f t="shared" si="658"/>
        <v>152</v>
      </c>
      <c r="CM125" s="74" t="str">
        <f t="shared" si="659"/>
        <v>-</v>
      </c>
      <c r="CN125" s="74">
        <f t="shared" si="660"/>
        <v>185</v>
      </c>
      <c r="CO125" s="74" t="str">
        <f t="shared" si="661"/>
        <v>-</v>
      </c>
      <c r="CP125" s="74">
        <f t="shared" si="662"/>
        <v>235</v>
      </c>
      <c r="CQ125" s="74">
        <f t="shared" si="663"/>
        <v>284</v>
      </c>
      <c r="CR125" s="74">
        <f t="shared" si="664"/>
        <v>314</v>
      </c>
      <c r="CS125" s="74">
        <f t="shared" si="665"/>
        <v>327</v>
      </c>
      <c r="CT125" s="23">
        <f t="shared" si="666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779"/>
        <v>lpar1_human_4Z36</v>
      </c>
      <c r="B126" s="3" t="s">
        <v>103</v>
      </c>
      <c r="C126" s="3" t="s">
        <v>1058</v>
      </c>
      <c r="D126" s="3" t="str">
        <f>IFERROR(MID(VLOOKUP($B126,Seqs!$A:$B,2,0),E126,1),"")</f>
        <v>T</v>
      </c>
      <c r="E126" s="3">
        <v>47</v>
      </c>
      <c r="F126" s="3" t="str">
        <f>IFERROR(MID(VLOOKUP($B126,Seqs!$A:$B,2,0),G126,1),"")</f>
        <v>N</v>
      </c>
      <c r="G126" s="3">
        <v>77</v>
      </c>
      <c r="H126" s="3" t="str">
        <f>IFERROR(MID(VLOOKUP($B126,Seqs!$A:$B,2,0),I126,1),"")</f>
        <v>R</v>
      </c>
      <c r="I126" s="23">
        <v>78</v>
      </c>
      <c r="J126" s="3" t="str">
        <f>IFERROR(MID(VLOOKUP($B126,Seqs!$A:$B,2,0),K126,1),"")</f>
        <v>H</v>
      </c>
      <c r="K126" s="23">
        <v>81</v>
      </c>
      <c r="L126" s="3" t="str">
        <f>IFERROR(MID(VLOOKUP($B126,Seqs!$A:$B,2,0),M126,1),"")</f>
        <v>F</v>
      </c>
      <c r="M126" s="3">
        <v>82</v>
      </c>
      <c r="N126" s="3" t="str">
        <f>IFERROR(MID(VLOOKUP($B126,Seqs!$A:$B,2,0),O126,1),"")</f>
        <v>N</v>
      </c>
      <c r="O126" s="3">
        <v>108</v>
      </c>
      <c r="P126" s="3" t="str">
        <f>IFERROR(MID(VLOOKUP($B126,Seqs!$A:$B,2,0),Q126,1),"")</f>
        <v>G</v>
      </c>
      <c r="Q126" s="3">
        <v>110</v>
      </c>
      <c r="R126" s="3" t="str">
        <f>IFERROR(MID(VLOOKUP($B126,Seqs!$A:$B,2,0),S126,1),"")</f>
        <v>L</v>
      </c>
      <c r="S126" s="3">
        <v>116</v>
      </c>
      <c r="T126" s="3" t="str">
        <f>IFERROR(MID(VLOOKUP($B126,Seqs!$A:$B,2,0),U126,1),"")</f>
        <v>T</v>
      </c>
      <c r="U126" s="3">
        <v>117</v>
      </c>
      <c r="V126" s="3" t="str">
        <f>IFERROR(MID(VLOOKUP($B126,Seqs!$A:$B,2,0),W126,1),"")</f>
        <v>R</v>
      </c>
      <c r="W126" s="3">
        <v>152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T</v>
      </c>
      <c r="AC126" s="9">
        <v>157</v>
      </c>
      <c r="AD126" s="3" t="str">
        <f>IFERROR(MID(VLOOKUP($B126,Seqs!$A:$B,2,0),AE126,1),"")</f>
        <v>G</v>
      </c>
      <c r="AE126" s="3">
        <v>185</v>
      </c>
      <c r="AF126" s="3" t="str">
        <f>IFERROR(MID(VLOOKUP($B126,Seqs!$A:$B,2,0),AG126,1),"")</f>
        <v/>
      </c>
      <c r="AG126" s="3" t="s">
        <v>23</v>
      </c>
      <c r="AH126" s="3" t="str">
        <f>IFERROR(MID(VLOOKUP($B126,Seqs!$A:$B,2,0),AI126,1),"")</f>
        <v/>
      </c>
      <c r="AI126" s="3" t="s">
        <v>23</v>
      </c>
      <c r="AJ126" s="3" t="str">
        <f>IFERROR(MID(VLOOKUP($B126,Seqs!$A:$B,2,0),AK126,1),"")</f>
        <v>S</v>
      </c>
      <c r="AK126" s="3">
        <v>203</v>
      </c>
      <c r="AL126" s="3" t="str">
        <f>IFERROR(MID(VLOOKUP($B126,Seqs!$A:$B,2,0),AM126,1),"")</f>
        <v>R</v>
      </c>
      <c r="AM126" s="3">
        <v>235</v>
      </c>
      <c r="AN126" s="3" t="str">
        <f>IFERROR(MID(VLOOKUP($B126,Seqs!$A:$B,2,0),AO126,1),"")</f>
        <v>G</v>
      </c>
      <c r="AO126" s="3">
        <v>245</v>
      </c>
      <c r="AP126" s="3" t="str">
        <f>IFERROR(MID(VLOOKUP($B126,Seqs!$A:$B,2,0),AQ126,1),"")</f>
        <v>C</v>
      </c>
      <c r="AQ126" s="3">
        <v>284</v>
      </c>
      <c r="AR126" s="3" t="str">
        <f>IFERROR(MID(VLOOKUP($B126,Seqs!$A:$B,2,0),AS126,1),"")</f>
        <v>E</v>
      </c>
      <c r="AS126" s="3">
        <v>293</v>
      </c>
      <c r="AT126" s="3" t="str">
        <f>IFERROR(MID(VLOOKUP($B126,Seqs!$A:$B,2,0),AU126,1),"")</f>
        <v>R</v>
      </c>
      <c r="AU126" s="3">
        <v>314</v>
      </c>
      <c r="AV126" s="3" t="str">
        <f>IFERROR(MID(VLOOKUP($B126,Seqs!$A:$B,2,0),AW126,1),"")</f>
        <v>D</v>
      </c>
      <c r="AW126" s="3">
        <v>315</v>
      </c>
      <c r="AX126" s="3" t="str">
        <f>IFERROR(MID(VLOOKUP($B126,Seqs!$A:$B,2,0),AY126,1),"")</f>
        <v>C</v>
      </c>
      <c r="AY126" s="3">
        <v>327</v>
      </c>
      <c r="AZ126" s="79" t="str">
        <f>VLOOKUP(B126,Classification!A:D,2,0)</f>
        <v>A</v>
      </c>
      <c r="BA126" s="97" t="str">
        <f>VLOOKUP(B126,Classification!A:D,4,0)</f>
        <v>Lysophospholipid(LPA)</v>
      </c>
      <c r="BB126" s="27" t="b">
        <f t="shared" si="780"/>
        <v>1</v>
      </c>
      <c r="BC126" s="23">
        <f t="shared" si="641"/>
        <v>244</v>
      </c>
      <c r="BD126" s="5" t="s">
        <v>23</v>
      </c>
      <c r="BE126" s="3" t="s">
        <v>1381</v>
      </c>
      <c r="BF126" s="124">
        <v>2.9</v>
      </c>
      <c r="BG126" s="50" t="s">
        <v>1384</v>
      </c>
      <c r="BH126" s="50" t="s">
        <v>1384</v>
      </c>
      <c r="BI126" s="1"/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642"/>
        <v>47</v>
      </c>
      <c r="BW126" s="73">
        <f t="shared" si="643"/>
        <v>78</v>
      </c>
      <c r="BX126" s="74">
        <f t="shared" si="644"/>
        <v>82</v>
      </c>
      <c r="BY126" s="73">
        <f t="shared" si="645"/>
        <v>110</v>
      </c>
      <c r="BZ126" s="74">
        <f t="shared" si="646"/>
        <v>117</v>
      </c>
      <c r="CA126" s="73" t="str">
        <f t="shared" si="647"/>
        <v>-</v>
      </c>
      <c r="CB126" s="74">
        <f t="shared" si="648"/>
        <v>157</v>
      </c>
      <c r="CC126" s="73" t="str">
        <f t="shared" si="649"/>
        <v>-</v>
      </c>
      <c r="CD126" s="74">
        <f t="shared" si="650"/>
        <v>203</v>
      </c>
      <c r="CE126" s="73">
        <f t="shared" si="651"/>
        <v>245</v>
      </c>
      <c r="CF126" s="74">
        <f t="shared" si="652"/>
        <v>293</v>
      </c>
      <c r="CG126" s="73">
        <f t="shared" si="653"/>
        <v>315</v>
      </c>
      <c r="CH126" s="72">
        <f t="shared" si="654"/>
        <v>77</v>
      </c>
      <c r="CI126" s="73">
        <f t="shared" si="655"/>
        <v>81</v>
      </c>
      <c r="CJ126" s="74">
        <f t="shared" si="656"/>
        <v>108</v>
      </c>
      <c r="CK126" s="74">
        <f t="shared" si="657"/>
        <v>116</v>
      </c>
      <c r="CL126" s="74">
        <f t="shared" si="658"/>
        <v>152</v>
      </c>
      <c r="CM126" s="74" t="str">
        <f t="shared" si="659"/>
        <v>-</v>
      </c>
      <c r="CN126" s="74">
        <f t="shared" si="660"/>
        <v>185</v>
      </c>
      <c r="CO126" s="74" t="str">
        <f t="shared" si="661"/>
        <v>-</v>
      </c>
      <c r="CP126" s="74">
        <f t="shared" si="662"/>
        <v>235</v>
      </c>
      <c r="CQ126" s="74">
        <f t="shared" si="663"/>
        <v>284</v>
      </c>
      <c r="CR126" s="74">
        <f t="shared" si="664"/>
        <v>314</v>
      </c>
      <c r="CS126" s="74">
        <f t="shared" si="665"/>
        <v>327</v>
      </c>
      <c r="CT126" s="23">
        <f t="shared" si="666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779"/>
        <v>ntr1_rat__wt</v>
      </c>
      <c r="B127" s="3" t="s">
        <v>914</v>
      </c>
      <c r="C127" s="3" t="s">
        <v>100</v>
      </c>
      <c r="D127" s="3" t="str">
        <f>IFERROR(MID(VLOOKUP($B127,Seqs!$A:$B,2,0),E127,1),"")</f>
        <v>I</v>
      </c>
      <c r="E127" s="3">
        <v>61</v>
      </c>
      <c r="F127" s="3" t="str">
        <f>IFERROR(MID(VLOOKUP($B127,Seqs!$A:$B,2,0),G127,1),"")</f>
        <v>K</v>
      </c>
      <c r="G127" s="3">
        <v>92</v>
      </c>
      <c r="H127" s="3" t="str">
        <f>IFERROR(MID(VLOOKUP($B127,Seqs!$A:$B,2,0),I127,1),"")</f>
        <v>K</v>
      </c>
      <c r="I127" s="23">
        <v>93</v>
      </c>
      <c r="J127" s="3" t="str">
        <f>IFERROR(MID(VLOOKUP($B127,Seqs!$A:$B,2,0),K127,1),"")</f>
        <v>Q</v>
      </c>
      <c r="K127" s="23">
        <v>96</v>
      </c>
      <c r="L127" s="3" t="str">
        <f>IFERROR(MID(VLOOKUP($B127,Seqs!$A:$B,2,0),M127,1),"")</f>
        <v>S</v>
      </c>
      <c r="M127" s="3">
        <v>97</v>
      </c>
      <c r="N127" s="3" t="str">
        <f>IFERROR(MID(VLOOKUP($B127,Seqs!$A:$B,2,0),O127,1),"")</f>
        <v>V</v>
      </c>
      <c r="O127" s="3">
        <v>131</v>
      </c>
      <c r="P127" s="3" t="str">
        <f>IFERROR(MID(VLOOKUP($B127,Seqs!$A:$B,2,0),Q127,1),"")</f>
        <v>P</v>
      </c>
      <c r="Q127" s="3">
        <v>134</v>
      </c>
      <c r="R127" s="3" t="str">
        <f>IFERROR(MID(VLOOKUP($B127,Seqs!$A:$B,2,0),S127,1),"")</f>
        <v>F</v>
      </c>
      <c r="S127" s="3">
        <v>137</v>
      </c>
      <c r="T127" s="3" t="str">
        <f>IFERROR(MID(VLOOKUP($B127,Seqs!$A:$B,2,0),U127,1),"")</f>
        <v>G</v>
      </c>
      <c r="U127" s="3">
        <v>138</v>
      </c>
      <c r="V127" s="3" t="str">
        <f>IFERROR(MID(VLOOKUP($B127,Seqs!$A:$B,2,0),W127,1),"")</f>
        <v>H</v>
      </c>
      <c r="W127" s="3">
        <v>173</v>
      </c>
      <c r="X127" s="3" t="str">
        <f>IFERROR(MID(VLOOKUP($B127,Seqs!$A:$B,2,0),Y127,1),"")</f>
        <v>P</v>
      </c>
      <c r="Y127" s="3">
        <v>174</v>
      </c>
      <c r="Z127" s="3" t="str">
        <f>IFERROR(MID(VLOOKUP($B127,Seqs!$A:$B,2,0),AA127,1),"")</f>
        <v>M</v>
      </c>
      <c r="AA127" s="3">
        <v>181</v>
      </c>
      <c r="AB127" s="3" t="str">
        <f>IFERROR(MID(VLOOKUP($B127,Seqs!$A:$B,2,0),AC127,1),"")</f>
        <v>S</v>
      </c>
      <c r="AC127" s="9">
        <v>182</v>
      </c>
      <c r="AD127" s="3" t="str">
        <f>IFERROR(MID(VLOOKUP($B127,Seqs!$A:$B,2,0),AE127,1),"")</f>
        <v>M</v>
      </c>
      <c r="AE127" s="3">
        <v>208</v>
      </c>
      <c r="AF127" s="3" t="str">
        <f>IFERROR(MID(VLOOKUP($B127,Seqs!$A:$B,2,0),AG127,1),"")</f>
        <v>C</v>
      </c>
      <c r="AG127" s="3">
        <v>225</v>
      </c>
      <c r="AH127" s="3" t="str">
        <f>IFERROR(MID(VLOOKUP($B127,Seqs!$A:$B,2,0),AI127,1),"")</f>
        <v>P</v>
      </c>
      <c r="AI127" s="3">
        <v>227</v>
      </c>
      <c r="AJ127" s="3" t="str">
        <f>IFERROR(MID(VLOOKUP($B127,Seqs!$A:$B,2,0),AK127,1),"")</f>
        <v>T</v>
      </c>
      <c r="AK127" s="3">
        <v>231</v>
      </c>
      <c r="AL127" s="3" t="str">
        <f>IFERROR(MID(VLOOKUP($B127,Seqs!$A:$B,2,0),AM127,1),"")</f>
        <v>G</v>
      </c>
      <c r="AM127" s="3">
        <v>275</v>
      </c>
      <c r="AN127" s="3" t="str">
        <f>IFERROR(MID(VLOOKUP($B127,Seqs!$A:$B,2,0),AO127,1),"")</f>
        <v>P</v>
      </c>
      <c r="AO127" s="3">
        <v>297</v>
      </c>
      <c r="AP127" s="3" t="str">
        <f>IFERROR(MID(VLOOKUP($B127,Seqs!$A:$B,2,0),AQ127,1),"")</f>
        <v>I</v>
      </c>
      <c r="AQ127" s="3">
        <v>334</v>
      </c>
      <c r="AR127" s="3" t="str">
        <f>IFERROR(MID(VLOOKUP($B127,Seqs!$A:$B,2,0),AS127,1),"")</f>
        <v>T</v>
      </c>
      <c r="AS127" s="3">
        <v>340</v>
      </c>
      <c r="AT127" s="3" t="str">
        <f>IFERROR(MID(VLOOKUP($B127,Seqs!$A:$B,2,0),AU127,1),"")</f>
        <v>V</v>
      </c>
      <c r="AU127" s="3">
        <v>372</v>
      </c>
      <c r="AV127" s="3" t="str">
        <f>IFERROR(MID(VLOOKUP($B127,Seqs!$A:$B,2,0),AW127,1),"")</f>
        <v>S</v>
      </c>
      <c r="AW127" s="3">
        <v>373</v>
      </c>
      <c r="AX127" s="3" t="str">
        <f>IFERROR(MID(VLOOKUP($B127,Seqs!$A:$B,2,0),AY127,1),"")</f>
        <v>L</v>
      </c>
      <c r="AY127" s="3">
        <v>384</v>
      </c>
      <c r="AZ127" s="79" t="str">
        <f>VLOOKUP(B127,Classification!A:D,2,0)</f>
        <v>A</v>
      </c>
      <c r="BA127" s="97" t="str">
        <f>VLOOKUP(B127,Classification!A:D,4,0)</f>
        <v>Neurotensin</v>
      </c>
      <c r="BB127" s="27" t="b">
        <f t="shared" si="780"/>
        <v>1</v>
      </c>
      <c r="BC127" s="23">
        <f t="shared" si="641"/>
        <v>277</v>
      </c>
      <c r="BD127" s="57" t="s">
        <v>1379</v>
      </c>
      <c r="BE127" s="3" t="s">
        <v>23</v>
      </c>
      <c r="BF127" s="124" t="s">
        <v>23</v>
      </c>
      <c r="BG127" s="50" t="s">
        <v>1379</v>
      </c>
      <c r="BH127" s="50" t="s">
        <v>1384</v>
      </c>
      <c r="BI127" s="3" t="s">
        <v>1170</v>
      </c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642"/>
        <v>61</v>
      </c>
      <c r="BW127" s="73">
        <f t="shared" si="643"/>
        <v>93</v>
      </c>
      <c r="BX127" s="74">
        <f t="shared" si="644"/>
        <v>97</v>
      </c>
      <c r="BY127" s="73">
        <f t="shared" si="645"/>
        <v>134</v>
      </c>
      <c r="BZ127" s="74">
        <f t="shared" si="646"/>
        <v>138</v>
      </c>
      <c r="CA127" s="73">
        <f t="shared" si="647"/>
        <v>174</v>
      </c>
      <c r="CB127" s="74">
        <f t="shared" si="648"/>
        <v>182</v>
      </c>
      <c r="CC127" s="73">
        <f t="shared" si="649"/>
        <v>225</v>
      </c>
      <c r="CD127" s="74">
        <f t="shared" si="650"/>
        <v>231</v>
      </c>
      <c r="CE127" s="73">
        <f t="shared" si="651"/>
        <v>297</v>
      </c>
      <c r="CF127" s="74">
        <f t="shared" si="652"/>
        <v>340</v>
      </c>
      <c r="CG127" s="73">
        <f t="shared" si="653"/>
        <v>373</v>
      </c>
      <c r="CH127" s="72">
        <f t="shared" si="654"/>
        <v>92</v>
      </c>
      <c r="CI127" s="73">
        <f t="shared" si="655"/>
        <v>96</v>
      </c>
      <c r="CJ127" s="74">
        <f t="shared" si="656"/>
        <v>131</v>
      </c>
      <c r="CK127" s="74">
        <f t="shared" si="657"/>
        <v>137</v>
      </c>
      <c r="CL127" s="74">
        <f t="shared" si="658"/>
        <v>173</v>
      </c>
      <c r="CM127" s="74">
        <f t="shared" si="659"/>
        <v>181</v>
      </c>
      <c r="CN127" s="74">
        <f t="shared" si="660"/>
        <v>208</v>
      </c>
      <c r="CO127" s="74">
        <f t="shared" si="661"/>
        <v>227</v>
      </c>
      <c r="CP127" s="74">
        <f t="shared" si="662"/>
        <v>275</v>
      </c>
      <c r="CQ127" s="74">
        <f t="shared" si="663"/>
        <v>334</v>
      </c>
      <c r="CR127" s="74">
        <f t="shared" si="664"/>
        <v>372</v>
      </c>
      <c r="CS127" s="74">
        <f t="shared" si="665"/>
        <v>384</v>
      </c>
      <c r="CT127" s="23">
        <f t="shared" si="666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si="779"/>
        <v>ntr1_rat_4BUO</v>
      </c>
      <c r="B128" s="3" t="s">
        <v>914</v>
      </c>
      <c r="C128" s="3" t="s">
        <v>1338</v>
      </c>
      <c r="D128" s="3" t="str">
        <f>IFERROR(MID(VLOOKUP($B128,Seqs!$A:$B,2,0),E128,1),"")</f>
        <v>I</v>
      </c>
      <c r="E128" s="3">
        <v>61</v>
      </c>
      <c r="F128" s="3" t="str">
        <f>IFERROR(MID(VLOOKUP($B128,Seqs!$A:$B,2,0),G128,1),"")</f>
        <v>R</v>
      </c>
      <c r="G128" s="3">
        <v>91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S</v>
      </c>
      <c r="M128" s="3">
        <v>97</v>
      </c>
      <c r="N128" s="3" t="str">
        <f>IFERROR(MID(VLOOKUP($B128,Seqs!$A:$B,2,0),O128,1),"")</f>
        <v>V</v>
      </c>
      <c r="O128" s="3">
        <v>131</v>
      </c>
      <c r="P128" s="3" t="str">
        <f>IFERROR(MID(VLOOKUP($B128,Seqs!$A:$B,2,0),Q128,1),"")</f>
        <v>P</v>
      </c>
      <c r="Q128" s="3">
        <v>134</v>
      </c>
      <c r="R128" s="3" t="str">
        <f>IFERROR(MID(VLOOKUP($B128,Seqs!$A:$B,2,0),S128,1),"")</f>
        <v>F</v>
      </c>
      <c r="S128" s="3">
        <v>137</v>
      </c>
      <c r="T128" s="3" t="str">
        <f>IFERROR(MID(VLOOKUP($B128,Seqs!$A:$B,2,0),U128,1),"")</f>
        <v>G</v>
      </c>
      <c r="U128" s="3">
        <v>138</v>
      </c>
      <c r="V128" s="3" t="str">
        <f>IFERROR(MID(VLOOKUP($B128,Seqs!$A:$B,2,0),W128,1),"")</f>
        <v>H</v>
      </c>
      <c r="W128" s="3">
        <v>173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S</v>
      </c>
      <c r="AC128" s="9">
        <v>182</v>
      </c>
      <c r="AD128" s="3" t="str">
        <f>IFERROR(MID(VLOOKUP($B128,Seqs!$A:$B,2,0),AE128,1),"")</f>
        <v>M</v>
      </c>
      <c r="AE128" s="3">
        <v>208</v>
      </c>
      <c r="AF128" s="3" t="str">
        <f>IFERROR(MID(VLOOKUP($B128,Seqs!$A:$B,2,0),AG128,1),"")</f>
        <v>C</v>
      </c>
      <c r="AG128" s="3">
        <v>225</v>
      </c>
      <c r="AH128" s="3" t="str">
        <f>IFERROR(MID(VLOOKUP($B128,Seqs!$A:$B,2,0),AI128,1),"")</f>
        <v>P</v>
      </c>
      <c r="AI128" s="3">
        <v>227</v>
      </c>
      <c r="AJ128" s="3" t="str">
        <f>IFERROR(MID(VLOOKUP($B128,Seqs!$A:$B,2,0),AK128,1),"")</f>
        <v>T</v>
      </c>
      <c r="AK128" s="3">
        <v>231</v>
      </c>
      <c r="AL128" s="3" t="str">
        <f>IFERROR(MID(VLOOKUP($B128,Seqs!$A:$B,2,0),AM128,1),"")</f>
        <v>Q</v>
      </c>
      <c r="AM128" s="3">
        <v>270</v>
      </c>
      <c r="AN128" s="3" t="str">
        <f>IFERROR(MID(VLOOKUP($B128,Seqs!$A:$B,2,0),AO128,1),"")</f>
        <v>G</v>
      </c>
      <c r="AO128" s="3">
        <v>298</v>
      </c>
      <c r="AP128" s="3" t="str">
        <f>IFERROR(MID(VLOOKUP($B128,Seqs!$A:$B,2,0),AQ128,1),"")</f>
        <v>I</v>
      </c>
      <c r="AQ128" s="3">
        <v>334</v>
      </c>
      <c r="AR128" s="3" t="str">
        <f>IFERROR(MID(VLOOKUP($B128,Seqs!$A:$B,2,0),AS128,1),"")</f>
        <v>T</v>
      </c>
      <c r="AS128" s="3">
        <v>340</v>
      </c>
      <c r="AT128" s="3" t="str">
        <f>IFERROR(MID(VLOOKUP($B128,Seqs!$A:$B,2,0),AU128,1),"")</f>
        <v>V</v>
      </c>
      <c r="AU128" s="3">
        <v>372</v>
      </c>
      <c r="AV128" s="3" t="str">
        <f>IFERROR(MID(VLOOKUP($B128,Seqs!$A:$B,2,0),AW128,1),"")</f>
        <v>S</v>
      </c>
      <c r="AW128" s="3">
        <v>373</v>
      </c>
      <c r="AX128" s="3" t="str">
        <f>IFERROR(MID(VLOOKUP($B128,Seqs!$A:$B,2,0),AY128,1),"")</f>
        <v>L</v>
      </c>
      <c r="AY128" s="3">
        <v>384</v>
      </c>
      <c r="AZ128" s="79" t="str">
        <f>VLOOKUP(B128,Classification!A:D,2,0)</f>
        <v>A</v>
      </c>
      <c r="BA128" s="97" t="str">
        <f>VLOOKUP(B128,Classification!A:D,4,0)</f>
        <v>Neurotensin</v>
      </c>
      <c r="BB128" s="27" t="b">
        <f t="shared" si="780"/>
        <v>1</v>
      </c>
      <c r="BC128" s="23">
        <f t="shared" si="641"/>
        <v>260</v>
      </c>
      <c r="BD128" s="16" t="s">
        <v>1383</v>
      </c>
      <c r="BE128" s="3" t="s">
        <v>1381</v>
      </c>
      <c r="BF128" s="124">
        <v>2.75</v>
      </c>
      <c r="BG128" s="50" t="s">
        <v>1384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642"/>
        <v>61</v>
      </c>
      <c r="BW128" s="73" t="str">
        <f t="shared" si="643"/>
        <v>-</v>
      </c>
      <c r="BX128" s="74">
        <f t="shared" si="644"/>
        <v>97</v>
      </c>
      <c r="BY128" s="73">
        <f t="shared" si="645"/>
        <v>134</v>
      </c>
      <c r="BZ128" s="74">
        <f t="shared" si="646"/>
        <v>138</v>
      </c>
      <c r="CA128" s="73" t="str">
        <f t="shared" si="647"/>
        <v>-</v>
      </c>
      <c r="CB128" s="74">
        <f t="shared" si="648"/>
        <v>182</v>
      </c>
      <c r="CC128" s="73">
        <f t="shared" si="649"/>
        <v>225</v>
      </c>
      <c r="CD128" s="74">
        <f t="shared" si="650"/>
        <v>231</v>
      </c>
      <c r="CE128" s="73">
        <f t="shared" si="651"/>
        <v>298</v>
      </c>
      <c r="CF128" s="74">
        <f t="shared" si="652"/>
        <v>340</v>
      </c>
      <c r="CG128" s="73">
        <f t="shared" si="653"/>
        <v>373</v>
      </c>
      <c r="CH128" s="72">
        <f t="shared" si="654"/>
        <v>91</v>
      </c>
      <c r="CI128" s="73" t="str">
        <f t="shared" si="655"/>
        <v>-</v>
      </c>
      <c r="CJ128" s="74">
        <f t="shared" si="656"/>
        <v>131</v>
      </c>
      <c r="CK128" s="74">
        <f t="shared" si="657"/>
        <v>137</v>
      </c>
      <c r="CL128" s="74">
        <f t="shared" si="658"/>
        <v>173</v>
      </c>
      <c r="CM128" s="74" t="str">
        <f t="shared" si="659"/>
        <v>-</v>
      </c>
      <c r="CN128" s="74">
        <f t="shared" si="660"/>
        <v>208</v>
      </c>
      <c r="CO128" s="74">
        <f t="shared" si="661"/>
        <v>227</v>
      </c>
      <c r="CP128" s="74">
        <f t="shared" si="662"/>
        <v>270</v>
      </c>
      <c r="CQ128" s="74">
        <f t="shared" si="663"/>
        <v>334</v>
      </c>
      <c r="CR128" s="74">
        <f t="shared" si="664"/>
        <v>372</v>
      </c>
      <c r="CS128" s="74">
        <f t="shared" si="665"/>
        <v>384</v>
      </c>
      <c r="CT128" s="23" t="e">
        <f t="shared" si="666"/>
        <v>#VALUE!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779"/>
        <v>ntr1_rat_4GRV</v>
      </c>
      <c r="B129" s="3" t="s">
        <v>914</v>
      </c>
      <c r="C129" s="3" t="s">
        <v>50</v>
      </c>
      <c r="D129" s="3" t="str">
        <f>IFERROR(MID(VLOOKUP($B129,Seqs!$A:$B,2,0),E129,1),"")</f>
        <v>I</v>
      </c>
      <c r="E129" s="3">
        <v>61</v>
      </c>
      <c r="F129" s="3" t="str">
        <f>IFERROR(MID(VLOOKUP($B129,Seqs!$A:$B,2,0),G129,1),"")</f>
        <v>T</v>
      </c>
      <c r="G129" s="3">
        <v>88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Q</v>
      </c>
      <c r="M129" s="3">
        <v>99</v>
      </c>
      <c r="N129" s="3" t="str">
        <f>IFERROR(MID(VLOOKUP($B129,Seqs!$A:$B,2,0),O129,1),"")</f>
        <v>V</v>
      </c>
      <c r="O129" s="3">
        <v>131</v>
      </c>
      <c r="P129" s="3" t="str">
        <f>IFERROR(MID(VLOOKUP($B129,Seqs!$A:$B,2,0),Q129,1),"")</f>
        <v>P</v>
      </c>
      <c r="Q129" s="3">
        <v>134</v>
      </c>
      <c r="R129" s="3" t="str">
        <f>IFERROR(MID(VLOOKUP($B129,Seqs!$A:$B,2,0),S129,1),"")</f>
        <v>F</v>
      </c>
      <c r="S129" s="3">
        <v>137</v>
      </c>
      <c r="T129" s="3" t="str">
        <f>IFERROR(MID(VLOOKUP($B129,Seqs!$A:$B,2,0),U129,1),"")</f>
        <v>G</v>
      </c>
      <c r="U129" s="3">
        <v>138</v>
      </c>
      <c r="V129" s="3" t="str">
        <f>IFERROR(MID(VLOOKUP($B129,Seqs!$A:$B,2,0),W129,1),"")</f>
        <v>H</v>
      </c>
      <c r="W129" s="3">
        <v>173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186</v>
      </c>
      <c r="AD129" s="3" t="str">
        <f>IFERROR(MID(VLOOKUP($B129,Seqs!$A:$B,2,0),AE129,1),"")</f>
        <v>M</v>
      </c>
      <c r="AE129" s="3">
        <v>208</v>
      </c>
      <c r="AF129" s="3" t="str">
        <f>IFERROR(MID(VLOOKUP($B129,Seqs!$A:$B,2,0),AG129,1),"")</f>
        <v>C</v>
      </c>
      <c r="AG129" s="3">
        <v>225</v>
      </c>
      <c r="AH129" s="3" t="str">
        <f>IFERROR(MID(VLOOKUP($B129,Seqs!$A:$B,2,0),AI129,1),"")</f>
        <v>P</v>
      </c>
      <c r="AI129" s="3">
        <v>227</v>
      </c>
      <c r="AJ129" s="3" t="str">
        <f>IFERROR(MID(VLOOKUP($B129,Seqs!$A:$B,2,0),AK129,1),"")</f>
        <v>T</v>
      </c>
      <c r="AK129" s="3">
        <v>231</v>
      </c>
      <c r="AL129" s="3" t="str">
        <f>IFERROR(MID(VLOOKUP($B129,Seqs!$A:$B,2,0),AM129,1),"")</f>
        <v>T</v>
      </c>
      <c r="AM129" s="3">
        <v>265</v>
      </c>
      <c r="AN129" s="3" t="str">
        <f>IFERROR(MID(VLOOKUP($B129,Seqs!$A:$B,2,0),AO129,1),"")</f>
        <v>A</v>
      </c>
      <c r="AO129" s="3">
        <v>302</v>
      </c>
      <c r="AP129" s="3" t="str">
        <f>IFERROR(MID(VLOOKUP($B129,Seqs!$A:$B,2,0),AQ129,1),"")</f>
        <v>I</v>
      </c>
      <c r="AQ129" s="3">
        <v>334</v>
      </c>
      <c r="AR129" s="3" t="str">
        <f>IFERROR(MID(VLOOKUP($B129,Seqs!$A:$B,2,0),AS129,1),"")</f>
        <v>T</v>
      </c>
      <c r="AS129" s="3">
        <v>340</v>
      </c>
      <c r="AT129" s="3" t="str">
        <f>IFERROR(MID(VLOOKUP($B129,Seqs!$A:$B,2,0),AU129,1),"")</f>
        <v>S</v>
      </c>
      <c r="AU129" s="3">
        <v>361</v>
      </c>
      <c r="AV129" s="3" t="str">
        <f>IFERROR(MID(VLOOKUP($B129,Seqs!$A:$B,2,0),AW129,1),"")</f>
        <v/>
      </c>
      <c r="AW129" s="3" t="s">
        <v>23</v>
      </c>
      <c r="AX129" s="3" t="str">
        <f>IFERROR(MID(VLOOKUP($B129,Seqs!$A:$B,2,0),AY129,1),"")</f>
        <v/>
      </c>
      <c r="AY129" s="3" t="s">
        <v>23</v>
      </c>
      <c r="AZ129" s="79" t="str">
        <f>VLOOKUP(B129,Classification!A:D,2,0)</f>
        <v>A</v>
      </c>
      <c r="BA129" s="97" t="str">
        <f>VLOOKUP(B129,Classification!A:D,4,0)</f>
        <v>Neurotensin</v>
      </c>
      <c r="BB129" s="27" t="b">
        <f t="shared" si="780"/>
        <v>1</v>
      </c>
      <c r="BC129" s="23">
        <f t="shared" si="641"/>
        <v>220</v>
      </c>
      <c r="BD129" s="5" t="s">
        <v>23</v>
      </c>
      <c r="BE129" s="3" t="s">
        <v>1439</v>
      </c>
      <c r="BF129" s="124">
        <v>2.8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642"/>
        <v>61</v>
      </c>
      <c r="BW129" s="73" t="str">
        <f t="shared" si="643"/>
        <v>-</v>
      </c>
      <c r="BX129" s="74">
        <f t="shared" si="644"/>
        <v>99</v>
      </c>
      <c r="BY129" s="73">
        <f t="shared" si="645"/>
        <v>134</v>
      </c>
      <c r="BZ129" s="74">
        <f t="shared" si="646"/>
        <v>138</v>
      </c>
      <c r="CA129" s="73" t="str">
        <f t="shared" si="647"/>
        <v>-</v>
      </c>
      <c r="CB129" s="74">
        <f t="shared" si="648"/>
        <v>186</v>
      </c>
      <c r="CC129" s="73">
        <f t="shared" si="649"/>
        <v>225</v>
      </c>
      <c r="CD129" s="74">
        <f t="shared" si="650"/>
        <v>231</v>
      </c>
      <c r="CE129" s="73">
        <f t="shared" si="651"/>
        <v>302</v>
      </c>
      <c r="CF129" s="74">
        <f t="shared" si="652"/>
        <v>340</v>
      </c>
      <c r="CG129" s="73" t="str">
        <f t="shared" si="653"/>
        <v>-</v>
      </c>
      <c r="CH129" s="72">
        <f t="shared" si="654"/>
        <v>88</v>
      </c>
      <c r="CI129" s="73" t="str">
        <f t="shared" si="655"/>
        <v>-</v>
      </c>
      <c r="CJ129" s="74">
        <f t="shared" si="656"/>
        <v>131</v>
      </c>
      <c r="CK129" s="74">
        <f t="shared" si="657"/>
        <v>137</v>
      </c>
      <c r="CL129" s="74">
        <f t="shared" si="658"/>
        <v>173</v>
      </c>
      <c r="CM129" s="74" t="str">
        <f t="shared" si="659"/>
        <v>-</v>
      </c>
      <c r="CN129" s="74">
        <f t="shared" si="660"/>
        <v>208</v>
      </c>
      <c r="CO129" s="74">
        <f t="shared" si="661"/>
        <v>227</v>
      </c>
      <c r="CP129" s="74">
        <f t="shared" si="662"/>
        <v>265</v>
      </c>
      <c r="CQ129" s="74">
        <f t="shared" si="663"/>
        <v>334</v>
      </c>
      <c r="CR129" s="74">
        <f t="shared" si="664"/>
        <v>361</v>
      </c>
      <c r="CS129" s="74" t="str">
        <f t="shared" si="665"/>
        <v>-</v>
      </c>
      <c r="CT129" s="23" t="e">
        <f t="shared" si="666"/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779"/>
        <v>ntr1_rat_4XEE</v>
      </c>
      <c r="B130" s="3" t="s">
        <v>914</v>
      </c>
      <c r="C130" s="3" t="s">
        <v>1356</v>
      </c>
      <c r="D130" s="3" t="str">
        <f>IFERROR(MID(VLOOKUP($B130,Seqs!$A:$B,2,0),E130,1),"")</f>
        <v>I</v>
      </c>
      <c r="E130" s="3">
        <v>61</v>
      </c>
      <c r="F130" s="3" t="str">
        <f>IFERROR(MID(VLOOKUP($B130,Seqs!$A:$B,2,0),G130,1),"")</f>
        <v>R</v>
      </c>
      <c r="G130" s="3">
        <v>91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S</v>
      </c>
      <c r="M130" s="3">
        <v>100</v>
      </c>
      <c r="N130" s="3" t="str">
        <f>IFERROR(MID(VLOOKUP($B130,Seqs!$A:$B,2,0),O130,1),"")</f>
        <v>V</v>
      </c>
      <c r="O130" s="3">
        <v>131</v>
      </c>
      <c r="P130" s="3" t="str">
        <f>IFERROR(MID(VLOOKUP($B130,Seqs!$A:$B,2,0),Q130,1),"")</f>
        <v>P</v>
      </c>
      <c r="Q130" s="3">
        <v>134</v>
      </c>
      <c r="R130" s="3" t="str">
        <f>IFERROR(MID(VLOOKUP($B130,Seqs!$A:$B,2,0),S130,1),"")</f>
        <v>F</v>
      </c>
      <c r="S130" s="3">
        <v>137</v>
      </c>
      <c r="T130" s="3" t="str">
        <f>IFERROR(MID(VLOOKUP($B130,Seqs!$A:$B,2,0),U130,1),"")</f>
        <v>G</v>
      </c>
      <c r="U130" s="3">
        <v>138</v>
      </c>
      <c r="V130" s="3" t="str">
        <f>IFERROR(MID(VLOOKUP($B130,Seqs!$A:$B,2,0),W130,1),"")</f>
        <v>H</v>
      </c>
      <c r="W130" s="3">
        <v>173</v>
      </c>
      <c r="X130" s="3" t="str">
        <f>IFERROR(MID(VLOOKUP($B130,Seqs!$A:$B,2,0),Y130,1),"")</f>
        <v>P</v>
      </c>
      <c r="Y130" s="3">
        <v>174</v>
      </c>
      <c r="Z130" s="3" t="str">
        <f>IFERROR(MID(VLOOKUP($B130,Seqs!$A:$B,2,0),AA130,1),"")</f>
        <v>M</v>
      </c>
      <c r="AA130" s="3">
        <v>181</v>
      </c>
      <c r="AB130" s="3" t="str">
        <f>IFERROR(MID(VLOOKUP($B130,Seqs!$A:$B,2,0),AC130,1),"")</f>
        <v>S</v>
      </c>
      <c r="AC130" s="9">
        <v>182</v>
      </c>
      <c r="AD130" s="3" t="str">
        <f>IFERROR(MID(VLOOKUP($B130,Seqs!$A:$B,2,0),AE130,1),"")</f>
        <v>M</v>
      </c>
      <c r="AE130" s="3">
        <v>208</v>
      </c>
      <c r="AF130" s="3" t="str">
        <f>IFERROR(MID(VLOOKUP($B130,Seqs!$A:$B,2,0),AG130,1),"")</f>
        <v>C</v>
      </c>
      <c r="AG130" s="3">
        <v>225</v>
      </c>
      <c r="AH130" s="3" t="str">
        <f>IFERROR(MID(VLOOKUP($B130,Seqs!$A:$B,2,0),AI130,1),"")</f>
        <v>P</v>
      </c>
      <c r="AI130" s="3">
        <v>227</v>
      </c>
      <c r="AJ130" s="3" t="str">
        <f>IFERROR(MID(VLOOKUP($B130,Seqs!$A:$B,2,0),AK130,1),"")</f>
        <v>T</v>
      </c>
      <c r="AK130" s="3">
        <v>231</v>
      </c>
      <c r="AL130" s="3" t="str">
        <f>IFERROR(MID(VLOOKUP($B130,Seqs!$A:$B,2,0),AM130,1),"")</f>
        <v>V</v>
      </c>
      <c r="AM130" s="3">
        <v>268</v>
      </c>
      <c r="AN130" s="3" t="str">
        <f>IFERROR(MID(VLOOKUP($B130,Seqs!$A:$B,2,0),AO130,1),"")</f>
        <v>Q</v>
      </c>
      <c r="AO130" s="3">
        <v>301</v>
      </c>
      <c r="AP130" s="3" t="str">
        <f>IFERROR(MID(VLOOKUP($B130,Seqs!$A:$B,2,0),AQ130,1),"")</f>
        <v>I</v>
      </c>
      <c r="AQ130" s="3">
        <v>334</v>
      </c>
      <c r="AR130" s="3" t="str">
        <f>IFERROR(MID(VLOOKUP($B130,Seqs!$A:$B,2,0),AS130,1),"")</f>
        <v>T</v>
      </c>
      <c r="AS130" s="3">
        <v>340</v>
      </c>
      <c r="AT130" s="3" t="str">
        <f>IFERROR(MID(VLOOKUP($B130,Seqs!$A:$B,2,0),AU130,1),"")</f>
        <v>I</v>
      </c>
      <c r="AU130" s="3">
        <v>364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9" t="str">
        <f>VLOOKUP(B130,Classification!A:D,2,0)</f>
        <v>A</v>
      </c>
      <c r="BA130" s="97" t="str">
        <f>VLOOKUP(B130,Classification!A:D,4,0)</f>
        <v>Neurotensin</v>
      </c>
      <c r="BB130" s="27" t="b">
        <f t="shared" si="780"/>
        <v>1</v>
      </c>
      <c r="BC130" s="23">
        <f t="shared" si="641"/>
        <v>240</v>
      </c>
      <c r="BD130" s="4" t="s">
        <v>23</v>
      </c>
      <c r="BE130" s="3" t="s">
        <v>1439</v>
      </c>
      <c r="BF130" s="124">
        <v>2.9</v>
      </c>
      <c r="BG130" s="50" t="s">
        <v>1384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642"/>
        <v>61</v>
      </c>
      <c r="BW130" s="73" t="str">
        <f t="shared" si="643"/>
        <v>-</v>
      </c>
      <c r="BX130" s="74">
        <f t="shared" si="644"/>
        <v>100</v>
      </c>
      <c r="BY130" s="73">
        <f t="shared" si="645"/>
        <v>134</v>
      </c>
      <c r="BZ130" s="74">
        <f t="shared" si="646"/>
        <v>138</v>
      </c>
      <c r="CA130" s="73">
        <f t="shared" si="647"/>
        <v>174</v>
      </c>
      <c r="CB130" s="74">
        <f t="shared" si="648"/>
        <v>182</v>
      </c>
      <c r="CC130" s="73">
        <f t="shared" si="649"/>
        <v>225</v>
      </c>
      <c r="CD130" s="74">
        <f t="shared" si="650"/>
        <v>231</v>
      </c>
      <c r="CE130" s="73">
        <f t="shared" si="651"/>
        <v>301</v>
      </c>
      <c r="CF130" s="74">
        <f t="shared" si="652"/>
        <v>340</v>
      </c>
      <c r="CG130" s="73" t="str">
        <f t="shared" si="653"/>
        <v>-</v>
      </c>
      <c r="CH130" s="72">
        <f t="shared" si="654"/>
        <v>91</v>
      </c>
      <c r="CI130" s="73" t="str">
        <f t="shared" si="655"/>
        <v>-</v>
      </c>
      <c r="CJ130" s="74">
        <f t="shared" si="656"/>
        <v>131</v>
      </c>
      <c r="CK130" s="74">
        <f t="shared" si="657"/>
        <v>137</v>
      </c>
      <c r="CL130" s="74">
        <f t="shared" si="658"/>
        <v>173</v>
      </c>
      <c r="CM130" s="74">
        <f t="shared" si="659"/>
        <v>181</v>
      </c>
      <c r="CN130" s="74">
        <f t="shared" si="660"/>
        <v>208</v>
      </c>
      <c r="CO130" s="74">
        <f t="shared" si="661"/>
        <v>227</v>
      </c>
      <c r="CP130" s="74">
        <f t="shared" si="662"/>
        <v>268</v>
      </c>
      <c r="CQ130" s="74">
        <f t="shared" si="663"/>
        <v>334</v>
      </c>
      <c r="CR130" s="74">
        <f t="shared" si="664"/>
        <v>364</v>
      </c>
      <c r="CS130" s="74" t="str">
        <f t="shared" si="665"/>
        <v>-</v>
      </c>
      <c r="CT130" s="23" t="e">
        <f t="shared" si="666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779"/>
        <v>ntr1_rat_4XES</v>
      </c>
      <c r="B131" s="3" t="s">
        <v>914</v>
      </c>
      <c r="C131" s="3" t="s">
        <v>1357</v>
      </c>
      <c r="D131" s="3" t="str">
        <f>IFERROR(MID(VLOOKUP($B131,Seqs!$A:$B,2,0),E131,1),"")</f>
        <v>I</v>
      </c>
      <c r="E131" s="3">
        <v>61</v>
      </c>
      <c r="F131" s="3" t="str">
        <f>IFERROR(MID(VLOOKUP($B131,Seqs!$A:$B,2,0),G131,1),"")</f>
        <v>K</v>
      </c>
      <c r="G131" s="3">
        <v>92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S</v>
      </c>
      <c r="M131" s="3">
        <v>97</v>
      </c>
      <c r="N131" s="3" t="str">
        <f>IFERROR(MID(VLOOKUP($B131,Seqs!$A:$B,2,0),O131,1),"")</f>
        <v>V</v>
      </c>
      <c r="O131" s="3">
        <v>131</v>
      </c>
      <c r="P131" s="3" t="str">
        <f>IFERROR(MID(VLOOKUP($B131,Seqs!$A:$B,2,0),Q131,1),"")</f>
        <v>P</v>
      </c>
      <c r="Q131" s="3">
        <v>134</v>
      </c>
      <c r="R131" s="3" t="str">
        <f>IFERROR(MID(VLOOKUP($B131,Seqs!$A:$B,2,0),S131,1),"")</f>
        <v>F</v>
      </c>
      <c r="S131" s="3">
        <v>137</v>
      </c>
      <c r="T131" s="3" t="str">
        <f>IFERROR(MID(VLOOKUP($B131,Seqs!$A:$B,2,0),U131,1),"")</f>
        <v>G</v>
      </c>
      <c r="U131" s="3">
        <v>138</v>
      </c>
      <c r="V131" s="3" t="str">
        <f>IFERROR(MID(VLOOKUP($B131,Seqs!$A:$B,2,0),W131,1),"")</f>
        <v>H</v>
      </c>
      <c r="W131" s="3">
        <v>173</v>
      </c>
      <c r="X131" s="3" t="str">
        <f>IFERROR(MID(VLOOKUP($B131,Seqs!$A:$B,2,0),Y131,1),"")</f>
        <v>P</v>
      </c>
      <c r="Y131" s="3">
        <v>174</v>
      </c>
      <c r="Z131" s="3" t="str">
        <f>IFERROR(MID(VLOOKUP($B131,Seqs!$A:$B,2,0),AA131,1),"")</f>
        <v>M</v>
      </c>
      <c r="AA131" s="3">
        <v>181</v>
      </c>
      <c r="AB131" s="3" t="str">
        <f>IFERROR(MID(VLOOKUP($B131,Seqs!$A:$B,2,0),AC131,1),"")</f>
        <v>S</v>
      </c>
      <c r="AC131" s="9">
        <v>182</v>
      </c>
      <c r="AD131" s="3" t="str">
        <f>IFERROR(MID(VLOOKUP($B131,Seqs!$A:$B,2,0),AE131,1),"")</f>
        <v>M</v>
      </c>
      <c r="AE131" s="3">
        <v>208</v>
      </c>
      <c r="AF131" s="3" t="str">
        <f>IFERROR(MID(VLOOKUP($B131,Seqs!$A:$B,2,0),AG131,1),"")</f>
        <v>C</v>
      </c>
      <c r="AG131" s="3">
        <v>225</v>
      </c>
      <c r="AH131" s="3" t="str">
        <f>IFERROR(MID(VLOOKUP($B131,Seqs!$A:$B,2,0),AI131,1),"")</f>
        <v>P</v>
      </c>
      <c r="AI131" s="3">
        <v>227</v>
      </c>
      <c r="AJ131" s="3" t="str">
        <f>IFERROR(MID(VLOOKUP($B131,Seqs!$A:$B,2,0),AK131,1),"")</f>
        <v>T</v>
      </c>
      <c r="AK131" s="3">
        <v>231</v>
      </c>
      <c r="AL131" s="3" t="str">
        <f>IFERROR(MID(VLOOKUP($B131,Seqs!$A:$B,2,0),AM131,1),"")</f>
        <v>V</v>
      </c>
      <c r="AM131" s="3">
        <v>268</v>
      </c>
      <c r="AN131" s="3" t="str">
        <f>IFERROR(MID(VLOOKUP($B131,Seqs!$A:$B,2,0),AO131,1),"")</f>
        <v>A</v>
      </c>
      <c r="AO131" s="3">
        <v>302</v>
      </c>
      <c r="AP131" s="3" t="str">
        <f>IFERROR(MID(VLOOKUP($B131,Seqs!$A:$B,2,0),AQ131,1),"")</f>
        <v>I</v>
      </c>
      <c r="AQ131" s="3">
        <v>334</v>
      </c>
      <c r="AR131" s="3" t="str">
        <f>IFERROR(MID(VLOOKUP($B131,Seqs!$A:$B,2,0),AS131,1),"")</f>
        <v>T</v>
      </c>
      <c r="AS131" s="3">
        <v>340</v>
      </c>
      <c r="AT131" s="3" t="str">
        <f>IFERROR(MID(VLOOKUP($B131,Seqs!$A:$B,2,0),AU131,1),"")</f>
        <v>I</v>
      </c>
      <c r="AU131" s="3">
        <v>364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9" t="str">
        <f>VLOOKUP(B131,Classification!A:D,2,0)</f>
        <v>A</v>
      </c>
      <c r="BA131" s="97" t="str">
        <f>VLOOKUP(B131,Classification!A:D,4,0)</f>
        <v>Neurotensin</v>
      </c>
      <c r="BB131" s="27" t="b">
        <f t="shared" si="780"/>
        <v>1</v>
      </c>
      <c r="BC131" s="23">
        <f t="shared" si="641"/>
        <v>243</v>
      </c>
      <c r="BD131" s="5" t="s">
        <v>1440</v>
      </c>
      <c r="BE131" s="3" t="s">
        <v>1439</v>
      </c>
      <c r="BF131" s="124">
        <v>2.6</v>
      </c>
      <c r="BG131" s="50" t="s">
        <v>1384</v>
      </c>
      <c r="BH131" s="50" t="s">
        <v>1384</v>
      </c>
      <c r="BI131" s="1"/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642"/>
        <v>61</v>
      </c>
      <c r="BW131" s="73" t="str">
        <f t="shared" si="643"/>
        <v>-</v>
      </c>
      <c r="BX131" s="74">
        <f t="shared" si="644"/>
        <v>97</v>
      </c>
      <c r="BY131" s="73">
        <f t="shared" si="645"/>
        <v>134</v>
      </c>
      <c r="BZ131" s="74">
        <f t="shared" si="646"/>
        <v>138</v>
      </c>
      <c r="CA131" s="73">
        <f t="shared" si="647"/>
        <v>174</v>
      </c>
      <c r="CB131" s="74">
        <f t="shared" si="648"/>
        <v>182</v>
      </c>
      <c r="CC131" s="73">
        <f t="shared" si="649"/>
        <v>225</v>
      </c>
      <c r="CD131" s="74">
        <f t="shared" si="650"/>
        <v>231</v>
      </c>
      <c r="CE131" s="73">
        <f t="shared" si="651"/>
        <v>302</v>
      </c>
      <c r="CF131" s="74">
        <f t="shared" si="652"/>
        <v>340</v>
      </c>
      <c r="CG131" s="73" t="str">
        <f t="shared" si="653"/>
        <v>-</v>
      </c>
      <c r="CH131" s="72">
        <f t="shared" si="654"/>
        <v>92</v>
      </c>
      <c r="CI131" s="73" t="str">
        <f t="shared" si="655"/>
        <v>-</v>
      </c>
      <c r="CJ131" s="74">
        <f t="shared" si="656"/>
        <v>131</v>
      </c>
      <c r="CK131" s="74">
        <f t="shared" si="657"/>
        <v>137</v>
      </c>
      <c r="CL131" s="74">
        <f t="shared" si="658"/>
        <v>173</v>
      </c>
      <c r="CM131" s="74">
        <f t="shared" si="659"/>
        <v>181</v>
      </c>
      <c r="CN131" s="74">
        <f t="shared" si="660"/>
        <v>208</v>
      </c>
      <c r="CO131" s="74">
        <f t="shared" si="661"/>
        <v>227</v>
      </c>
      <c r="CP131" s="74">
        <f t="shared" si="662"/>
        <v>268</v>
      </c>
      <c r="CQ131" s="74">
        <f t="shared" si="663"/>
        <v>334</v>
      </c>
      <c r="CR131" s="74">
        <f t="shared" si="664"/>
        <v>364</v>
      </c>
      <c r="CS131" s="74" t="str">
        <f t="shared" si="665"/>
        <v>-</v>
      </c>
      <c r="CT131" s="23" t="e">
        <f t="shared" si="666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ref="A132" si="781">CONCATENATE(B132,"_",C132)</f>
        <v>ntr1_rat_5T04</v>
      </c>
      <c r="B132" s="3" t="s">
        <v>914</v>
      </c>
      <c r="C132" s="3" t="s">
        <v>1392</v>
      </c>
      <c r="D132" s="3" t="str">
        <f>IFERROR(MID(VLOOKUP($B132,Seqs!$A:$B,2,0),E132,1),"")</f>
        <v>I</v>
      </c>
      <c r="E132" s="3">
        <v>61</v>
      </c>
      <c r="F132" s="3" t="str">
        <f>IFERROR(MID(VLOOKUP($B132,Seqs!$A:$B,2,0),G132,1),"")</f>
        <v>T</v>
      </c>
      <c r="G132" s="3">
        <v>88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H</v>
      </c>
      <c r="M132" s="3">
        <v>103</v>
      </c>
      <c r="N132" s="3" t="str">
        <f>IFERROR(MID(VLOOKUP($B132,Seqs!$A:$B,2,0),O132,1),"")</f>
        <v>V</v>
      </c>
      <c r="O132" s="3">
        <v>131</v>
      </c>
      <c r="P132" s="3" t="str">
        <f>IFERROR(MID(VLOOKUP($B132,Seqs!$A:$B,2,0),Q132,1),"")</f>
        <v>P</v>
      </c>
      <c r="Q132" s="3">
        <v>134</v>
      </c>
      <c r="R132" s="3" t="str">
        <f>IFERROR(MID(VLOOKUP($B132,Seqs!$A:$B,2,0),S132,1),"")</f>
        <v>F</v>
      </c>
      <c r="S132" s="3">
        <v>137</v>
      </c>
      <c r="T132" s="3" t="str">
        <f>IFERROR(MID(VLOOKUP($B132,Seqs!$A:$B,2,0),U132,1),"")</f>
        <v>G</v>
      </c>
      <c r="U132" s="3">
        <v>138</v>
      </c>
      <c r="V132" s="3" t="str">
        <f>IFERROR(MID(VLOOKUP($B132,Seqs!$A:$B,2,0),W132,1),"")</f>
        <v>H</v>
      </c>
      <c r="W132" s="3">
        <v>173</v>
      </c>
      <c r="X132" s="3" t="str">
        <f>IFERROR(MID(VLOOKUP($B132,Seqs!$A:$B,2,0),Y132,1),"")</f>
        <v>P</v>
      </c>
      <c r="Y132" s="3">
        <v>174</v>
      </c>
      <c r="Z132" s="3" t="str">
        <f>IFERROR(MID(VLOOKUP($B132,Seqs!$A:$B,2,0),AA132,1),"")</f>
        <v>M</v>
      </c>
      <c r="AA132" s="3">
        <v>181</v>
      </c>
      <c r="AB132" s="3" t="str">
        <f>IFERROR(MID(VLOOKUP($B132,Seqs!$A:$B,2,0),AC132,1),"")</f>
        <v>S</v>
      </c>
      <c r="AC132" s="3">
        <v>182</v>
      </c>
      <c r="AD132" s="3" t="str">
        <f>IFERROR(MID(VLOOKUP($B132,Seqs!$A:$B,2,0),AE132,1),"")</f>
        <v>M</v>
      </c>
      <c r="AE132" s="3">
        <v>208</v>
      </c>
      <c r="AF132" s="3" t="str">
        <f>IFERROR(MID(VLOOKUP($B132,Seqs!$A:$B,2,0),AG132,1),"")</f>
        <v>C</v>
      </c>
      <c r="AG132" s="3">
        <v>225</v>
      </c>
      <c r="AH132" s="3" t="str">
        <f>IFERROR(MID(VLOOKUP($B132,Seqs!$A:$B,2,0),AI132,1),"")</f>
        <v>P</v>
      </c>
      <c r="AI132" s="3">
        <v>227</v>
      </c>
      <c r="AJ132" s="3" t="str">
        <f>IFERROR(MID(VLOOKUP($B132,Seqs!$A:$B,2,0),AK132,1),"")</f>
        <v>T</v>
      </c>
      <c r="AK132" s="3">
        <v>231</v>
      </c>
      <c r="AL132" s="3" t="str">
        <f>IFERROR(MID(VLOOKUP($B132,Seqs!$A:$B,2,0),AM132,1),"")</f>
        <v>V</v>
      </c>
      <c r="AM132" s="3">
        <v>268</v>
      </c>
      <c r="AN132" s="3" t="str">
        <f>IFERROR(MID(VLOOKUP($B132,Seqs!$A:$B,2,0),AO132,1),"")</f>
        <v>P</v>
      </c>
      <c r="AO132" s="3">
        <v>297</v>
      </c>
      <c r="AP132" s="3" t="str">
        <f>IFERROR(MID(VLOOKUP($B132,Seqs!$A:$B,2,0),AQ132,1),"")</f>
        <v>I</v>
      </c>
      <c r="AQ132" s="3">
        <v>334</v>
      </c>
      <c r="AR132" s="3" t="str">
        <f>IFERROR(MID(VLOOKUP($B132,Seqs!$A:$B,2,0),AS132,1),"")</f>
        <v>T</v>
      </c>
      <c r="AS132" s="3">
        <v>340</v>
      </c>
      <c r="AT132" s="3" t="str">
        <f>IFERROR(MID(VLOOKUP($B132,Seqs!$A:$B,2,0),AU132,1),"")</f>
        <v>I</v>
      </c>
      <c r="AU132" s="3">
        <v>364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9" t="str">
        <f>VLOOKUP(B132,Classification!A:D,2,0)</f>
        <v>A</v>
      </c>
      <c r="BA132" s="97" t="str">
        <f>VLOOKUP(B132,Classification!A:D,4,0)</f>
        <v>Neurotensin</v>
      </c>
      <c r="BB132" s="27" t="b">
        <f t="shared" ref="BB132" si="782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" si="783">_xlfn.AGGREGATE(9,6,CH132:CS132)-_xlfn.AGGREGATE(9,6,BV132:CG132)+12</f>
        <v>238</v>
      </c>
      <c r="BD132" s="5" t="s">
        <v>1382</v>
      </c>
      <c r="BE132" s="3" t="s">
        <v>1297</v>
      </c>
      <c r="BF132" s="124">
        <v>3.3</v>
      </c>
      <c r="BG132" s="50" t="s">
        <v>1384</v>
      </c>
      <c r="BH132" s="50" t="s">
        <v>1384</v>
      </c>
      <c r="BI132" s="1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ref="BV132" si="784">E132</f>
        <v>61</v>
      </c>
      <c r="BW132" s="73" t="str">
        <f t="shared" ref="BW132" si="785">I132</f>
        <v>-</v>
      </c>
      <c r="BX132" s="74">
        <f t="shared" ref="BX132" si="786">M132</f>
        <v>103</v>
      </c>
      <c r="BY132" s="73">
        <f t="shared" ref="BY132" si="787">Q132</f>
        <v>134</v>
      </c>
      <c r="BZ132" s="74">
        <f t="shared" ref="BZ132" si="788">U132</f>
        <v>138</v>
      </c>
      <c r="CA132" s="73">
        <f t="shared" ref="CA132" si="789">Y132</f>
        <v>174</v>
      </c>
      <c r="CB132" s="74">
        <f t="shared" ref="CB132" si="790">AC132</f>
        <v>182</v>
      </c>
      <c r="CC132" s="73">
        <f t="shared" ref="CC132" si="791">AG132</f>
        <v>225</v>
      </c>
      <c r="CD132" s="74">
        <f t="shared" ref="CD132" si="792">AK132</f>
        <v>231</v>
      </c>
      <c r="CE132" s="73">
        <f t="shared" ref="CE132" si="793">AO132</f>
        <v>297</v>
      </c>
      <c r="CF132" s="74">
        <f t="shared" ref="CF132" si="794">AS132</f>
        <v>340</v>
      </c>
      <c r="CG132" s="73" t="str">
        <f t="shared" ref="CG132" si="795">AW132</f>
        <v>-</v>
      </c>
      <c r="CH132" s="72">
        <f t="shared" ref="CH132" si="796">G132</f>
        <v>88</v>
      </c>
      <c r="CI132" s="73" t="str">
        <f t="shared" ref="CI132" si="797">K132</f>
        <v>-</v>
      </c>
      <c r="CJ132" s="74">
        <f t="shared" ref="CJ132" si="798">O132</f>
        <v>131</v>
      </c>
      <c r="CK132" s="74">
        <f t="shared" ref="CK132" si="799">S132</f>
        <v>137</v>
      </c>
      <c r="CL132" s="74">
        <f t="shared" ref="CL132" si="800">W132</f>
        <v>173</v>
      </c>
      <c r="CM132" s="74">
        <f t="shared" ref="CM132" si="801">AA132</f>
        <v>181</v>
      </c>
      <c r="CN132" s="74">
        <f t="shared" ref="CN132" si="802">AE132</f>
        <v>208</v>
      </c>
      <c r="CO132" s="74">
        <f t="shared" ref="CO132" si="803">AI132</f>
        <v>227</v>
      </c>
      <c r="CP132" s="74">
        <f t="shared" ref="CP132" si="804">AM132</f>
        <v>268</v>
      </c>
      <c r="CQ132" s="74">
        <f t="shared" ref="CQ132" si="805">AQ132</f>
        <v>334</v>
      </c>
      <c r="CR132" s="74">
        <f t="shared" ref="CR132" si="806">AU132</f>
        <v>364</v>
      </c>
      <c r="CS132" s="74" t="str">
        <f t="shared" ref="CS132" si="807">AY132</f>
        <v>-</v>
      </c>
      <c r="CT132" s="23" t="e">
        <f t="shared" ref="CT132" si="808">M132-K132</f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779"/>
        <v>oprd_human__wt</v>
      </c>
      <c r="B133" s="3" t="s">
        <v>335</v>
      </c>
      <c r="C133" s="3" t="s">
        <v>100</v>
      </c>
      <c r="D133" s="3" t="str">
        <f>IFERROR(MID(VLOOKUP($B133,Seqs!$A:$B,2,0),E133,1),"")</f>
        <v>G</v>
      </c>
      <c r="E133" s="3">
        <v>39</v>
      </c>
      <c r="F133" s="3" t="str">
        <f>IFERROR(MID(VLOOKUP($B133,Seqs!$A:$B,2,0),G133,1),"")</f>
        <v>Y</v>
      </c>
      <c r="G133" s="3">
        <v>77</v>
      </c>
      <c r="H133" s="3" t="str">
        <f>IFERROR(MID(VLOOKUP($B133,Seqs!$A:$B,2,0),I133,1),"")</f>
        <v>T</v>
      </c>
      <c r="I133" s="23">
        <v>78</v>
      </c>
      <c r="J133" s="3" t="str">
        <f>IFERROR(MID(VLOOKUP($B133,Seqs!$A:$B,2,0),K133,1),"")</f>
        <v>K</v>
      </c>
      <c r="K133" s="23">
        <v>81</v>
      </c>
      <c r="L133" s="3" t="str">
        <f>IFERROR(MID(VLOOKUP($B133,Seqs!$A:$B,2,0),M133,1),"")</f>
        <v>T</v>
      </c>
      <c r="M133" s="3">
        <v>82</v>
      </c>
      <c r="N133" s="3" t="str">
        <f>IFERROR(MID(VLOOKUP($B133,Seqs!$A:$B,2,0),O133,1),"")</f>
        <v>M</v>
      </c>
      <c r="O133" s="3">
        <v>111</v>
      </c>
      <c r="P133" s="3" t="str">
        <f>IFERROR(MID(VLOOKUP($B133,Seqs!$A:$B,2,0),Q133,1),"")</f>
        <v>T</v>
      </c>
      <c r="Q133" s="3">
        <v>113</v>
      </c>
      <c r="R133" s="3" t="str">
        <f>IFERROR(MID(VLOOKUP($B133,Seqs!$A:$B,2,0),S133,1),"")</f>
        <v>F</v>
      </c>
      <c r="S133" s="3">
        <v>116</v>
      </c>
      <c r="T133" s="3" t="str">
        <f>IFERROR(MID(VLOOKUP($B133,Seqs!$A:$B,2,0),U133,1),"")</f>
        <v>G</v>
      </c>
      <c r="U133" s="3">
        <v>117</v>
      </c>
      <c r="V133" s="3" t="str">
        <f>IFERROR(MID(VLOOKUP($B133,Seqs!$A:$B,2,0),W133,1),"")</f>
        <v>H</v>
      </c>
      <c r="W133" s="3">
        <v>152</v>
      </c>
      <c r="X133" s="3" t="str">
        <f>IFERROR(MID(VLOOKUP($B133,Seqs!$A:$B,2,0),Y133,1),"")</f>
        <v>P</v>
      </c>
      <c r="Y133" s="3">
        <v>153</v>
      </c>
      <c r="Z133" s="3" t="str">
        <f>IFERROR(MID(VLOOKUP($B133,Seqs!$A:$B,2,0),AA133,1),"")</f>
        <v>R</v>
      </c>
      <c r="AA133" s="3">
        <v>160</v>
      </c>
      <c r="AB133" s="3" t="str">
        <f>IFERROR(MID(VLOOKUP($B133,Seqs!$A:$B,2,0),AC133,1),"")</f>
        <v>T</v>
      </c>
      <c r="AC133" s="9">
        <v>161</v>
      </c>
      <c r="AD133" s="3" t="str">
        <f>IFERROR(MID(VLOOKUP($B133,Seqs!$A:$B,2,0),AE133,1),"")</f>
        <v>A</v>
      </c>
      <c r="AE133" s="3">
        <v>187</v>
      </c>
      <c r="AF133" s="3" t="str">
        <f>IFERROR(MID(VLOOKUP($B133,Seqs!$A:$B,2,0),AG133,1),"")</f>
        <v>C</v>
      </c>
      <c r="AG133" s="3">
        <v>198</v>
      </c>
      <c r="AH133" s="3" t="str">
        <f>IFERROR(MID(VLOOKUP($B133,Seqs!$A:$B,2,0),AI133,1),"")</f>
        <v>L</v>
      </c>
      <c r="AI133" s="3">
        <v>200</v>
      </c>
      <c r="AJ133" s="3" t="str">
        <f>IFERROR(MID(VLOOKUP($B133,Seqs!$A:$B,2,0),AK133,1),"")</f>
        <v>S</v>
      </c>
      <c r="AK133" s="3">
        <v>206</v>
      </c>
      <c r="AL133" s="3" t="str">
        <f>IFERROR(MID(VLOOKUP($B133,Seqs!$A:$B,2,0),AM133,1),"")</f>
        <v>V</v>
      </c>
      <c r="AM133" s="3">
        <v>243</v>
      </c>
      <c r="AN133" s="3" t="str">
        <f>IFERROR(MID(VLOOKUP($B133,Seqs!$A:$B,2,0),AO133,1),"")</f>
        <v>S</v>
      </c>
      <c r="AO133" s="3">
        <v>249</v>
      </c>
      <c r="AP133" s="3" t="str">
        <f>IFERROR(MID(VLOOKUP($B133,Seqs!$A:$B,2,0),AQ133,1),"")</f>
        <v>V</v>
      </c>
      <c r="AQ133" s="3">
        <v>287</v>
      </c>
      <c r="AR133" s="3" t="str">
        <f>IFERROR(MID(VLOOKUP($B133,Seqs!$A:$B,2,0),AS133,1),"")</f>
        <v>D</v>
      </c>
      <c r="AS133" s="3">
        <v>293</v>
      </c>
      <c r="AT133" s="3" t="str">
        <f>IFERROR(MID(VLOOKUP($B133,Seqs!$A:$B,2,0),AU133,1),"")</f>
        <v>L</v>
      </c>
      <c r="AU133" s="3">
        <v>321</v>
      </c>
      <c r="AV133" s="3" t="str">
        <f>IFERROR(MID(VLOOKUP($B133,Seqs!$A:$B,2,0),AW133,1),"")</f>
        <v>D</v>
      </c>
      <c r="AW133" s="3">
        <v>322</v>
      </c>
      <c r="AX133" s="3" t="str">
        <f>IFERROR(MID(VLOOKUP($B133,Seqs!$A:$B,2,0),AY133,1),"")</f>
        <v>K</v>
      </c>
      <c r="AY133" s="3">
        <v>335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780"/>
        <v>1</v>
      </c>
      <c r="BC133" s="23">
        <f t="shared" si="641"/>
        <v>271</v>
      </c>
      <c r="BD133" s="57" t="s">
        <v>1379</v>
      </c>
      <c r="BE133" s="3" t="s">
        <v>23</v>
      </c>
      <c r="BF133" s="124" t="s">
        <v>23</v>
      </c>
      <c r="BG133" s="50" t="s">
        <v>1379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642"/>
        <v>39</v>
      </c>
      <c r="BW133" s="73">
        <f t="shared" si="643"/>
        <v>78</v>
      </c>
      <c r="BX133" s="74">
        <f t="shared" si="644"/>
        <v>82</v>
      </c>
      <c r="BY133" s="73">
        <f t="shared" si="645"/>
        <v>113</v>
      </c>
      <c r="BZ133" s="74">
        <f t="shared" si="646"/>
        <v>117</v>
      </c>
      <c r="CA133" s="73">
        <f t="shared" si="647"/>
        <v>153</v>
      </c>
      <c r="CB133" s="74">
        <f t="shared" si="648"/>
        <v>161</v>
      </c>
      <c r="CC133" s="73">
        <f t="shared" si="649"/>
        <v>198</v>
      </c>
      <c r="CD133" s="74">
        <f t="shared" si="650"/>
        <v>206</v>
      </c>
      <c r="CE133" s="73">
        <f t="shared" si="651"/>
        <v>249</v>
      </c>
      <c r="CF133" s="74">
        <f t="shared" si="652"/>
        <v>293</v>
      </c>
      <c r="CG133" s="73">
        <f t="shared" si="653"/>
        <v>322</v>
      </c>
      <c r="CH133" s="72">
        <f t="shared" si="654"/>
        <v>77</v>
      </c>
      <c r="CI133" s="73">
        <f t="shared" si="655"/>
        <v>81</v>
      </c>
      <c r="CJ133" s="74">
        <f t="shared" si="656"/>
        <v>111</v>
      </c>
      <c r="CK133" s="74">
        <f t="shared" si="657"/>
        <v>116</v>
      </c>
      <c r="CL133" s="74">
        <f t="shared" si="658"/>
        <v>152</v>
      </c>
      <c r="CM133" s="74">
        <f t="shared" si="659"/>
        <v>160</v>
      </c>
      <c r="CN133" s="74">
        <f t="shared" si="660"/>
        <v>187</v>
      </c>
      <c r="CO133" s="74">
        <f t="shared" si="661"/>
        <v>200</v>
      </c>
      <c r="CP133" s="74">
        <f t="shared" si="662"/>
        <v>243</v>
      </c>
      <c r="CQ133" s="74">
        <f t="shared" si="663"/>
        <v>287</v>
      </c>
      <c r="CR133" s="74">
        <f t="shared" si="664"/>
        <v>321</v>
      </c>
      <c r="CS133" s="74">
        <f t="shared" si="665"/>
        <v>335</v>
      </c>
      <c r="CT133" s="23">
        <f t="shared" si="66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779"/>
        <v>oprd_human_4N6H</v>
      </c>
      <c r="B134" s="3" t="s">
        <v>335</v>
      </c>
      <c r="C134" s="3" t="s">
        <v>87</v>
      </c>
      <c r="D134" s="3" t="str">
        <f>IFERROR(MID(VLOOKUP($B134,Seqs!$A:$B,2,0),E134,1),"")</f>
        <v>G</v>
      </c>
      <c r="E134" s="3">
        <v>39</v>
      </c>
      <c r="F134" s="3" t="str">
        <f>IFERROR(MID(VLOOKUP($B134,Seqs!$A:$B,2,0),G134,1),"")</f>
        <v>Y</v>
      </c>
      <c r="G134" s="3">
        <v>77</v>
      </c>
      <c r="H134" s="3" t="str">
        <f>IFERROR(MID(VLOOKUP($B134,Seqs!$A:$B,2,0),I134,1),"")</f>
        <v>T</v>
      </c>
      <c r="I134" s="23">
        <v>78</v>
      </c>
      <c r="J134" s="3" t="str">
        <f>IFERROR(MID(VLOOKUP($B134,Seqs!$A:$B,2,0),K134,1),"")</f>
        <v>K</v>
      </c>
      <c r="K134" s="23">
        <v>81</v>
      </c>
      <c r="L134" s="3" t="str">
        <f>IFERROR(MID(VLOOKUP($B134,Seqs!$A:$B,2,0),M134,1),"")</f>
        <v>T</v>
      </c>
      <c r="M134" s="3">
        <v>82</v>
      </c>
      <c r="N134" s="3" t="str">
        <f>IFERROR(MID(VLOOKUP($B134,Seqs!$A:$B,2,0),O134,1),"")</f>
        <v>M</v>
      </c>
      <c r="O134" s="3">
        <v>111</v>
      </c>
      <c r="P134" s="3" t="str">
        <f>IFERROR(MID(VLOOKUP($B134,Seqs!$A:$B,2,0),Q134,1),"")</f>
        <v>T</v>
      </c>
      <c r="Q134" s="3">
        <v>113</v>
      </c>
      <c r="R134" s="3" t="str">
        <f>IFERROR(MID(VLOOKUP($B134,Seqs!$A:$B,2,0),S134,1),"")</f>
        <v>F</v>
      </c>
      <c r="S134" s="3">
        <v>116</v>
      </c>
      <c r="T134" s="3" t="str">
        <f>IFERROR(MID(VLOOKUP($B134,Seqs!$A:$B,2,0),U134,1),"")</f>
        <v>G</v>
      </c>
      <c r="U134" s="3">
        <v>117</v>
      </c>
      <c r="V134" s="3" t="str">
        <f>IFERROR(MID(VLOOKUP($B134,Seqs!$A:$B,2,0),W134,1),"")</f>
        <v>H</v>
      </c>
      <c r="W134" s="3">
        <v>152</v>
      </c>
      <c r="X134" s="3" t="str">
        <f>IFERROR(MID(VLOOKUP($B134,Seqs!$A:$B,2,0),Y134,1),"")</f>
        <v>P</v>
      </c>
      <c r="Y134" s="3">
        <v>153</v>
      </c>
      <c r="Z134" s="3" t="str">
        <f>IFERROR(MID(VLOOKUP($B134,Seqs!$A:$B,2,0),AA134,1),"")</f>
        <v>R</v>
      </c>
      <c r="AA134" s="3">
        <v>160</v>
      </c>
      <c r="AB134" s="3" t="str">
        <f>IFERROR(MID(VLOOKUP($B134,Seqs!$A:$B,2,0),AC134,1),"")</f>
        <v>T</v>
      </c>
      <c r="AC134" s="9">
        <v>161</v>
      </c>
      <c r="AD134" s="3" t="str">
        <f>IFERROR(MID(VLOOKUP($B134,Seqs!$A:$B,2,0),AE134,1),"")</f>
        <v>A</v>
      </c>
      <c r="AE134" s="3">
        <v>187</v>
      </c>
      <c r="AF134" s="3" t="str">
        <f>IFERROR(MID(VLOOKUP($B134,Seqs!$A:$B,2,0),AG134,1),"")</f>
        <v>C</v>
      </c>
      <c r="AG134" s="3">
        <v>198</v>
      </c>
      <c r="AH134" s="3" t="str">
        <f>IFERROR(MID(VLOOKUP($B134,Seqs!$A:$B,2,0),AI134,1),"")</f>
        <v>L</v>
      </c>
      <c r="AI134" s="3">
        <v>200</v>
      </c>
      <c r="AJ134" s="3" t="str">
        <f>IFERROR(MID(VLOOKUP($B134,Seqs!$A:$B,2,0),AK134,1),"")</f>
        <v>S</v>
      </c>
      <c r="AK134" s="3">
        <v>206</v>
      </c>
      <c r="AL134" s="3" t="str">
        <f>IFERROR(MID(VLOOKUP($B134,Seqs!$A:$B,2,0),AM134,1),"")</f>
        <v>V</v>
      </c>
      <c r="AM134" s="3">
        <v>243</v>
      </c>
      <c r="AN134" s="3" t="str">
        <f>IFERROR(MID(VLOOKUP($B134,Seqs!$A:$B,2,0),AO134,1),"")</f>
        <v>S</v>
      </c>
      <c r="AO134" s="3">
        <v>249</v>
      </c>
      <c r="AP134" s="3" t="str">
        <f>IFERROR(MID(VLOOKUP($B134,Seqs!$A:$B,2,0),AQ134,1),"")</f>
        <v>V</v>
      </c>
      <c r="AQ134" s="3">
        <v>287</v>
      </c>
      <c r="AR134" s="3" t="str">
        <f>IFERROR(MID(VLOOKUP($B134,Seqs!$A:$B,2,0),AS134,1),"")</f>
        <v>D</v>
      </c>
      <c r="AS134" s="3">
        <v>293</v>
      </c>
      <c r="AT134" s="3" t="str">
        <f>IFERROR(MID(VLOOKUP($B134,Seqs!$A:$B,2,0),AU134,1),"")</f>
        <v>L</v>
      </c>
      <c r="AU134" s="3">
        <v>321</v>
      </c>
      <c r="AV134" s="3" t="str">
        <f>IFERROR(MID(VLOOKUP($B134,Seqs!$A:$B,2,0),AW134,1),"")</f>
        <v>D</v>
      </c>
      <c r="AW134" s="3">
        <v>322</v>
      </c>
      <c r="AX134" s="3" t="str">
        <f>IFERROR(MID(VLOOKUP($B134,Seqs!$A:$B,2,0),AY134,1),"")</f>
        <v>K</v>
      </c>
      <c r="AY134" s="3">
        <v>335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780"/>
        <v>1</v>
      </c>
      <c r="BC134" s="23">
        <f t="shared" si="641"/>
        <v>271</v>
      </c>
      <c r="BD134" s="16" t="s">
        <v>1383</v>
      </c>
      <c r="BE134" s="3" t="s">
        <v>1381</v>
      </c>
      <c r="BF134" s="124">
        <v>1.8</v>
      </c>
      <c r="BG134" s="50" t="s">
        <v>1384</v>
      </c>
      <c r="BH134" s="50" t="s">
        <v>1384</v>
      </c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642"/>
        <v>39</v>
      </c>
      <c r="BW134" s="73">
        <f t="shared" si="643"/>
        <v>78</v>
      </c>
      <c r="BX134" s="74">
        <f t="shared" si="644"/>
        <v>82</v>
      </c>
      <c r="BY134" s="73">
        <f t="shared" si="645"/>
        <v>113</v>
      </c>
      <c r="BZ134" s="74">
        <f t="shared" si="646"/>
        <v>117</v>
      </c>
      <c r="CA134" s="73">
        <f t="shared" si="647"/>
        <v>153</v>
      </c>
      <c r="CB134" s="74">
        <f t="shared" si="648"/>
        <v>161</v>
      </c>
      <c r="CC134" s="73">
        <f t="shared" si="649"/>
        <v>198</v>
      </c>
      <c r="CD134" s="74">
        <f t="shared" si="650"/>
        <v>206</v>
      </c>
      <c r="CE134" s="73">
        <f t="shared" si="651"/>
        <v>249</v>
      </c>
      <c r="CF134" s="74">
        <f t="shared" si="652"/>
        <v>293</v>
      </c>
      <c r="CG134" s="73">
        <f t="shared" si="653"/>
        <v>322</v>
      </c>
      <c r="CH134" s="72">
        <f t="shared" si="654"/>
        <v>77</v>
      </c>
      <c r="CI134" s="73">
        <f t="shared" si="655"/>
        <v>81</v>
      </c>
      <c r="CJ134" s="74">
        <f t="shared" si="656"/>
        <v>111</v>
      </c>
      <c r="CK134" s="74">
        <f t="shared" si="657"/>
        <v>116</v>
      </c>
      <c r="CL134" s="74">
        <f t="shared" si="658"/>
        <v>152</v>
      </c>
      <c r="CM134" s="74">
        <f t="shared" si="659"/>
        <v>160</v>
      </c>
      <c r="CN134" s="74">
        <f t="shared" si="660"/>
        <v>187</v>
      </c>
      <c r="CO134" s="74">
        <f t="shared" si="661"/>
        <v>200</v>
      </c>
      <c r="CP134" s="74">
        <f t="shared" si="662"/>
        <v>243</v>
      </c>
      <c r="CQ134" s="74">
        <f t="shared" si="663"/>
        <v>287</v>
      </c>
      <c r="CR134" s="74">
        <f t="shared" si="664"/>
        <v>321</v>
      </c>
      <c r="CS134" s="74">
        <f t="shared" si="665"/>
        <v>335</v>
      </c>
      <c r="CT134" s="23">
        <f t="shared" si="66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s="2" customFormat="1" x14ac:dyDescent="0.2">
      <c r="A135" s="3" t="str">
        <f t="shared" si="779"/>
        <v>oprd_human_4RWD</v>
      </c>
      <c r="B135" s="1" t="s">
        <v>335</v>
      </c>
      <c r="C135" s="1" t="s">
        <v>1344</v>
      </c>
      <c r="D135" s="3" t="str">
        <f>IFERROR(MID(VLOOKUP($B135,Seqs!$A:$B,2,0),E135,1),"")</f>
        <v>A</v>
      </c>
      <c r="E135" s="3">
        <v>43</v>
      </c>
      <c r="F135" s="3" t="str">
        <f>IFERROR(MID(VLOOKUP($B135,Seqs!$A:$B,2,0),G135,1),"")</f>
        <v>Y</v>
      </c>
      <c r="G135" s="3">
        <v>77</v>
      </c>
      <c r="H135" s="3" t="str">
        <f>IFERROR(MID(VLOOKUP($B135,Seqs!$A:$B,2,0),I135,1),"")</f>
        <v>T</v>
      </c>
      <c r="I135" s="23">
        <v>78</v>
      </c>
      <c r="J135" s="3" t="str">
        <f>IFERROR(MID(VLOOKUP($B135,Seqs!$A:$B,2,0),K135,1),"")</f>
        <v>K</v>
      </c>
      <c r="K135" s="23">
        <v>81</v>
      </c>
      <c r="L135" s="3" t="str">
        <f>IFERROR(MID(VLOOKUP($B135,Seqs!$A:$B,2,0),M135,1),"")</f>
        <v>T</v>
      </c>
      <c r="M135" s="3">
        <v>82</v>
      </c>
      <c r="N135" s="3" t="str">
        <f>IFERROR(MID(VLOOKUP($B135,Seqs!$A:$B,2,0),O135,1),"")</f>
        <v>M</v>
      </c>
      <c r="O135" s="3">
        <v>111</v>
      </c>
      <c r="P135" s="3" t="str">
        <f>IFERROR(MID(VLOOKUP($B135,Seqs!$A:$B,2,0),Q135,1),"")</f>
        <v>T</v>
      </c>
      <c r="Q135" s="3">
        <v>113</v>
      </c>
      <c r="R135" s="3" t="str">
        <f>IFERROR(MID(VLOOKUP($B135,Seqs!$A:$B,2,0),S135,1),"")</f>
        <v>F</v>
      </c>
      <c r="S135" s="3">
        <v>116</v>
      </c>
      <c r="T135" s="3" t="str">
        <f>IFERROR(MID(VLOOKUP($B135,Seqs!$A:$B,2,0),U135,1),"")</f>
        <v>G</v>
      </c>
      <c r="U135" s="3">
        <v>117</v>
      </c>
      <c r="V135" s="3" t="str">
        <f>IFERROR(MID(VLOOKUP($B135,Seqs!$A:$B,2,0),W135,1),"")</f>
        <v>H</v>
      </c>
      <c r="W135" s="3">
        <v>152</v>
      </c>
      <c r="X135" s="3" t="str">
        <f>IFERROR(MID(VLOOKUP($B135,Seqs!$A:$B,2,0),Y135,1),"")</f>
        <v>P</v>
      </c>
      <c r="Y135" s="3">
        <v>153</v>
      </c>
      <c r="Z135" s="3" t="str">
        <f>IFERROR(MID(VLOOKUP($B135,Seqs!$A:$B,2,0),AA135,1),"")</f>
        <v>R</v>
      </c>
      <c r="AA135" s="3">
        <v>160</v>
      </c>
      <c r="AB135" s="3" t="str">
        <f>IFERROR(MID(VLOOKUP($B135,Seqs!$A:$B,2,0),AC135,1),"")</f>
        <v>T</v>
      </c>
      <c r="AC135" s="9">
        <v>161</v>
      </c>
      <c r="AD135" s="3" t="str">
        <f>IFERROR(MID(VLOOKUP($B135,Seqs!$A:$B,2,0),AE135,1),"")</f>
        <v>A</v>
      </c>
      <c r="AE135" s="3">
        <v>187</v>
      </c>
      <c r="AF135" s="3" t="str">
        <f>IFERROR(MID(VLOOKUP($B135,Seqs!$A:$B,2,0),AG135,1),"")</f>
        <v>C</v>
      </c>
      <c r="AG135" s="3">
        <v>198</v>
      </c>
      <c r="AH135" s="3" t="str">
        <f>IFERROR(MID(VLOOKUP($B135,Seqs!$A:$B,2,0),AI135,1),"")</f>
        <v>L</v>
      </c>
      <c r="AI135" s="3">
        <v>200</v>
      </c>
      <c r="AJ135" s="3" t="str">
        <f>IFERROR(MID(VLOOKUP($B135,Seqs!$A:$B,2,0),AK135,1),"")</f>
        <v>S</v>
      </c>
      <c r="AK135" s="3">
        <v>206</v>
      </c>
      <c r="AL135" s="3" t="str">
        <f>IFERROR(MID(VLOOKUP($B135,Seqs!$A:$B,2,0),AM135,1),"")</f>
        <v>V</v>
      </c>
      <c r="AM135" s="3">
        <v>243</v>
      </c>
      <c r="AN135" s="3" t="str">
        <f>IFERROR(MID(VLOOKUP($B135,Seqs!$A:$B,2,0),AO135,1),"")</f>
        <v>S</v>
      </c>
      <c r="AO135" s="3">
        <v>249</v>
      </c>
      <c r="AP135" s="3" t="str">
        <f>IFERROR(MID(VLOOKUP($B135,Seqs!$A:$B,2,0),AQ135,1),"")</f>
        <v>V</v>
      </c>
      <c r="AQ135" s="3">
        <v>287</v>
      </c>
      <c r="AR135" s="3" t="str">
        <f>IFERROR(MID(VLOOKUP($B135,Seqs!$A:$B,2,0),AS135,1),"")</f>
        <v>D</v>
      </c>
      <c r="AS135" s="3">
        <v>293</v>
      </c>
      <c r="AT135" s="3" t="str">
        <f>IFERROR(MID(VLOOKUP($B135,Seqs!$A:$B,2,0),AU135,1),"")</f>
        <v>L</v>
      </c>
      <c r="AU135" s="3">
        <v>321</v>
      </c>
      <c r="AV135" s="3" t="str">
        <f>IFERROR(MID(VLOOKUP($B135,Seqs!$A:$B,2,0),AW135,1),"")</f>
        <v>D</v>
      </c>
      <c r="AW135" s="3">
        <v>322</v>
      </c>
      <c r="AX135" s="3" t="str">
        <f>IFERROR(MID(VLOOKUP($B135,Seqs!$A:$B,2,0),AY135,1),"")</f>
        <v>C</v>
      </c>
      <c r="AY135" s="3">
        <v>333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780"/>
        <v>1</v>
      </c>
      <c r="BC135" s="23">
        <f t="shared" si="641"/>
        <v>265</v>
      </c>
      <c r="BD135" s="16" t="s">
        <v>23</v>
      </c>
      <c r="BE135" s="3" t="s">
        <v>1381</v>
      </c>
      <c r="BF135" s="124">
        <v>2.7</v>
      </c>
      <c r="BG135" s="50" t="s">
        <v>1384</v>
      </c>
      <c r="BH135" s="50" t="s">
        <v>1384</v>
      </c>
      <c r="BI135" s="3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642"/>
        <v>43</v>
      </c>
      <c r="BW135" s="73">
        <f t="shared" si="643"/>
        <v>78</v>
      </c>
      <c r="BX135" s="74">
        <f t="shared" si="644"/>
        <v>82</v>
      </c>
      <c r="BY135" s="73">
        <f t="shared" si="645"/>
        <v>113</v>
      </c>
      <c r="BZ135" s="74">
        <f t="shared" si="646"/>
        <v>117</v>
      </c>
      <c r="CA135" s="73">
        <f t="shared" si="647"/>
        <v>153</v>
      </c>
      <c r="CB135" s="74">
        <f t="shared" si="648"/>
        <v>161</v>
      </c>
      <c r="CC135" s="73">
        <f t="shared" si="649"/>
        <v>198</v>
      </c>
      <c r="CD135" s="74">
        <f t="shared" si="650"/>
        <v>206</v>
      </c>
      <c r="CE135" s="73">
        <f t="shared" si="651"/>
        <v>249</v>
      </c>
      <c r="CF135" s="74">
        <f t="shared" si="652"/>
        <v>293</v>
      </c>
      <c r="CG135" s="73">
        <f t="shared" si="653"/>
        <v>322</v>
      </c>
      <c r="CH135" s="72">
        <f t="shared" si="654"/>
        <v>77</v>
      </c>
      <c r="CI135" s="73">
        <f t="shared" si="655"/>
        <v>81</v>
      </c>
      <c r="CJ135" s="74">
        <f t="shared" si="656"/>
        <v>111</v>
      </c>
      <c r="CK135" s="74">
        <f t="shared" si="657"/>
        <v>116</v>
      </c>
      <c r="CL135" s="74">
        <f t="shared" si="658"/>
        <v>152</v>
      </c>
      <c r="CM135" s="74">
        <f t="shared" si="659"/>
        <v>160</v>
      </c>
      <c r="CN135" s="74">
        <f t="shared" si="660"/>
        <v>187</v>
      </c>
      <c r="CO135" s="74">
        <f t="shared" si="661"/>
        <v>200</v>
      </c>
      <c r="CP135" s="74">
        <f t="shared" si="662"/>
        <v>243</v>
      </c>
      <c r="CQ135" s="74">
        <f t="shared" si="663"/>
        <v>287</v>
      </c>
      <c r="CR135" s="74">
        <f t="shared" si="664"/>
        <v>321</v>
      </c>
      <c r="CS135" s="74">
        <f t="shared" si="665"/>
        <v>333</v>
      </c>
      <c r="CT135" s="23">
        <f t="shared" si="66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</row>
    <row r="136" spans="1:1030" s="2" customFormat="1" x14ac:dyDescent="0.2">
      <c r="A136" s="3" t="str">
        <f t="shared" si="779"/>
        <v>oprd_mouse__wt</v>
      </c>
      <c r="B136" s="3" t="s">
        <v>916</v>
      </c>
      <c r="C136" s="3" t="s">
        <v>100</v>
      </c>
      <c r="D136" s="3" t="str">
        <f>IFERROR(MID(VLOOKUP($B136,Seqs!$A:$B,2,0),E136,1),"")</f>
        <v>R</v>
      </c>
      <c r="E136" s="3">
        <v>41</v>
      </c>
      <c r="F136" s="3" t="str">
        <f>IFERROR(MID(VLOOKUP($B136,Seqs!$A:$B,2,0),G136,1),"")</f>
        <v>Y</v>
      </c>
      <c r="G136" s="3">
        <v>77</v>
      </c>
      <c r="H136" s="3" t="str">
        <f>IFERROR(MID(VLOOKUP($B136,Seqs!$A:$B,2,0),I136,1),"")</f>
        <v>T</v>
      </c>
      <c r="I136" s="23">
        <v>78</v>
      </c>
      <c r="J136" s="3" t="str">
        <f>IFERROR(MID(VLOOKUP($B136,Seqs!$A:$B,2,0),K136,1),"")</f>
        <v>K</v>
      </c>
      <c r="K136" s="23">
        <v>81</v>
      </c>
      <c r="L136" s="3" t="str">
        <f>IFERROR(MID(VLOOKUP($B136,Seqs!$A:$B,2,0),M136,1),"")</f>
        <v>T</v>
      </c>
      <c r="M136" s="3">
        <v>82</v>
      </c>
      <c r="N136" s="3" t="str">
        <f>IFERROR(MID(VLOOKUP($B136,Seqs!$A:$B,2,0),O136,1),"")</f>
        <v>M</v>
      </c>
      <c r="O136" s="3">
        <v>111</v>
      </c>
      <c r="P136" s="3" t="str">
        <f>IFERROR(MID(VLOOKUP($B136,Seqs!$A:$B,2,0),Q136,1),"")</f>
        <v>T</v>
      </c>
      <c r="Q136" s="3">
        <v>113</v>
      </c>
      <c r="R136" s="3" t="str">
        <f>IFERROR(MID(VLOOKUP($B136,Seqs!$A:$B,2,0),S136,1),"")</f>
        <v>F</v>
      </c>
      <c r="S136" s="3">
        <v>116</v>
      </c>
      <c r="T136" s="3" t="str">
        <f>IFERROR(MID(VLOOKUP($B136,Seqs!$A:$B,2,0),U136,1),"")</f>
        <v>G</v>
      </c>
      <c r="U136" s="3">
        <v>117</v>
      </c>
      <c r="V136" s="3" t="str">
        <f>IFERROR(MID(VLOOKUP($B136,Seqs!$A:$B,2,0),W136,1),"")</f>
        <v>H</v>
      </c>
      <c r="W136" s="3">
        <v>152</v>
      </c>
      <c r="X136" s="3" t="str">
        <f>IFERROR(MID(VLOOKUP($B136,Seqs!$A:$B,2,0),Y136,1),"")</f>
        <v>P</v>
      </c>
      <c r="Y136" s="3">
        <v>153</v>
      </c>
      <c r="Z136" s="3" t="str">
        <f>IFERROR(MID(VLOOKUP($B136,Seqs!$A:$B,2,0),AA136,1),"")</f>
        <v>R</v>
      </c>
      <c r="AA136" s="3">
        <v>160</v>
      </c>
      <c r="AB136" s="3" t="str">
        <f>IFERROR(MID(VLOOKUP($B136,Seqs!$A:$B,2,0),AC136,1),"")</f>
        <v>T</v>
      </c>
      <c r="AC136" s="9">
        <v>161</v>
      </c>
      <c r="AD136" s="3" t="str">
        <f>IFERROR(MID(VLOOKUP($B136,Seqs!$A:$B,2,0),AE136,1),"")</f>
        <v>A</v>
      </c>
      <c r="AE136" s="3">
        <v>187</v>
      </c>
      <c r="AF136" s="3" t="str">
        <f>IFERROR(MID(VLOOKUP($B136,Seqs!$A:$B,2,0),AG136,1),"")</f>
        <v>C</v>
      </c>
      <c r="AG136" s="3">
        <v>198</v>
      </c>
      <c r="AH136" s="3" t="str">
        <f>IFERROR(MID(VLOOKUP($B136,Seqs!$A:$B,2,0),AI136,1),"")</f>
        <v>L</v>
      </c>
      <c r="AI136" s="3">
        <v>200</v>
      </c>
      <c r="AJ136" s="3" t="str">
        <f>IFERROR(MID(VLOOKUP($B136,Seqs!$A:$B,2,0),AK136,1),"")</f>
        <v>S</v>
      </c>
      <c r="AK136" s="3">
        <v>206</v>
      </c>
      <c r="AL136" s="3" t="str">
        <f>IFERROR(MID(VLOOKUP($B136,Seqs!$A:$B,2,0),AM136,1),"")</f>
        <v>V</v>
      </c>
      <c r="AM136" s="3">
        <v>243</v>
      </c>
      <c r="AN136" s="3" t="str">
        <f>IFERROR(MID(VLOOKUP($B136,Seqs!$A:$B,2,0),AO136,1),"")</f>
        <v>S</v>
      </c>
      <c r="AO136" s="3">
        <v>249</v>
      </c>
      <c r="AP136" s="3" t="str">
        <f>IFERROR(MID(VLOOKUP($B136,Seqs!$A:$B,2,0),AQ136,1),"")</f>
        <v>V</v>
      </c>
      <c r="AQ136" s="3">
        <v>287</v>
      </c>
      <c r="AR136" s="3" t="str">
        <f>IFERROR(MID(VLOOKUP($B136,Seqs!$A:$B,2,0),AS136,1),"")</f>
        <v>D</v>
      </c>
      <c r="AS136" s="3">
        <v>293</v>
      </c>
      <c r="AT136" s="3" t="str">
        <f>IFERROR(MID(VLOOKUP($B136,Seqs!$A:$B,2,0),AU136,1),"")</f>
        <v>L</v>
      </c>
      <c r="AU136" s="3">
        <v>321</v>
      </c>
      <c r="AV136" s="3" t="str">
        <f>IFERROR(MID(VLOOKUP($B136,Seqs!$A:$B,2,0),AW136,1),"")</f>
        <v>D</v>
      </c>
      <c r="AW136" s="3">
        <v>322</v>
      </c>
      <c r="AX136" s="3" t="str">
        <f>IFERROR(MID(VLOOKUP($B136,Seqs!$A:$B,2,0),AY136,1),"")</f>
        <v>T</v>
      </c>
      <c r="AY136" s="3">
        <v>335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780"/>
        <v>1</v>
      </c>
      <c r="BC136" s="23">
        <f t="shared" si="641"/>
        <v>269</v>
      </c>
      <c r="BD136" s="57" t="s">
        <v>1379</v>
      </c>
      <c r="BE136" s="3" t="s">
        <v>23</v>
      </c>
      <c r="BF136" s="124" t="s">
        <v>23</v>
      </c>
      <c r="BG136" s="50" t="s">
        <v>1379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642"/>
        <v>41</v>
      </c>
      <c r="BW136" s="73">
        <f t="shared" si="643"/>
        <v>78</v>
      </c>
      <c r="BX136" s="74">
        <f t="shared" si="644"/>
        <v>82</v>
      </c>
      <c r="BY136" s="73">
        <f t="shared" si="645"/>
        <v>113</v>
      </c>
      <c r="BZ136" s="74">
        <f t="shared" si="646"/>
        <v>117</v>
      </c>
      <c r="CA136" s="73">
        <f t="shared" si="647"/>
        <v>153</v>
      </c>
      <c r="CB136" s="74">
        <f t="shared" si="648"/>
        <v>161</v>
      </c>
      <c r="CC136" s="73">
        <f t="shared" si="649"/>
        <v>198</v>
      </c>
      <c r="CD136" s="74">
        <f t="shared" si="650"/>
        <v>206</v>
      </c>
      <c r="CE136" s="73">
        <f t="shared" si="651"/>
        <v>249</v>
      </c>
      <c r="CF136" s="74">
        <f t="shared" si="652"/>
        <v>293</v>
      </c>
      <c r="CG136" s="73">
        <f t="shared" si="653"/>
        <v>322</v>
      </c>
      <c r="CH136" s="72">
        <f t="shared" si="654"/>
        <v>77</v>
      </c>
      <c r="CI136" s="73">
        <f t="shared" si="655"/>
        <v>81</v>
      </c>
      <c r="CJ136" s="74">
        <f t="shared" si="656"/>
        <v>111</v>
      </c>
      <c r="CK136" s="74">
        <f t="shared" si="657"/>
        <v>116</v>
      </c>
      <c r="CL136" s="74">
        <f t="shared" si="658"/>
        <v>152</v>
      </c>
      <c r="CM136" s="74">
        <f t="shared" si="659"/>
        <v>160</v>
      </c>
      <c r="CN136" s="74">
        <f t="shared" si="660"/>
        <v>187</v>
      </c>
      <c r="CO136" s="74">
        <f t="shared" si="661"/>
        <v>200</v>
      </c>
      <c r="CP136" s="74">
        <f t="shared" si="662"/>
        <v>243</v>
      </c>
      <c r="CQ136" s="74">
        <f t="shared" si="663"/>
        <v>287</v>
      </c>
      <c r="CR136" s="74">
        <f t="shared" si="664"/>
        <v>321</v>
      </c>
      <c r="CS136" s="74">
        <f t="shared" si="665"/>
        <v>335</v>
      </c>
      <c r="CT136" s="23">
        <f t="shared" si="66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</row>
    <row r="137" spans="1:1030" s="2" customFormat="1" x14ac:dyDescent="0.2">
      <c r="A137" s="3" t="str">
        <f t="shared" si="779"/>
        <v>oprd_mouse_4EJ4</v>
      </c>
      <c r="B137" s="3" t="s">
        <v>916</v>
      </c>
      <c r="C137" s="3" t="s">
        <v>64</v>
      </c>
      <c r="D137" s="3" t="str">
        <f>IFERROR(MID(VLOOKUP($B137,Seqs!$A:$B,2,0),E137,1),"")</f>
        <v>R</v>
      </c>
      <c r="E137" s="3">
        <v>41</v>
      </c>
      <c r="F137" s="3" t="str">
        <f>IFERROR(MID(VLOOKUP($B137,Seqs!$A:$B,2,0),G137,1),"")</f>
        <v>Y</v>
      </c>
      <c r="G137" s="3">
        <v>77</v>
      </c>
      <c r="H137" s="3" t="str">
        <f>IFERROR(MID(VLOOKUP($B137,Seqs!$A:$B,2,0),I137,1),"")</f>
        <v>T</v>
      </c>
      <c r="I137" s="23">
        <v>78</v>
      </c>
      <c r="J137" s="3" t="str">
        <f>IFERROR(MID(VLOOKUP($B137,Seqs!$A:$B,2,0),K137,1),"")</f>
        <v>K</v>
      </c>
      <c r="K137" s="23">
        <v>81</v>
      </c>
      <c r="L137" s="3" t="str">
        <f>IFERROR(MID(VLOOKUP($B137,Seqs!$A:$B,2,0),M137,1),"")</f>
        <v>T</v>
      </c>
      <c r="M137" s="3">
        <v>82</v>
      </c>
      <c r="N137" s="3" t="str">
        <f>IFERROR(MID(VLOOKUP($B137,Seqs!$A:$B,2,0),O137,1),"")</f>
        <v>M</v>
      </c>
      <c r="O137" s="3">
        <v>111</v>
      </c>
      <c r="P137" s="3" t="str">
        <f>IFERROR(MID(VLOOKUP($B137,Seqs!$A:$B,2,0),Q137,1),"")</f>
        <v>T</v>
      </c>
      <c r="Q137" s="3">
        <v>113</v>
      </c>
      <c r="R137" s="3" t="str">
        <f>IFERROR(MID(VLOOKUP($B137,Seqs!$A:$B,2,0),S137,1),"")</f>
        <v>F</v>
      </c>
      <c r="S137" s="3">
        <v>116</v>
      </c>
      <c r="T137" s="3" t="str">
        <f>IFERROR(MID(VLOOKUP($B137,Seqs!$A:$B,2,0),U137,1),"")</f>
        <v>G</v>
      </c>
      <c r="U137" s="3">
        <v>117</v>
      </c>
      <c r="V137" s="3" t="str">
        <f>IFERROR(MID(VLOOKUP($B137,Seqs!$A:$B,2,0),W137,1),"")</f>
        <v>H</v>
      </c>
      <c r="W137" s="3">
        <v>152</v>
      </c>
      <c r="X137" s="3" t="str">
        <f>IFERROR(MID(VLOOKUP($B137,Seqs!$A:$B,2,0),Y137,1),"")</f>
        <v>P</v>
      </c>
      <c r="Y137" s="3">
        <v>153</v>
      </c>
      <c r="Z137" s="3" t="str">
        <f>IFERROR(MID(VLOOKUP($B137,Seqs!$A:$B,2,0),AA137,1),"")</f>
        <v>R</v>
      </c>
      <c r="AA137" s="3">
        <v>160</v>
      </c>
      <c r="AB137" s="3" t="str">
        <f>IFERROR(MID(VLOOKUP($B137,Seqs!$A:$B,2,0),AC137,1),"")</f>
        <v>T</v>
      </c>
      <c r="AC137" s="9">
        <v>161</v>
      </c>
      <c r="AD137" s="3" t="str">
        <f>IFERROR(MID(VLOOKUP($B137,Seqs!$A:$B,2,0),AE137,1),"")</f>
        <v>A</v>
      </c>
      <c r="AE137" s="3">
        <v>187</v>
      </c>
      <c r="AF137" s="3" t="str">
        <f>IFERROR(MID(VLOOKUP($B137,Seqs!$A:$B,2,0),AG137,1),"")</f>
        <v>C</v>
      </c>
      <c r="AG137" s="3">
        <v>198</v>
      </c>
      <c r="AH137" s="3" t="str">
        <f>IFERROR(MID(VLOOKUP($B137,Seqs!$A:$B,2,0),AI137,1),"")</f>
        <v>L</v>
      </c>
      <c r="AI137" s="3">
        <v>200</v>
      </c>
      <c r="AJ137" s="3" t="str">
        <f>IFERROR(MID(VLOOKUP($B137,Seqs!$A:$B,2,0),AK137,1),"")</f>
        <v>S</v>
      </c>
      <c r="AK137" s="3">
        <v>206</v>
      </c>
      <c r="AL137" s="3" t="str">
        <f>IFERROR(MID(VLOOKUP($B137,Seqs!$A:$B,2,0),AM137,1),"")</f>
        <v>L</v>
      </c>
      <c r="AM137" s="3">
        <v>238</v>
      </c>
      <c r="AN137" s="3" t="str">
        <f>IFERROR(MID(VLOOKUP($B137,Seqs!$A:$B,2,0),AO137,1),"")</f>
        <v>R</v>
      </c>
      <c r="AO137" s="3">
        <v>258</v>
      </c>
      <c r="AP137" s="3" t="str">
        <f>IFERROR(MID(VLOOKUP($B137,Seqs!$A:$B,2,0),AQ137,1),"")</f>
        <v>V</v>
      </c>
      <c r="AQ137" s="3">
        <v>287</v>
      </c>
      <c r="AR137" s="3" t="str">
        <f>IFERROR(MID(VLOOKUP($B137,Seqs!$A:$B,2,0),AS137,1),"")</f>
        <v>D</v>
      </c>
      <c r="AS137" s="3">
        <v>293</v>
      </c>
      <c r="AT137" s="3" t="str">
        <f>IFERROR(MID(VLOOKUP($B137,Seqs!$A:$B,2,0),AU137,1),"")</f>
        <v>L</v>
      </c>
      <c r="AU137" s="3">
        <v>321</v>
      </c>
      <c r="AV137" s="3" t="str">
        <f>IFERROR(MID(VLOOKUP($B137,Seqs!$A:$B,2,0),AW137,1),"")</f>
        <v>D</v>
      </c>
      <c r="AW137" s="3">
        <v>322</v>
      </c>
      <c r="AX137" s="3" t="str">
        <f>IFERROR(MID(VLOOKUP($B137,Seqs!$A:$B,2,0),AY137,1),"")</f>
        <v>C</v>
      </c>
      <c r="AY137" s="3">
        <v>328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780"/>
        <v>1</v>
      </c>
      <c r="BC137" s="23">
        <f t="shared" si="641"/>
        <v>248</v>
      </c>
      <c r="BD137" s="2" t="s">
        <v>1383</v>
      </c>
      <c r="BE137" s="3" t="s">
        <v>1381</v>
      </c>
      <c r="BF137" s="124">
        <v>3.4</v>
      </c>
      <c r="BG137" s="50" t="s">
        <v>1384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642"/>
        <v>41</v>
      </c>
      <c r="BW137" s="73">
        <f t="shared" si="643"/>
        <v>78</v>
      </c>
      <c r="BX137" s="74">
        <f t="shared" si="644"/>
        <v>82</v>
      </c>
      <c r="BY137" s="73">
        <f t="shared" si="645"/>
        <v>113</v>
      </c>
      <c r="BZ137" s="74">
        <f t="shared" si="646"/>
        <v>117</v>
      </c>
      <c r="CA137" s="73">
        <f t="shared" si="647"/>
        <v>153</v>
      </c>
      <c r="CB137" s="74">
        <f t="shared" si="648"/>
        <v>161</v>
      </c>
      <c r="CC137" s="73">
        <f t="shared" si="649"/>
        <v>198</v>
      </c>
      <c r="CD137" s="74">
        <f t="shared" si="650"/>
        <v>206</v>
      </c>
      <c r="CE137" s="73">
        <f t="shared" si="651"/>
        <v>258</v>
      </c>
      <c r="CF137" s="74">
        <f t="shared" si="652"/>
        <v>293</v>
      </c>
      <c r="CG137" s="73">
        <f t="shared" si="653"/>
        <v>322</v>
      </c>
      <c r="CH137" s="72">
        <f t="shared" si="654"/>
        <v>77</v>
      </c>
      <c r="CI137" s="73">
        <f t="shared" si="655"/>
        <v>81</v>
      </c>
      <c r="CJ137" s="74">
        <f t="shared" si="656"/>
        <v>111</v>
      </c>
      <c r="CK137" s="74">
        <f t="shared" si="657"/>
        <v>116</v>
      </c>
      <c r="CL137" s="74">
        <f t="shared" si="658"/>
        <v>152</v>
      </c>
      <c r="CM137" s="74">
        <f t="shared" si="659"/>
        <v>160</v>
      </c>
      <c r="CN137" s="74">
        <f t="shared" si="660"/>
        <v>187</v>
      </c>
      <c r="CO137" s="74">
        <f t="shared" si="661"/>
        <v>200</v>
      </c>
      <c r="CP137" s="74">
        <f t="shared" si="662"/>
        <v>238</v>
      </c>
      <c r="CQ137" s="74">
        <f t="shared" si="663"/>
        <v>287</v>
      </c>
      <c r="CR137" s="74">
        <f t="shared" si="664"/>
        <v>321</v>
      </c>
      <c r="CS137" s="74">
        <f t="shared" si="665"/>
        <v>328</v>
      </c>
      <c r="CT137" s="23">
        <f t="shared" si="66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</row>
    <row r="138" spans="1:1030" x14ac:dyDescent="0.2">
      <c r="A138" s="3" t="str">
        <f t="shared" si="779"/>
        <v>oprk_human__wt</v>
      </c>
      <c r="B138" s="3" t="s">
        <v>336</v>
      </c>
      <c r="C138" s="3" t="s">
        <v>100</v>
      </c>
      <c r="D138" s="3" t="str">
        <f>IFERROR(MID(VLOOKUP($B138,Seqs!$A:$B,2,0),E138,1),"")</f>
        <v>A</v>
      </c>
      <c r="E138" s="3">
        <v>57</v>
      </c>
      <c r="F138" s="3" t="str">
        <f>IFERROR(MID(VLOOKUP($B138,Seqs!$A:$B,2,0),G138,1),"")</f>
        <v>Y</v>
      </c>
      <c r="G138" s="3">
        <v>87</v>
      </c>
      <c r="H138" s="3" t="str">
        <f>IFERROR(MID(VLOOKUP($B138,Seqs!$A:$B,2,0),I138,1),"")</f>
        <v>T</v>
      </c>
      <c r="I138" s="23">
        <v>88</v>
      </c>
      <c r="J138" s="3" t="str">
        <f>IFERROR(MID(VLOOKUP($B138,Seqs!$A:$B,2,0),K138,1),"")</f>
        <v>K</v>
      </c>
      <c r="K138" s="23">
        <v>91</v>
      </c>
      <c r="L138" s="3" t="str">
        <f>IFERROR(MID(VLOOKUP($B138,Seqs!$A:$B,2,0),M138,1),"")</f>
        <v>T</v>
      </c>
      <c r="M138" s="3">
        <v>92</v>
      </c>
      <c r="N138" s="3" t="str">
        <f>IFERROR(MID(VLOOKUP($B138,Seqs!$A:$B,2,0),O138,1),"")</f>
        <v>M</v>
      </c>
      <c r="O138" s="3">
        <v>121</v>
      </c>
      <c r="P138" s="3" t="str">
        <f>IFERROR(MID(VLOOKUP($B138,Seqs!$A:$B,2,0),Q138,1),"")</f>
        <v>S</v>
      </c>
      <c r="Q138" s="3">
        <v>123</v>
      </c>
      <c r="R138" s="3" t="str">
        <f>IFERROR(MID(VLOOKUP($B138,Seqs!$A:$B,2,0),S138,1),"")</f>
        <v>F</v>
      </c>
      <c r="S138" s="3">
        <v>126</v>
      </c>
      <c r="T138" s="3" t="str">
        <f>IFERROR(MID(VLOOKUP($B138,Seqs!$A:$B,2,0),U138,1),"")</f>
        <v>G</v>
      </c>
      <c r="U138" s="3">
        <v>127</v>
      </c>
      <c r="V138" s="3" t="str">
        <f>IFERROR(MID(VLOOKUP($B138,Seqs!$A:$B,2,0),W138,1),"")</f>
        <v>H</v>
      </c>
      <c r="W138" s="3">
        <v>162</v>
      </c>
      <c r="X138" s="3" t="str">
        <f>IFERROR(MID(VLOOKUP($B138,Seqs!$A:$B,2,0),Y138,1),"")</f>
        <v>P</v>
      </c>
      <c r="Y138" s="3">
        <v>163</v>
      </c>
      <c r="Z138" s="3" t="str">
        <f>IFERROR(MID(VLOOKUP($B138,Seqs!$A:$B,2,0),AA138,1),"")</f>
        <v>R</v>
      </c>
      <c r="AA138" s="3">
        <v>170</v>
      </c>
      <c r="AB138" s="3" t="str">
        <f>IFERROR(MID(VLOOKUP($B138,Seqs!$A:$B,2,0),AC138,1),"")</f>
        <v>T</v>
      </c>
      <c r="AC138" s="9">
        <v>171</v>
      </c>
      <c r="AD138" s="3" t="str">
        <f>IFERROR(MID(VLOOKUP($B138,Seqs!$A:$B,2,0),AE138,1),"")</f>
        <v>G</v>
      </c>
      <c r="AE138" s="3">
        <v>197</v>
      </c>
      <c r="AF138" s="3" t="str">
        <f>IFERROR(MID(VLOOKUP($B138,Seqs!$A:$B,2,0),AG138,1),"")</f>
        <v>C</v>
      </c>
      <c r="AG138" s="3">
        <v>210</v>
      </c>
      <c r="AH138" s="3" t="str">
        <f>IFERROR(MID(VLOOKUP($B138,Seqs!$A:$B,2,0),AI138,1),"")</f>
        <v>L</v>
      </c>
      <c r="AI138" s="3">
        <v>212</v>
      </c>
      <c r="AJ138" s="3" t="str">
        <f>IFERROR(MID(VLOOKUP($B138,Seqs!$A:$B,2,0),AK138,1),"")</f>
        <v>Y</v>
      </c>
      <c r="AK138" s="3">
        <v>219</v>
      </c>
      <c r="AL138" s="3" t="str">
        <f>IFERROR(MID(VLOOKUP($B138,Seqs!$A:$B,2,0),AM138,1),"")</f>
        <v>V</v>
      </c>
      <c r="AM138" s="3">
        <v>256</v>
      </c>
      <c r="AN138" s="3" t="str">
        <f>IFERROR(MID(VLOOKUP($B138,Seqs!$A:$B,2,0),AO138,1),"")</f>
        <v>S</v>
      </c>
      <c r="AO138" s="3">
        <v>262</v>
      </c>
      <c r="AP138" s="3" t="str">
        <f>IFERROR(MID(VLOOKUP($B138,Seqs!$A:$B,2,0),AQ138,1),"")</f>
        <v>G</v>
      </c>
      <c r="AQ138" s="3">
        <v>300</v>
      </c>
      <c r="AR138" s="3" t="str">
        <f>IFERROR(MID(VLOOKUP($B138,Seqs!$A:$B,2,0),AS138,1),"")</f>
        <v>S</v>
      </c>
      <c r="AS138" s="3">
        <v>305</v>
      </c>
      <c r="AT138" s="3" t="str">
        <f>IFERROR(MID(VLOOKUP($B138,Seqs!$A:$B,2,0),AU138,1),"")</f>
        <v>L</v>
      </c>
      <c r="AU138" s="3">
        <v>333</v>
      </c>
      <c r="AV138" s="3" t="str">
        <f>IFERROR(MID(VLOOKUP($B138,Seqs!$A:$B,2,0),AW138,1),"")</f>
        <v>D</v>
      </c>
      <c r="AW138" s="3">
        <v>334</v>
      </c>
      <c r="AX138" s="3" t="str">
        <f>IFERROR(MID(VLOOKUP($B138,Seqs!$A:$B,2,0),AY138,1),"")</f>
        <v>F</v>
      </c>
      <c r="AY138" s="3">
        <v>346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780"/>
        <v>1</v>
      </c>
      <c r="BC138" s="23">
        <f t="shared" si="641"/>
        <v>262</v>
      </c>
      <c r="BD138" s="57" t="s">
        <v>1379</v>
      </c>
      <c r="BE138" s="3" t="s">
        <v>23</v>
      </c>
      <c r="BF138" s="124" t="s">
        <v>23</v>
      </c>
      <c r="BG138" s="50" t="s">
        <v>1379</v>
      </c>
      <c r="BH138" s="50" t="s">
        <v>1384</v>
      </c>
      <c r="BI138" s="1"/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642"/>
        <v>57</v>
      </c>
      <c r="BW138" s="73">
        <f t="shared" si="643"/>
        <v>88</v>
      </c>
      <c r="BX138" s="74">
        <f t="shared" si="644"/>
        <v>92</v>
      </c>
      <c r="BY138" s="73">
        <f t="shared" si="645"/>
        <v>123</v>
      </c>
      <c r="BZ138" s="74">
        <f t="shared" si="646"/>
        <v>127</v>
      </c>
      <c r="CA138" s="73">
        <f t="shared" si="647"/>
        <v>163</v>
      </c>
      <c r="CB138" s="74">
        <f t="shared" si="648"/>
        <v>171</v>
      </c>
      <c r="CC138" s="73">
        <f t="shared" si="649"/>
        <v>210</v>
      </c>
      <c r="CD138" s="74">
        <f t="shared" si="650"/>
        <v>219</v>
      </c>
      <c r="CE138" s="73">
        <f t="shared" si="651"/>
        <v>262</v>
      </c>
      <c r="CF138" s="74">
        <f t="shared" si="652"/>
        <v>305</v>
      </c>
      <c r="CG138" s="73">
        <f t="shared" si="653"/>
        <v>334</v>
      </c>
      <c r="CH138" s="72">
        <f t="shared" si="654"/>
        <v>87</v>
      </c>
      <c r="CI138" s="73">
        <f t="shared" si="655"/>
        <v>91</v>
      </c>
      <c r="CJ138" s="74">
        <f t="shared" si="656"/>
        <v>121</v>
      </c>
      <c r="CK138" s="74">
        <f t="shared" si="657"/>
        <v>126</v>
      </c>
      <c r="CL138" s="74">
        <f t="shared" si="658"/>
        <v>162</v>
      </c>
      <c r="CM138" s="74">
        <f t="shared" si="659"/>
        <v>170</v>
      </c>
      <c r="CN138" s="74">
        <f t="shared" si="660"/>
        <v>197</v>
      </c>
      <c r="CO138" s="74">
        <f t="shared" si="661"/>
        <v>212</v>
      </c>
      <c r="CP138" s="74">
        <f t="shared" si="662"/>
        <v>256</v>
      </c>
      <c r="CQ138" s="74">
        <f t="shared" si="663"/>
        <v>300</v>
      </c>
      <c r="CR138" s="74">
        <f t="shared" si="664"/>
        <v>333</v>
      </c>
      <c r="CS138" s="74">
        <f t="shared" si="665"/>
        <v>346</v>
      </c>
      <c r="CT138" s="23">
        <f t="shared" si="66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779"/>
        <v>oprk_human_4DJH</v>
      </c>
      <c r="B139" s="3" t="s">
        <v>336</v>
      </c>
      <c r="C139" s="3" t="s">
        <v>88</v>
      </c>
      <c r="D139" s="3" t="str">
        <f>IFERROR(MID(VLOOKUP($B139,Seqs!$A:$B,2,0),E139,1),"")</f>
        <v>A</v>
      </c>
      <c r="E139" s="3">
        <v>57</v>
      </c>
      <c r="F139" s="3" t="str">
        <f>IFERROR(MID(VLOOKUP($B139,Seqs!$A:$B,2,0),G139,1),"")</f>
        <v>Y</v>
      </c>
      <c r="G139" s="3">
        <v>87</v>
      </c>
      <c r="H139" s="3" t="str">
        <f>IFERROR(MID(VLOOKUP($B139,Seqs!$A:$B,2,0),I139,1),"")</f>
        <v>T</v>
      </c>
      <c r="I139" s="23">
        <v>88</v>
      </c>
      <c r="J139" s="3" t="str">
        <f>IFERROR(MID(VLOOKUP($B139,Seqs!$A:$B,2,0),K139,1),"")</f>
        <v>K</v>
      </c>
      <c r="K139" s="23">
        <v>91</v>
      </c>
      <c r="L139" s="3" t="str">
        <f>IFERROR(MID(VLOOKUP($B139,Seqs!$A:$B,2,0),M139,1),"")</f>
        <v>T</v>
      </c>
      <c r="M139" s="3">
        <v>92</v>
      </c>
      <c r="N139" s="3" t="str">
        <f>IFERROR(MID(VLOOKUP($B139,Seqs!$A:$B,2,0),O139,1),"")</f>
        <v>M</v>
      </c>
      <c r="O139" s="3">
        <v>121</v>
      </c>
      <c r="P139" s="3" t="str">
        <f>IFERROR(MID(VLOOKUP($B139,Seqs!$A:$B,2,0),Q139,1),"")</f>
        <v>S</v>
      </c>
      <c r="Q139" s="3">
        <v>123</v>
      </c>
      <c r="R139" s="3" t="str">
        <f>IFERROR(MID(VLOOKUP($B139,Seqs!$A:$B,2,0),S139,1),"")</f>
        <v>F</v>
      </c>
      <c r="S139" s="3">
        <v>126</v>
      </c>
      <c r="T139" s="3" t="str">
        <f>IFERROR(MID(VLOOKUP($B139,Seqs!$A:$B,2,0),U139,1),"")</f>
        <v>G</v>
      </c>
      <c r="U139" s="3">
        <v>127</v>
      </c>
      <c r="V139" s="3" t="str">
        <f>IFERROR(MID(VLOOKUP($B139,Seqs!$A:$B,2,0),W139,1),"")</f>
        <v>H</v>
      </c>
      <c r="W139" s="3">
        <v>162</v>
      </c>
      <c r="X139" s="3" t="str">
        <f>IFERROR(MID(VLOOKUP($B139,Seqs!$A:$B,2,0),Y139,1),"")</f>
        <v>P</v>
      </c>
      <c r="Y139" s="3">
        <v>163</v>
      </c>
      <c r="Z139" s="3" t="str">
        <f>IFERROR(MID(VLOOKUP($B139,Seqs!$A:$B,2,0),AA139,1),"")</f>
        <v>L</v>
      </c>
      <c r="AA139" s="3">
        <v>167</v>
      </c>
      <c r="AB139" s="3" t="str">
        <f>IFERROR(MID(VLOOKUP($B139,Seqs!$A:$B,2,0),AC139,1),"")</f>
        <v>R</v>
      </c>
      <c r="AC139" s="9">
        <v>170</v>
      </c>
      <c r="AD139" s="3" t="str">
        <f>IFERROR(MID(VLOOKUP($B139,Seqs!$A:$B,2,0),AE139,1),"")</f>
        <v>G</v>
      </c>
      <c r="AE139" s="3">
        <v>197</v>
      </c>
      <c r="AF139" s="3" t="str">
        <f>IFERROR(MID(VLOOKUP($B139,Seqs!$A:$B,2,0),AG139,1),"")</f>
        <v>C</v>
      </c>
      <c r="AG139" s="3">
        <v>210</v>
      </c>
      <c r="AH139" s="3" t="str">
        <f>IFERROR(MID(VLOOKUP($B139,Seqs!$A:$B,2,0),AI139,1),"")</f>
        <v>L</v>
      </c>
      <c r="AI139" s="3">
        <v>212</v>
      </c>
      <c r="AJ139" s="3" t="str">
        <f>IFERROR(MID(VLOOKUP($B139,Seqs!$A:$B,2,0),AK139,1),"")</f>
        <v>Y</v>
      </c>
      <c r="AK139" s="3">
        <v>219</v>
      </c>
      <c r="AL139" s="3" t="str">
        <f>IFERROR(MID(VLOOKUP($B139,Seqs!$A:$B,2,0),AM139,1),"")</f>
        <v>V</v>
      </c>
      <c r="AM139" s="3">
        <v>256</v>
      </c>
      <c r="AN139" s="3" t="str">
        <f>IFERROR(MID(VLOOKUP($B139,Seqs!$A:$B,2,0),AO139,1),"")</f>
        <v>R</v>
      </c>
      <c r="AO139" s="3">
        <v>267</v>
      </c>
      <c r="AP139" s="3" t="str">
        <f>IFERROR(MID(VLOOKUP($B139,Seqs!$A:$B,2,0),AQ139,1),"")</f>
        <v>G</v>
      </c>
      <c r="AQ139" s="3">
        <v>300</v>
      </c>
      <c r="AR139" s="3" t="str">
        <f>IFERROR(MID(VLOOKUP($B139,Seqs!$A:$B,2,0),AS139,1),"")</f>
        <v>A</v>
      </c>
      <c r="AS139" s="3">
        <v>308</v>
      </c>
      <c r="AT139" s="3" t="str">
        <f>IFERROR(MID(VLOOKUP($B139,Seqs!$A:$B,2,0),AU139,1),"")</f>
        <v>L</v>
      </c>
      <c r="AU139" s="3">
        <v>333</v>
      </c>
      <c r="AV139" s="3" t="str">
        <f>IFERROR(MID(VLOOKUP($B139,Seqs!$A:$B,2,0),AW139,1),"")</f>
        <v>D</v>
      </c>
      <c r="AW139" s="3">
        <v>334</v>
      </c>
      <c r="AX139" s="3" t="str">
        <f>IFERROR(MID(VLOOKUP($B139,Seqs!$A:$B,2,0),AY139,1),"")</f>
        <v>F</v>
      </c>
      <c r="AY139" s="3">
        <v>346</v>
      </c>
      <c r="AZ139" s="79" t="str">
        <f>VLOOKUP(B139,Classification!A:D,2,0)</f>
        <v>A</v>
      </c>
      <c r="BA139" s="97" t="str">
        <f>VLOOKUP(B139,Classification!A:D,4,0)</f>
        <v>Opioid</v>
      </c>
      <c r="BB139" s="27" t="b">
        <f t="shared" si="780"/>
        <v>1</v>
      </c>
      <c r="BC139" s="23">
        <f t="shared" si="641"/>
        <v>252</v>
      </c>
      <c r="BD139" s="2" t="s">
        <v>1383</v>
      </c>
      <c r="BE139" s="3" t="s">
        <v>1381</v>
      </c>
      <c r="BF139" s="124">
        <v>2.9</v>
      </c>
      <c r="BG139" s="50" t="s">
        <v>1384</v>
      </c>
      <c r="BH139" s="50" t="s">
        <v>1384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642"/>
        <v>57</v>
      </c>
      <c r="BW139" s="73">
        <f t="shared" si="643"/>
        <v>88</v>
      </c>
      <c r="BX139" s="74">
        <f t="shared" si="644"/>
        <v>92</v>
      </c>
      <c r="BY139" s="73">
        <f t="shared" si="645"/>
        <v>123</v>
      </c>
      <c r="BZ139" s="74">
        <f t="shared" si="646"/>
        <v>127</v>
      </c>
      <c r="CA139" s="73">
        <f t="shared" si="647"/>
        <v>163</v>
      </c>
      <c r="CB139" s="74">
        <f t="shared" si="648"/>
        <v>170</v>
      </c>
      <c r="CC139" s="73">
        <f t="shared" si="649"/>
        <v>210</v>
      </c>
      <c r="CD139" s="74">
        <f t="shared" si="650"/>
        <v>219</v>
      </c>
      <c r="CE139" s="73">
        <f t="shared" si="651"/>
        <v>267</v>
      </c>
      <c r="CF139" s="74">
        <f t="shared" si="652"/>
        <v>308</v>
      </c>
      <c r="CG139" s="73">
        <f t="shared" si="653"/>
        <v>334</v>
      </c>
      <c r="CH139" s="72">
        <f t="shared" si="654"/>
        <v>87</v>
      </c>
      <c r="CI139" s="73">
        <f t="shared" si="655"/>
        <v>91</v>
      </c>
      <c r="CJ139" s="74">
        <f t="shared" si="656"/>
        <v>121</v>
      </c>
      <c r="CK139" s="74">
        <f t="shared" si="657"/>
        <v>126</v>
      </c>
      <c r="CL139" s="74">
        <f t="shared" si="658"/>
        <v>162</v>
      </c>
      <c r="CM139" s="74">
        <f t="shared" si="659"/>
        <v>167</v>
      </c>
      <c r="CN139" s="74">
        <f t="shared" si="660"/>
        <v>197</v>
      </c>
      <c r="CO139" s="74">
        <f t="shared" si="661"/>
        <v>212</v>
      </c>
      <c r="CP139" s="74">
        <f t="shared" si="662"/>
        <v>256</v>
      </c>
      <c r="CQ139" s="74">
        <f t="shared" si="663"/>
        <v>300</v>
      </c>
      <c r="CR139" s="74">
        <f t="shared" si="664"/>
        <v>333</v>
      </c>
      <c r="CS139" s="74">
        <f t="shared" si="665"/>
        <v>346</v>
      </c>
      <c r="CT139" s="23">
        <f t="shared" si="666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 t="shared" si="779"/>
        <v>oprm_mouse__wt</v>
      </c>
      <c r="B140" s="3" t="s">
        <v>918</v>
      </c>
      <c r="C140" s="3" t="s">
        <v>100</v>
      </c>
      <c r="D140" s="3" t="str">
        <f>IFERROR(MID(VLOOKUP($B140,Seqs!$A:$B,2,0),E140,1),"")</f>
        <v>M</v>
      </c>
      <c r="E140" s="3">
        <v>65</v>
      </c>
      <c r="F140" s="3" t="str">
        <f>IFERROR(MID(VLOOKUP($B140,Seqs!$A:$B,2,0),G140,1),"")</f>
        <v>Y</v>
      </c>
      <c r="G140" s="3">
        <v>96</v>
      </c>
      <c r="H140" s="3" t="str">
        <f>IFERROR(MID(VLOOKUP($B140,Seqs!$A:$B,2,0),I140,1),"")</f>
        <v>T</v>
      </c>
      <c r="I140" s="23">
        <v>97</v>
      </c>
      <c r="J140" s="3" t="str">
        <f>IFERROR(MID(VLOOKUP($B140,Seqs!$A:$B,2,0),K140,1),"")</f>
        <v>K</v>
      </c>
      <c r="K140" s="23">
        <v>100</v>
      </c>
      <c r="L140" s="3" t="str">
        <f>IFERROR(MID(VLOOKUP($B140,Seqs!$A:$B,2,0),M140,1),"")</f>
        <v>T</v>
      </c>
      <c r="M140" s="3">
        <v>101</v>
      </c>
      <c r="N140" s="3" t="str">
        <f>IFERROR(MID(VLOOKUP($B140,Seqs!$A:$B,2,0),O140,1),"")</f>
        <v>M</v>
      </c>
      <c r="O140" s="3">
        <v>130</v>
      </c>
      <c r="P140" s="3" t="str">
        <f>IFERROR(MID(VLOOKUP($B140,Seqs!$A:$B,2,0),Q140,1),"")</f>
        <v>T</v>
      </c>
      <c r="Q140" s="3">
        <v>132</v>
      </c>
      <c r="R140" s="3" t="str">
        <f>IFERROR(MID(VLOOKUP($B140,Seqs!$A:$B,2,0),S140,1),"")</f>
        <v>F</v>
      </c>
      <c r="S140" s="3">
        <v>135</v>
      </c>
      <c r="T140" s="3" t="str">
        <f>IFERROR(MID(VLOOKUP($B140,Seqs!$A:$B,2,0),U140,1),"")</f>
        <v>G</v>
      </c>
      <c r="U140" s="3">
        <v>136</v>
      </c>
      <c r="V140" s="3" t="str">
        <f>IFERROR(MID(VLOOKUP($B140,Seqs!$A:$B,2,0),W140,1),"")</f>
        <v>H</v>
      </c>
      <c r="W140" s="3">
        <v>171</v>
      </c>
      <c r="X140" s="3" t="str">
        <f>IFERROR(MID(VLOOKUP($B140,Seqs!$A:$B,2,0),Y140,1),"")</f>
        <v>P</v>
      </c>
      <c r="Y140" s="3">
        <v>172</v>
      </c>
      <c r="Z140" s="3" t="str">
        <f>IFERROR(MID(VLOOKUP($B140,Seqs!$A:$B,2,0),AA140,1),"")</f>
        <v>R</v>
      </c>
      <c r="AA140" s="3">
        <v>179</v>
      </c>
      <c r="AB140" s="3" t="str">
        <f>IFERROR(MID(VLOOKUP($B140,Seqs!$A:$B,2,0),AC140,1),"")</f>
        <v>T</v>
      </c>
      <c r="AC140" s="9">
        <v>180</v>
      </c>
      <c r="AD140" s="3" t="str">
        <f>IFERROR(MID(VLOOKUP($B140,Seqs!$A:$B,2,0),AE140,1),"")</f>
        <v>A</v>
      </c>
      <c r="AE140" s="3">
        <v>206</v>
      </c>
      <c r="AF140" s="3" t="str">
        <f>IFERROR(MID(VLOOKUP($B140,Seqs!$A:$B,2,0),AG140,1),"")</f>
        <v>C</v>
      </c>
      <c r="AG140" s="3">
        <v>217</v>
      </c>
      <c r="AH140" s="3" t="str">
        <f>IFERROR(MID(VLOOKUP($B140,Seqs!$A:$B,2,0),AI140,1),"")</f>
        <v>L</v>
      </c>
      <c r="AI140" s="3">
        <v>219</v>
      </c>
      <c r="AJ140" s="3" t="str">
        <f>IFERROR(MID(VLOOKUP($B140,Seqs!$A:$B,2,0),AK140,1),"")</f>
        <v>T</v>
      </c>
      <c r="AK140" s="3">
        <v>225</v>
      </c>
      <c r="AL140" s="3" t="str">
        <f>IFERROR(MID(VLOOKUP($B140,Seqs!$A:$B,2,0),AM140,1),"")</f>
        <v>V</v>
      </c>
      <c r="AM140" s="3">
        <v>262</v>
      </c>
      <c r="AN140" s="3" t="str">
        <f>IFERROR(MID(VLOOKUP($B140,Seqs!$A:$B,2,0),AO140,1),"")</f>
        <v>S</v>
      </c>
      <c r="AO140" s="3">
        <v>268</v>
      </c>
      <c r="AP140" s="3" t="str">
        <f>IFERROR(MID(VLOOKUP($B140,Seqs!$A:$B,2,0),AQ140,1),"")</f>
        <v>I</v>
      </c>
      <c r="AQ140" s="3">
        <v>306</v>
      </c>
      <c r="AR140" s="3" t="str">
        <f>IFERROR(MID(VLOOKUP($B140,Seqs!$A:$B,2,0),AS140,1),"")</f>
        <v>T</v>
      </c>
      <c r="AS140" s="3">
        <v>311</v>
      </c>
      <c r="AT140" s="3" t="str">
        <f>IFERROR(MID(VLOOKUP($B140,Seqs!$A:$B,2,0),AU140,1),"")</f>
        <v>L</v>
      </c>
      <c r="AU140" s="3">
        <v>339</v>
      </c>
      <c r="AV140" s="3" t="str">
        <f>IFERROR(MID(VLOOKUP($B140,Seqs!$A:$B,2,0),AW140,1),"")</f>
        <v>D</v>
      </c>
      <c r="AW140" s="3">
        <v>340</v>
      </c>
      <c r="AX140" s="3" t="str">
        <f>IFERROR(MID(VLOOKUP($B140,Seqs!$A:$B,2,0),AY140,1),"")</f>
        <v>I</v>
      </c>
      <c r="AY140" s="3">
        <v>352</v>
      </c>
      <c r="AZ140" s="79" t="str">
        <f>VLOOKUP(B140,Classification!A:D,2,0)</f>
        <v>A</v>
      </c>
      <c r="BA140" s="97" t="str">
        <f>VLOOKUP(B140,Classification!A:D,4,0)</f>
        <v>Opioid</v>
      </c>
      <c r="BB140" s="27" t="b">
        <f t="shared" si="780"/>
        <v>1</v>
      </c>
      <c r="BC140" s="23">
        <f t="shared" si="641"/>
        <v>263</v>
      </c>
      <c r="BD140" s="57" t="s">
        <v>1379</v>
      </c>
      <c r="BE140" s="3" t="s">
        <v>23</v>
      </c>
      <c r="BF140" s="124" t="s">
        <v>23</v>
      </c>
      <c r="BG140" s="50" t="s">
        <v>1379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642"/>
        <v>65</v>
      </c>
      <c r="BW140" s="73">
        <f t="shared" si="643"/>
        <v>97</v>
      </c>
      <c r="BX140" s="74">
        <f t="shared" si="644"/>
        <v>101</v>
      </c>
      <c r="BY140" s="73">
        <f t="shared" si="645"/>
        <v>132</v>
      </c>
      <c r="BZ140" s="74">
        <f t="shared" si="646"/>
        <v>136</v>
      </c>
      <c r="CA140" s="73">
        <f t="shared" si="647"/>
        <v>172</v>
      </c>
      <c r="CB140" s="74">
        <f t="shared" si="648"/>
        <v>180</v>
      </c>
      <c r="CC140" s="73">
        <f t="shared" si="649"/>
        <v>217</v>
      </c>
      <c r="CD140" s="74">
        <f t="shared" si="650"/>
        <v>225</v>
      </c>
      <c r="CE140" s="73">
        <f t="shared" si="651"/>
        <v>268</v>
      </c>
      <c r="CF140" s="74">
        <f t="shared" si="652"/>
        <v>311</v>
      </c>
      <c r="CG140" s="73">
        <f t="shared" si="653"/>
        <v>340</v>
      </c>
      <c r="CH140" s="72">
        <f t="shared" si="654"/>
        <v>96</v>
      </c>
      <c r="CI140" s="73">
        <f t="shared" si="655"/>
        <v>100</v>
      </c>
      <c r="CJ140" s="74">
        <f t="shared" si="656"/>
        <v>130</v>
      </c>
      <c r="CK140" s="74">
        <f t="shared" si="657"/>
        <v>135</v>
      </c>
      <c r="CL140" s="74">
        <f t="shared" si="658"/>
        <v>171</v>
      </c>
      <c r="CM140" s="74">
        <f t="shared" si="659"/>
        <v>179</v>
      </c>
      <c r="CN140" s="74">
        <f t="shared" si="660"/>
        <v>206</v>
      </c>
      <c r="CO140" s="74">
        <f t="shared" si="661"/>
        <v>219</v>
      </c>
      <c r="CP140" s="74">
        <f t="shared" si="662"/>
        <v>262</v>
      </c>
      <c r="CQ140" s="74">
        <f t="shared" si="663"/>
        <v>306</v>
      </c>
      <c r="CR140" s="74">
        <f t="shared" si="664"/>
        <v>339</v>
      </c>
      <c r="CS140" s="74">
        <f t="shared" si="665"/>
        <v>352</v>
      </c>
      <c r="CT140" s="23">
        <f t="shared" si="66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30" x14ac:dyDescent="0.2">
      <c r="A141" s="3" t="str">
        <f t="shared" si="779"/>
        <v>oprm_mouse_4DKL</v>
      </c>
      <c r="B141" s="3" t="s">
        <v>918</v>
      </c>
      <c r="C141" s="3" t="s">
        <v>65</v>
      </c>
      <c r="D141" s="3" t="str">
        <f>IFERROR(MID(VLOOKUP($B141,Seqs!$A:$B,2,0),E141,1),"")</f>
        <v>M</v>
      </c>
      <c r="E141" s="3">
        <v>65</v>
      </c>
      <c r="F141" s="3" t="str">
        <f>IFERROR(MID(VLOOKUP($B141,Seqs!$A:$B,2,0),G141,1),"")</f>
        <v>Y</v>
      </c>
      <c r="G141" s="3">
        <v>96</v>
      </c>
      <c r="H141" s="3" t="str">
        <f>IFERROR(MID(VLOOKUP($B141,Seqs!$A:$B,2,0),I141,1),"")</f>
        <v>T</v>
      </c>
      <c r="I141" s="23">
        <v>97</v>
      </c>
      <c r="J141" s="3" t="str">
        <f>IFERROR(MID(VLOOKUP($B141,Seqs!$A:$B,2,0),K141,1),"")</f>
        <v>K</v>
      </c>
      <c r="K141" s="23">
        <v>100</v>
      </c>
      <c r="L141" s="3" t="str">
        <f>IFERROR(MID(VLOOKUP($B141,Seqs!$A:$B,2,0),M141,1),"")</f>
        <v>T</v>
      </c>
      <c r="M141" s="3">
        <v>101</v>
      </c>
      <c r="N141" s="3" t="str">
        <f>IFERROR(MID(VLOOKUP($B141,Seqs!$A:$B,2,0),O141,1),"")</f>
        <v>M</v>
      </c>
      <c r="O141" s="3">
        <v>130</v>
      </c>
      <c r="P141" s="3" t="str">
        <f>IFERROR(MID(VLOOKUP($B141,Seqs!$A:$B,2,0),Q141,1),"")</f>
        <v>T</v>
      </c>
      <c r="Q141" s="3">
        <v>132</v>
      </c>
      <c r="R141" s="3" t="str">
        <f>IFERROR(MID(VLOOKUP($B141,Seqs!$A:$B,2,0),S141,1),"")</f>
        <v>F</v>
      </c>
      <c r="S141" s="3">
        <v>135</v>
      </c>
      <c r="T141" s="3" t="str">
        <f>IFERROR(MID(VLOOKUP($B141,Seqs!$A:$B,2,0),U141,1),"")</f>
        <v>G</v>
      </c>
      <c r="U141" s="3">
        <v>136</v>
      </c>
      <c r="V141" s="3" t="str">
        <f>IFERROR(MID(VLOOKUP($B141,Seqs!$A:$B,2,0),W141,1),"")</f>
        <v>H</v>
      </c>
      <c r="W141" s="3">
        <v>171</v>
      </c>
      <c r="X141" s="3" t="str">
        <f>IFERROR(MID(VLOOKUP($B141,Seqs!$A:$B,2,0),Y141,1),"")</f>
        <v>P</v>
      </c>
      <c r="Y141" s="3">
        <v>172</v>
      </c>
      <c r="Z141" s="3" t="str">
        <f>IFERROR(MID(VLOOKUP($B141,Seqs!$A:$B,2,0),AA141,1),"")</f>
        <v>R</v>
      </c>
      <c r="AA141" s="3">
        <v>179</v>
      </c>
      <c r="AB141" s="3" t="str">
        <f>IFERROR(MID(VLOOKUP($B141,Seqs!$A:$B,2,0),AC141,1),"")</f>
        <v>T</v>
      </c>
      <c r="AC141" s="9">
        <v>180</v>
      </c>
      <c r="AD141" s="3" t="str">
        <f>IFERROR(MID(VLOOKUP($B141,Seqs!$A:$B,2,0),AE141,1),"")</f>
        <v>A</v>
      </c>
      <c r="AE141" s="3">
        <v>206</v>
      </c>
      <c r="AF141" s="3" t="str">
        <f>IFERROR(MID(VLOOKUP($B141,Seqs!$A:$B,2,0),AG141,1),"")</f>
        <v>C</v>
      </c>
      <c r="AG141" s="3">
        <v>217</v>
      </c>
      <c r="AH141" s="3" t="str">
        <f>IFERROR(MID(VLOOKUP($B141,Seqs!$A:$B,2,0),AI141,1),"")</f>
        <v>L</v>
      </c>
      <c r="AI141" s="3">
        <v>219</v>
      </c>
      <c r="AJ141" s="3" t="str">
        <f>IFERROR(MID(VLOOKUP($B141,Seqs!$A:$B,2,0),AK141,1),"")</f>
        <v>T</v>
      </c>
      <c r="AK141" s="3">
        <v>225</v>
      </c>
      <c r="AL141" s="3" t="str">
        <f>IFERROR(MID(VLOOKUP($B141,Seqs!$A:$B,2,0),AM141,1),"")</f>
        <v>L</v>
      </c>
      <c r="AM141" s="3">
        <v>257</v>
      </c>
      <c r="AN141" s="3" t="str">
        <f>IFERROR(MID(VLOOKUP($B141,Seqs!$A:$B,2,0),AO141,1),"")</f>
        <v>N</v>
      </c>
      <c r="AO141" s="3">
        <v>274</v>
      </c>
      <c r="AP141" s="3" t="str">
        <f>IFERROR(MID(VLOOKUP($B141,Seqs!$A:$B,2,0),AQ141,1),"")</f>
        <v>I</v>
      </c>
      <c r="AQ141" s="3">
        <v>306</v>
      </c>
      <c r="AR141" s="3" t="str">
        <f>IFERROR(MID(VLOOKUP($B141,Seqs!$A:$B,2,0),AS141,1),"")</f>
        <v>T</v>
      </c>
      <c r="AS141" s="3">
        <v>311</v>
      </c>
      <c r="AT141" s="3" t="str">
        <f>IFERROR(MID(VLOOKUP($B141,Seqs!$A:$B,2,0),AU141,1),"")</f>
        <v>L</v>
      </c>
      <c r="AU141" s="3">
        <v>339</v>
      </c>
      <c r="AV141" s="3" t="str">
        <f>IFERROR(MID(VLOOKUP($B141,Seqs!$A:$B,2,0),AW141,1),"")</f>
        <v>D</v>
      </c>
      <c r="AW141" s="3">
        <v>340</v>
      </c>
      <c r="AX141" s="3" t="str">
        <f>IFERROR(MID(VLOOKUP($B141,Seqs!$A:$B,2,0),AY141,1),"")</f>
        <v>I</v>
      </c>
      <c r="AY141" s="3">
        <v>352</v>
      </c>
      <c r="AZ141" s="79" t="str">
        <f>VLOOKUP(B141,Classification!A:D,2,0)</f>
        <v>A</v>
      </c>
      <c r="BA141" s="97" t="str">
        <f>VLOOKUP(B141,Classification!A:D,4,0)</f>
        <v>Opioid</v>
      </c>
      <c r="BB141" s="27" t="b">
        <f t="shared" si="780"/>
        <v>1</v>
      </c>
      <c r="BC141" s="23">
        <f t="shared" si="641"/>
        <v>252</v>
      </c>
      <c r="BD141" s="2" t="s">
        <v>1383</v>
      </c>
      <c r="BE141" s="3" t="s">
        <v>1381</v>
      </c>
      <c r="BF141" s="124">
        <v>2.8</v>
      </c>
      <c r="BG141" s="50" t="s">
        <v>1384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642"/>
        <v>65</v>
      </c>
      <c r="BW141" s="73">
        <f t="shared" si="643"/>
        <v>97</v>
      </c>
      <c r="BX141" s="74">
        <f t="shared" si="644"/>
        <v>101</v>
      </c>
      <c r="BY141" s="73">
        <f t="shared" si="645"/>
        <v>132</v>
      </c>
      <c r="BZ141" s="74">
        <f t="shared" si="646"/>
        <v>136</v>
      </c>
      <c r="CA141" s="73">
        <f t="shared" si="647"/>
        <v>172</v>
      </c>
      <c r="CB141" s="74">
        <f t="shared" si="648"/>
        <v>180</v>
      </c>
      <c r="CC141" s="73">
        <f t="shared" si="649"/>
        <v>217</v>
      </c>
      <c r="CD141" s="74">
        <f t="shared" si="650"/>
        <v>225</v>
      </c>
      <c r="CE141" s="73">
        <f t="shared" si="651"/>
        <v>274</v>
      </c>
      <c r="CF141" s="74">
        <f t="shared" si="652"/>
        <v>311</v>
      </c>
      <c r="CG141" s="73">
        <f t="shared" si="653"/>
        <v>340</v>
      </c>
      <c r="CH141" s="72">
        <f t="shared" si="654"/>
        <v>96</v>
      </c>
      <c r="CI141" s="73">
        <f t="shared" si="655"/>
        <v>100</v>
      </c>
      <c r="CJ141" s="74">
        <f t="shared" si="656"/>
        <v>130</v>
      </c>
      <c r="CK141" s="74">
        <f t="shared" si="657"/>
        <v>135</v>
      </c>
      <c r="CL141" s="74">
        <f t="shared" si="658"/>
        <v>171</v>
      </c>
      <c r="CM141" s="74">
        <f t="shared" si="659"/>
        <v>179</v>
      </c>
      <c r="CN141" s="74">
        <f t="shared" si="660"/>
        <v>206</v>
      </c>
      <c r="CO141" s="74">
        <f t="shared" si="661"/>
        <v>219</v>
      </c>
      <c r="CP141" s="74">
        <f t="shared" si="662"/>
        <v>257</v>
      </c>
      <c r="CQ141" s="74">
        <f t="shared" si="663"/>
        <v>306</v>
      </c>
      <c r="CR141" s="74">
        <f t="shared" si="664"/>
        <v>339</v>
      </c>
      <c r="CS141" s="74">
        <f t="shared" si="665"/>
        <v>352</v>
      </c>
      <c r="CT141" s="23">
        <f t="shared" si="66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30" x14ac:dyDescent="0.2">
      <c r="A142" s="3" t="str">
        <f t="shared" si="779"/>
        <v>oprm_mouse_5C1M</v>
      </c>
      <c r="B142" s="3" t="s">
        <v>918</v>
      </c>
      <c r="C142" s="3" t="s">
        <v>84</v>
      </c>
      <c r="D142" s="3" t="str">
        <f>IFERROR(MID(VLOOKUP($B142,Seqs!$A:$B,2,0),E142,1),"")</f>
        <v>M</v>
      </c>
      <c r="E142" s="3">
        <v>65</v>
      </c>
      <c r="F142" s="3" t="str">
        <f>IFERROR(MID(VLOOKUP($B142,Seqs!$A:$B,2,0),G142,1),"")</f>
        <v>Y</v>
      </c>
      <c r="G142" s="3">
        <v>96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101</v>
      </c>
      <c r="N142" s="3" t="str">
        <f>IFERROR(MID(VLOOKUP($B142,Seqs!$A:$B,2,0),O142,1),"")</f>
        <v>M</v>
      </c>
      <c r="O142" s="3">
        <v>130</v>
      </c>
      <c r="P142" s="3" t="str">
        <f>IFERROR(MID(VLOOKUP($B142,Seqs!$A:$B,2,0),Q142,1),"")</f>
        <v>T</v>
      </c>
      <c r="Q142" s="3">
        <v>132</v>
      </c>
      <c r="R142" s="3" t="str">
        <f>IFERROR(MID(VLOOKUP($B142,Seqs!$A:$B,2,0),S142,1),"")</f>
        <v>F</v>
      </c>
      <c r="S142" s="3">
        <v>135</v>
      </c>
      <c r="T142" s="3" t="str">
        <f>IFERROR(MID(VLOOKUP($B142,Seqs!$A:$B,2,0),U142,1),"")</f>
        <v>G</v>
      </c>
      <c r="U142" s="3">
        <v>136</v>
      </c>
      <c r="V142" s="3" t="str">
        <f>IFERROR(MID(VLOOKUP($B142,Seqs!$A:$B,2,0),W142,1),"")</f>
        <v>H</v>
      </c>
      <c r="W142" s="3">
        <v>171</v>
      </c>
      <c r="X142" s="3" t="str">
        <f>IFERROR(MID(VLOOKUP($B142,Seqs!$A:$B,2,0),Y142,1),"")</f>
        <v>P</v>
      </c>
      <c r="Y142" s="3">
        <v>172</v>
      </c>
      <c r="Z142" s="3" t="str">
        <f>IFERROR(MID(VLOOKUP($B142,Seqs!$A:$B,2,0),AA142,1),"")</f>
        <v>R</v>
      </c>
      <c r="AA142" s="3">
        <v>179</v>
      </c>
      <c r="AB142" s="3" t="str">
        <f>IFERROR(MID(VLOOKUP($B142,Seqs!$A:$B,2,0),AC142,1),"")</f>
        <v>T</v>
      </c>
      <c r="AC142" s="9">
        <v>180</v>
      </c>
      <c r="AD142" s="3" t="str">
        <f>IFERROR(MID(VLOOKUP($B142,Seqs!$A:$B,2,0),AE142,1),"")</f>
        <v>A</v>
      </c>
      <c r="AE142" s="3">
        <v>206</v>
      </c>
      <c r="AF142" s="3" t="str">
        <f>IFERROR(MID(VLOOKUP($B142,Seqs!$A:$B,2,0),AG142,1),"")</f>
        <v>C</v>
      </c>
      <c r="AG142" s="3">
        <v>217</v>
      </c>
      <c r="AH142" s="3" t="str">
        <f>IFERROR(MID(VLOOKUP($B142,Seqs!$A:$B,2,0),AI142,1),"")</f>
        <v>L</v>
      </c>
      <c r="AI142" s="3">
        <v>219</v>
      </c>
      <c r="AJ142" s="3" t="str">
        <f>IFERROR(MID(VLOOKUP($B142,Seqs!$A:$B,2,0),AK142,1),"")</f>
        <v>T</v>
      </c>
      <c r="AK142" s="3">
        <v>225</v>
      </c>
      <c r="AL142" s="3" t="str">
        <f>IFERROR(MID(VLOOKUP($B142,Seqs!$A:$B,2,0),AM142,1),"")</f>
        <v>V</v>
      </c>
      <c r="AM142" s="3">
        <v>262</v>
      </c>
      <c r="AN142" s="3" t="str">
        <f>IFERROR(MID(VLOOKUP($B142,Seqs!$A:$B,2,0),AO142,1),"")</f>
        <v>S</v>
      </c>
      <c r="AO142" s="3">
        <v>268</v>
      </c>
      <c r="AP142" s="3" t="str">
        <f>IFERROR(MID(VLOOKUP($B142,Seqs!$A:$B,2,0),AQ142,1),"")</f>
        <v>I</v>
      </c>
      <c r="AQ142" s="3">
        <v>306</v>
      </c>
      <c r="AR142" s="3" t="str">
        <f>IFERROR(MID(VLOOKUP($B142,Seqs!$A:$B,2,0),AS142,1),"")</f>
        <v>T</v>
      </c>
      <c r="AS142" s="3">
        <v>311</v>
      </c>
      <c r="AT142" s="3" t="str">
        <f>IFERROR(MID(VLOOKUP($B142,Seqs!$A:$B,2,0),AU142,1),"")</f>
        <v>P</v>
      </c>
      <c r="AU142" s="3">
        <v>333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9" t="str">
        <f>VLOOKUP(B142,Classification!A:D,2,0)</f>
        <v>A</v>
      </c>
      <c r="BA142" s="97" t="str">
        <f>VLOOKUP(B142,Classification!A:D,4,0)</f>
        <v>Opioid</v>
      </c>
      <c r="BB142" s="27" t="b">
        <f t="shared" si="780"/>
        <v>1</v>
      </c>
      <c r="BC142" s="23">
        <f t="shared" si="641"/>
        <v>242</v>
      </c>
      <c r="BD142" s="5" t="s">
        <v>1382</v>
      </c>
      <c r="BE142" s="3" t="s">
        <v>1297</v>
      </c>
      <c r="BF142" s="124">
        <v>2.1</v>
      </c>
      <c r="BG142" s="50" t="s">
        <v>1384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si="642"/>
        <v>65</v>
      </c>
      <c r="BW142" s="73" t="str">
        <f t="shared" si="643"/>
        <v>-</v>
      </c>
      <c r="BX142" s="74">
        <f t="shared" si="644"/>
        <v>101</v>
      </c>
      <c r="BY142" s="73">
        <f t="shared" si="645"/>
        <v>132</v>
      </c>
      <c r="BZ142" s="74">
        <f t="shared" si="646"/>
        <v>136</v>
      </c>
      <c r="CA142" s="73">
        <f t="shared" si="647"/>
        <v>172</v>
      </c>
      <c r="CB142" s="74">
        <f t="shared" si="648"/>
        <v>180</v>
      </c>
      <c r="CC142" s="73">
        <f t="shared" si="649"/>
        <v>217</v>
      </c>
      <c r="CD142" s="74">
        <f t="shared" si="650"/>
        <v>225</v>
      </c>
      <c r="CE142" s="73">
        <f t="shared" si="651"/>
        <v>268</v>
      </c>
      <c r="CF142" s="74">
        <f t="shared" si="652"/>
        <v>311</v>
      </c>
      <c r="CG142" s="73" t="str">
        <f t="shared" si="653"/>
        <v>-</v>
      </c>
      <c r="CH142" s="72">
        <f t="shared" si="654"/>
        <v>96</v>
      </c>
      <c r="CI142" s="73" t="str">
        <f t="shared" si="655"/>
        <v>-</v>
      </c>
      <c r="CJ142" s="74">
        <f t="shared" si="656"/>
        <v>130</v>
      </c>
      <c r="CK142" s="74">
        <f t="shared" si="657"/>
        <v>135</v>
      </c>
      <c r="CL142" s="74">
        <f t="shared" si="658"/>
        <v>171</v>
      </c>
      <c r="CM142" s="74">
        <f t="shared" si="659"/>
        <v>179</v>
      </c>
      <c r="CN142" s="74">
        <f t="shared" si="660"/>
        <v>206</v>
      </c>
      <c r="CO142" s="74">
        <f t="shared" si="661"/>
        <v>219</v>
      </c>
      <c r="CP142" s="74">
        <f t="shared" si="662"/>
        <v>262</v>
      </c>
      <c r="CQ142" s="74">
        <f t="shared" si="663"/>
        <v>306</v>
      </c>
      <c r="CR142" s="74">
        <f t="shared" si="664"/>
        <v>333</v>
      </c>
      <c r="CS142" s="74" t="str">
        <f t="shared" si="665"/>
        <v>-</v>
      </c>
      <c r="CT142" s="23" t="e">
        <f t="shared" si="666"/>
        <v>#VALUE!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30" x14ac:dyDescent="0.2">
      <c r="A143" s="3" t="str">
        <f t="shared" si="779"/>
        <v>oprx_human__wt</v>
      </c>
      <c r="B143" s="3" t="s">
        <v>1174</v>
      </c>
      <c r="C143" s="3" t="s">
        <v>100</v>
      </c>
      <c r="D143" s="3" t="str">
        <f>IFERROR(MID(VLOOKUP($B143,Seqs!$A:$B,2,0),E143,1),"")</f>
        <v>L</v>
      </c>
      <c r="E143" s="3">
        <v>48</v>
      </c>
      <c r="F143" s="3" t="str">
        <f>IFERROR(MID(VLOOKUP($B143,Seqs!$A:$B,2,0),G143,1),"")</f>
        <v>H</v>
      </c>
      <c r="G143" s="3">
        <v>79</v>
      </c>
      <c r="H143" s="3" t="str">
        <f>IFERROR(MID(VLOOKUP($B143,Seqs!$A:$B,2,0),I143,1),"")</f>
        <v>T</v>
      </c>
      <c r="I143" s="23">
        <v>80</v>
      </c>
      <c r="J143" s="3" t="str">
        <f>IFERROR(MID(VLOOKUP($B143,Seqs!$A:$B,2,0),K143,1),"")</f>
        <v>K</v>
      </c>
      <c r="K143" s="23">
        <v>83</v>
      </c>
      <c r="L143" s="3" t="str">
        <f>IFERROR(MID(VLOOKUP($B143,Seqs!$A:$B,2,0),M143,1),"")</f>
        <v>T</v>
      </c>
      <c r="M143" s="3">
        <v>84</v>
      </c>
      <c r="N143" s="3" t="str">
        <f>IFERROR(MID(VLOOKUP($B143,Seqs!$A:$B,2,0),O143,1),"")</f>
        <v>L</v>
      </c>
      <c r="O143" s="3">
        <v>113</v>
      </c>
      <c r="P143" s="3" t="str">
        <f>IFERROR(MID(VLOOKUP($B143,Seqs!$A:$B,2,0),Q143,1),"")</f>
        <v>F</v>
      </c>
      <c r="Q143" s="3">
        <v>115</v>
      </c>
      <c r="R143" s="3" t="str">
        <f>IFERROR(MID(VLOOKUP($B143,Seqs!$A:$B,2,0),S143,1),"")</f>
        <v>F</v>
      </c>
      <c r="S143" s="3">
        <v>118</v>
      </c>
      <c r="T143" s="3" t="str">
        <f>IFERROR(MID(VLOOKUP($B143,Seqs!$A:$B,2,0),U143,1),"")</f>
        <v>G</v>
      </c>
      <c r="U143" s="3">
        <v>119</v>
      </c>
      <c r="V143" s="3" t="str">
        <f>IFERROR(MID(VLOOKUP($B143,Seqs!$A:$B,2,0),W143,1),"")</f>
        <v>H</v>
      </c>
      <c r="W143" s="3">
        <v>154</v>
      </c>
      <c r="X143" s="3" t="str">
        <f>IFERROR(MID(VLOOKUP($B143,Seqs!$A:$B,2,0),Y143,1),"")</f>
        <v>P</v>
      </c>
      <c r="Y143" s="3">
        <v>155</v>
      </c>
      <c r="Z143" s="3" t="str">
        <f>IFERROR(MID(VLOOKUP($B143,Seqs!$A:$B,2,0),AA143,1),"")</f>
        <v>R</v>
      </c>
      <c r="AA143" s="3">
        <v>162</v>
      </c>
      <c r="AB143" s="3" t="str">
        <f>IFERROR(MID(VLOOKUP($B143,Seqs!$A:$B,2,0),AC143,1),"")</f>
        <v>T</v>
      </c>
      <c r="AC143" s="9">
        <v>163</v>
      </c>
      <c r="AD143" s="3" t="str">
        <f>IFERROR(MID(VLOOKUP($B143,Seqs!$A:$B,2,0),AE143,1),"")</f>
        <v>G</v>
      </c>
      <c r="AE143" s="3">
        <v>189</v>
      </c>
      <c r="AF143" s="3" t="str">
        <f>IFERROR(MID(VLOOKUP($B143,Seqs!$A:$B,2,0),AG143,1),"")</f>
        <v>C</v>
      </c>
      <c r="AG143" s="3">
        <v>200</v>
      </c>
      <c r="AH143" s="3" t="str">
        <f>IFERROR(MID(VLOOKUP($B143,Seqs!$A:$B,2,0),AI143,1),"")</f>
        <v>V</v>
      </c>
      <c r="AI143" s="3">
        <v>202</v>
      </c>
      <c r="AJ143" s="3" t="str">
        <f>IFERROR(MID(VLOOKUP($B143,Seqs!$A:$B,2,0),AK143,1),"")</f>
        <v>Q</v>
      </c>
      <c r="AK143" s="3">
        <v>208</v>
      </c>
      <c r="AL143" s="3" t="str">
        <f>IFERROR(MID(VLOOKUP($B143,Seqs!$A:$B,2,0),AM143,1),"")</f>
        <v>V</v>
      </c>
      <c r="AM143" s="3">
        <v>245</v>
      </c>
      <c r="AN143" s="3" t="str">
        <f>IFERROR(MID(VLOOKUP($B143,Seqs!$A:$B,2,0),AO143,1),"")</f>
        <v>S</v>
      </c>
      <c r="AO143" s="3">
        <v>251</v>
      </c>
      <c r="AP143" s="3" t="str">
        <f>IFERROR(MID(VLOOKUP($B143,Seqs!$A:$B,2,0),AQ143,1),"")</f>
        <v>G</v>
      </c>
      <c r="AQ143" s="3">
        <v>289</v>
      </c>
      <c r="AR143" s="3" t="str">
        <f>IFERROR(MID(VLOOKUP($B143,Seqs!$A:$B,2,0),AS143,1),"")</f>
        <v>S</v>
      </c>
      <c r="AS143" s="3">
        <v>294</v>
      </c>
      <c r="AT143" s="3" t="str">
        <f>IFERROR(MID(VLOOKUP($B143,Seqs!$A:$B,2,0),AU143,1),"")</f>
        <v>L</v>
      </c>
      <c r="AU143" s="3">
        <v>322</v>
      </c>
      <c r="AV143" s="3" t="str">
        <f>IFERROR(MID(VLOOKUP($B143,Seqs!$A:$B,2,0),AW143,1),"")</f>
        <v>D</v>
      </c>
      <c r="AW143" s="3">
        <v>323</v>
      </c>
      <c r="AX143" s="3" t="str">
        <f>IFERROR(MID(VLOOKUP($B143,Seqs!$A:$B,2,0),AY143,1),"")</f>
        <v>C</v>
      </c>
      <c r="AY143" s="3">
        <v>335</v>
      </c>
      <c r="AZ143" s="79" t="str">
        <f>VLOOKUP(B143,Classification!A:D,2,0)</f>
        <v>A</v>
      </c>
      <c r="BA143" s="97" t="str">
        <f>VLOOKUP(B143,Classification!A:D,4,0)</f>
        <v>Opioid</v>
      </c>
      <c r="BB143" s="27" t="b">
        <f t="shared" si="780"/>
        <v>1</v>
      </c>
      <c r="BC143" s="23">
        <f t="shared" si="641"/>
        <v>263</v>
      </c>
      <c r="BD143" s="57" t="s">
        <v>1379</v>
      </c>
      <c r="BE143" s="3" t="s">
        <v>23</v>
      </c>
      <c r="BF143" s="124" t="s">
        <v>23</v>
      </c>
      <c r="BG143" s="50" t="s">
        <v>1379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 t="shared" si="642"/>
        <v>48</v>
      </c>
      <c r="BW143" s="73">
        <f t="shared" si="643"/>
        <v>80</v>
      </c>
      <c r="BX143" s="74">
        <f t="shared" si="644"/>
        <v>84</v>
      </c>
      <c r="BY143" s="73">
        <f t="shared" si="645"/>
        <v>115</v>
      </c>
      <c r="BZ143" s="74">
        <f t="shared" si="646"/>
        <v>119</v>
      </c>
      <c r="CA143" s="73">
        <f t="shared" si="647"/>
        <v>155</v>
      </c>
      <c r="CB143" s="74">
        <f t="shared" si="648"/>
        <v>163</v>
      </c>
      <c r="CC143" s="73">
        <f t="shared" si="649"/>
        <v>200</v>
      </c>
      <c r="CD143" s="74">
        <f t="shared" si="650"/>
        <v>208</v>
      </c>
      <c r="CE143" s="73">
        <f t="shared" si="651"/>
        <v>251</v>
      </c>
      <c r="CF143" s="74">
        <f t="shared" si="652"/>
        <v>294</v>
      </c>
      <c r="CG143" s="73">
        <f t="shared" si="653"/>
        <v>323</v>
      </c>
      <c r="CH143" s="72">
        <f t="shared" si="654"/>
        <v>79</v>
      </c>
      <c r="CI143" s="73">
        <f t="shared" si="655"/>
        <v>83</v>
      </c>
      <c r="CJ143" s="74">
        <f t="shared" si="656"/>
        <v>113</v>
      </c>
      <c r="CK143" s="74">
        <f t="shared" si="657"/>
        <v>118</v>
      </c>
      <c r="CL143" s="74">
        <f t="shared" si="658"/>
        <v>154</v>
      </c>
      <c r="CM143" s="74">
        <f t="shared" si="659"/>
        <v>162</v>
      </c>
      <c r="CN143" s="74">
        <f t="shared" si="660"/>
        <v>189</v>
      </c>
      <c r="CO143" s="74">
        <f t="shared" si="661"/>
        <v>202</v>
      </c>
      <c r="CP143" s="74">
        <f t="shared" si="662"/>
        <v>245</v>
      </c>
      <c r="CQ143" s="74">
        <f t="shared" si="663"/>
        <v>289</v>
      </c>
      <c r="CR143" s="74">
        <f t="shared" si="664"/>
        <v>322</v>
      </c>
      <c r="CS143" s="74">
        <f t="shared" si="665"/>
        <v>335</v>
      </c>
      <c r="CT143" s="23">
        <f t="shared" si="66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779"/>
        <v>oprx_human_4EA3</v>
      </c>
      <c r="B144" s="3" t="s">
        <v>1174</v>
      </c>
      <c r="C144" s="3" t="s">
        <v>67</v>
      </c>
      <c r="D144" s="3" t="str">
        <f>IFERROR(MID(VLOOKUP($B144,Seqs!$A:$B,2,0),E144,1),"")</f>
        <v>L</v>
      </c>
      <c r="E144" s="3">
        <v>48</v>
      </c>
      <c r="F144" s="3" t="str">
        <f>IFERROR(MID(VLOOKUP($B144,Seqs!$A:$B,2,0),G144,1),"")</f>
        <v>H</v>
      </c>
      <c r="G144" s="3">
        <v>79</v>
      </c>
      <c r="H144" s="3" t="str">
        <f>IFERROR(MID(VLOOKUP($B144,Seqs!$A:$B,2,0),I144,1),"")</f>
        <v/>
      </c>
      <c r="I144" s="23" t="s">
        <v>23</v>
      </c>
      <c r="J144" s="3" t="str">
        <f>IFERROR(MID(VLOOKUP($B144,Seqs!$A:$B,2,0),K144,1),"")</f>
        <v/>
      </c>
      <c r="K144" s="23" t="s">
        <v>23</v>
      </c>
      <c r="L144" s="3" t="str">
        <f>IFERROR(MID(VLOOKUP($B144,Seqs!$A:$B,2,0),M144,1),"")</f>
        <v>T</v>
      </c>
      <c r="M144" s="3">
        <v>84</v>
      </c>
      <c r="N144" s="3" t="str">
        <f>IFERROR(MID(VLOOKUP($B144,Seqs!$A:$B,2,0),O144,1),"")</f>
        <v>L</v>
      </c>
      <c r="O144" s="3">
        <v>113</v>
      </c>
      <c r="P144" s="3" t="str">
        <f>IFERROR(MID(VLOOKUP($B144,Seqs!$A:$B,2,0),Q144,1),"")</f>
        <v>F</v>
      </c>
      <c r="Q144" s="3">
        <v>115</v>
      </c>
      <c r="R144" s="3" t="str">
        <f>IFERROR(MID(VLOOKUP($B144,Seqs!$A:$B,2,0),S144,1),"")</f>
        <v>F</v>
      </c>
      <c r="S144" s="3">
        <v>118</v>
      </c>
      <c r="T144" s="3" t="str">
        <f>IFERROR(MID(VLOOKUP($B144,Seqs!$A:$B,2,0),U144,1),"")</f>
        <v>G</v>
      </c>
      <c r="U144" s="3">
        <v>119</v>
      </c>
      <c r="V144" s="3" t="str">
        <f>IFERROR(MID(VLOOKUP($B144,Seqs!$A:$B,2,0),W144,1),"")</f>
        <v>H</v>
      </c>
      <c r="W144" s="3">
        <v>154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163</v>
      </c>
      <c r="AD144" s="3" t="str">
        <f>IFERROR(MID(VLOOKUP($B144,Seqs!$A:$B,2,0),AE144,1),"")</f>
        <v>G</v>
      </c>
      <c r="AE144" s="3">
        <v>189</v>
      </c>
      <c r="AF144" s="3" t="str">
        <f>IFERROR(MID(VLOOKUP($B144,Seqs!$A:$B,2,0),AG144,1),"")</f>
        <v>C</v>
      </c>
      <c r="AG144" s="3">
        <v>200</v>
      </c>
      <c r="AH144" s="3" t="str">
        <f>IFERROR(MID(VLOOKUP($B144,Seqs!$A:$B,2,0),AI144,1),"")</f>
        <v>V</v>
      </c>
      <c r="AI144" s="3">
        <v>202</v>
      </c>
      <c r="AJ144" s="3" t="str">
        <f>IFERROR(MID(VLOOKUP($B144,Seqs!$A:$B,2,0),AK144,1),"")</f>
        <v>Q</v>
      </c>
      <c r="AK144" s="3">
        <v>208</v>
      </c>
      <c r="AL144" s="3" t="str">
        <f>IFERROR(MID(VLOOKUP($B144,Seqs!$A:$B,2,0),AM144,1),"")</f>
        <v>L</v>
      </c>
      <c r="AM144" s="3">
        <v>242</v>
      </c>
      <c r="AN144" s="3" t="str">
        <f>IFERROR(MID(VLOOKUP($B144,Seqs!$A:$B,2,0),AO144,1),"")</f>
        <v>S</v>
      </c>
      <c r="AO144" s="3">
        <v>251</v>
      </c>
      <c r="AP144" s="3" t="str">
        <f>IFERROR(MID(VLOOKUP($B144,Seqs!$A:$B,2,0),AQ144,1),"")</f>
        <v>G</v>
      </c>
      <c r="AQ144" s="3">
        <v>289</v>
      </c>
      <c r="AR144" s="3" t="str">
        <f>IFERROR(MID(VLOOKUP($B144,Seqs!$A:$B,2,0),AS144,1),"")</f>
        <v>S</v>
      </c>
      <c r="AS144" s="3">
        <v>294</v>
      </c>
      <c r="AT144" s="3" t="str">
        <f>IFERROR(MID(VLOOKUP($B144,Seqs!$A:$B,2,0),AU144,1),"")</f>
        <v>L</v>
      </c>
      <c r="AU144" s="3">
        <v>322</v>
      </c>
      <c r="AV144" s="3" t="str">
        <f>IFERROR(MID(VLOOKUP($B144,Seqs!$A:$B,2,0),AW144,1),"")</f>
        <v>D</v>
      </c>
      <c r="AW144" s="3">
        <v>323</v>
      </c>
      <c r="AX144" s="3" t="str">
        <f>IFERROR(MID(VLOOKUP($B144,Seqs!$A:$B,2,0),AY144,1),"")</f>
        <v>R</v>
      </c>
      <c r="AY144" s="3">
        <v>331</v>
      </c>
      <c r="AZ144" s="79" t="str">
        <f>VLOOKUP(B144,Classification!A:D,2,0)</f>
        <v>A</v>
      </c>
      <c r="BA144" s="97" t="str">
        <f>VLOOKUP(B144,Classification!A:D,4,0)</f>
        <v>Opioid</v>
      </c>
      <c r="BB144" s="27" t="b">
        <f t="shared" si="780"/>
        <v>1</v>
      </c>
      <c r="BC144" s="23">
        <f t="shared" si="641"/>
        <v>246</v>
      </c>
      <c r="BD144" s="5" t="s">
        <v>23</v>
      </c>
      <c r="BE144" s="3" t="s">
        <v>1381</v>
      </c>
      <c r="BF144" s="124">
        <v>3.01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 t="shared" si="642"/>
        <v>48</v>
      </c>
      <c r="BW144" s="73" t="str">
        <f t="shared" si="643"/>
        <v>-</v>
      </c>
      <c r="BX144" s="74">
        <f t="shared" si="644"/>
        <v>84</v>
      </c>
      <c r="BY144" s="73">
        <f t="shared" si="645"/>
        <v>115</v>
      </c>
      <c r="BZ144" s="74">
        <f t="shared" si="646"/>
        <v>119</v>
      </c>
      <c r="CA144" s="73" t="str">
        <f t="shared" si="647"/>
        <v>-</v>
      </c>
      <c r="CB144" s="74">
        <f t="shared" si="648"/>
        <v>163</v>
      </c>
      <c r="CC144" s="73">
        <f t="shared" si="649"/>
        <v>200</v>
      </c>
      <c r="CD144" s="74">
        <f t="shared" si="650"/>
        <v>208</v>
      </c>
      <c r="CE144" s="73">
        <f t="shared" si="651"/>
        <v>251</v>
      </c>
      <c r="CF144" s="74">
        <f t="shared" si="652"/>
        <v>294</v>
      </c>
      <c r="CG144" s="73">
        <f t="shared" si="653"/>
        <v>323</v>
      </c>
      <c r="CH144" s="72">
        <f t="shared" si="654"/>
        <v>79</v>
      </c>
      <c r="CI144" s="73" t="str">
        <f t="shared" si="655"/>
        <v>-</v>
      </c>
      <c r="CJ144" s="74">
        <f t="shared" si="656"/>
        <v>113</v>
      </c>
      <c r="CK144" s="74">
        <f t="shared" si="657"/>
        <v>118</v>
      </c>
      <c r="CL144" s="74">
        <f t="shared" si="658"/>
        <v>154</v>
      </c>
      <c r="CM144" s="74" t="str">
        <f t="shared" si="659"/>
        <v>-</v>
      </c>
      <c r="CN144" s="74">
        <f t="shared" si="660"/>
        <v>189</v>
      </c>
      <c r="CO144" s="74">
        <f t="shared" si="661"/>
        <v>202</v>
      </c>
      <c r="CP144" s="74">
        <f t="shared" si="662"/>
        <v>242</v>
      </c>
      <c r="CQ144" s="74">
        <f t="shared" si="663"/>
        <v>289</v>
      </c>
      <c r="CR144" s="74">
        <f t="shared" si="664"/>
        <v>322</v>
      </c>
      <c r="CS144" s="74">
        <f t="shared" si="665"/>
        <v>331</v>
      </c>
      <c r="CT144" s="23" t="e">
        <f t="shared" si="666"/>
        <v>#VALUE!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779"/>
        <v>oprx_human_5DHG</v>
      </c>
      <c r="B145" s="3" t="s">
        <v>1174</v>
      </c>
      <c r="C145" s="3" t="s">
        <v>1361</v>
      </c>
      <c r="D145" s="3" t="str">
        <f>IFERROR(MID(VLOOKUP($B145,Seqs!$A:$B,2,0),E145,1),"")</f>
        <v>L</v>
      </c>
      <c r="E145" s="3">
        <v>48</v>
      </c>
      <c r="F145" s="3" t="str">
        <f>IFERROR(MID(VLOOKUP($B145,Seqs!$A:$B,2,0),G145,1),"")</f>
        <v>H</v>
      </c>
      <c r="G145" s="3">
        <v>79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84</v>
      </c>
      <c r="N145" s="3" t="str">
        <f>IFERROR(MID(VLOOKUP($B145,Seqs!$A:$B,2,0),O145,1),"")</f>
        <v>L</v>
      </c>
      <c r="O145" s="3">
        <v>113</v>
      </c>
      <c r="P145" s="3" t="str">
        <f>IFERROR(MID(VLOOKUP($B145,Seqs!$A:$B,2,0),Q145,1),"")</f>
        <v>F</v>
      </c>
      <c r="Q145" s="3">
        <v>115</v>
      </c>
      <c r="R145" s="3" t="str">
        <f>IFERROR(MID(VLOOKUP($B145,Seqs!$A:$B,2,0),S145,1),"")</f>
        <v>F</v>
      </c>
      <c r="S145" s="3">
        <v>118</v>
      </c>
      <c r="T145" s="3" t="str">
        <f>IFERROR(MID(VLOOKUP($B145,Seqs!$A:$B,2,0),U145,1),"")</f>
        <v>G</v>
      </c>
      <c r="U145" s="3">
        <v>119</v>
      </c>
      <c r="V145" s="3" t="str">
        <f>IFERROR(MID(VLOOKUP($B145,Seqs!$A:$B,2,0),W145,1),"")</f>
        <v>H</v>
      </c>
      <c r="W145" s="3">
        <v>154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163</v>
      </c>
      <c r="AD145" s="3" t="str">
        <f>IFERROR(MID(VLOOKUP($B145,Seqs!$A:$B,2,0),AE145,1),"")</f>
        <v>G</v>
      </c>
      <c r="AE145" s="3">
        <v>189</v>
      </c>
      <c r="AF145" s="3" t="str">
        <f>IFERROR(MID(VLOOKUP($B145,Seqs!$A:$B,2,0),AG145,1),"")</f>
        <v>C</v>
      </c>
      <c r="AG145" s="3">
        <v>200</v>
      </c>
      <c r="AH145" s="3" t="str">
        <f>IFERROR(MID(VLOOKUP($B145,Seqs!$A:$B,2,0),AI145,1),"")</f>
        <v>V</v>
      </c>
      <c r="AI145" s="3">
        <v>202</v>
      </c>
      <c r="AJ145" s="3" t="str">
        <f>IFERROR(MID(VLOOKUP($B145,Seqs!$A:$B,2,0),AK145,1),"")</f>
        <v>Q</v>
      </c>
      <c r="AK145" s="3">
        <v>208</v>
      </c>
      <c r="AL145" s="3" t="str">
        <f>IFERROR(MID(VLOOKUP($B145,Seqs!$A:$B,2,0),AM145,1),"")</f>
        <v>L</v>
      </c>
      <c r="AM145" s="3">
        <v>242</v>
      </c>
      <c r="AN145" s="3" t="str">
        <f>IFERROR(MID(VLOOKUP($B145,Seqs!$A:$B,2,0),AO145,1),"")</f>
        <v>S</v>
      </c>
      <c r="AO145" s="3">
        <v>251</v>
      </c>
      <c r="AP145" s="3" t="str">
        <f>IFERROR(MID(VLOOKUP($B145,Seqs!$A:$B,2,0),AQ145,1),"")</f>
        <v>G</v>
      </c>
      <c r="AQ145" s="3">
        <v>289</v>
      </c>
      <c r="AR145" s="3" t="str">
        <f>IFERROR(MID(VLOOKUP($B145,Seqs!$A:$B,2,0),AS145,1),"")</f>
        <v>S</v>
      </c>
      <c r="AS145" s="3">
        <v>294</v>
      </c>
      <c r="AT145" s="3" t="str">
        <f>IFERROR(MID(VLOOKUP($B145,Seqs!$A:$B,2,0),AU145,1),"")</f>
        <v>L</v>
      </c>
      <c r="AU145" s="3">
        <v>322</v>
      </c>
      <c r="AV145" s="3" t="str">
        <f>IFERROR(MID(VLOOKUP($B145,Seqs!$A:$B,2,0),AW145,1),"")</f>
        <v>D</v>
      </c>
      <c r="AW145" s="3">
        <v>323</v>
      </c>
      <c r="AX145" s="3" t="str">
        <f>IFERROR(MID(VLOOKUP($B145,Seqs!$A:$B,2,0),AY145,1),"")</f>
        <v>F</v>
      </c>
      <c r="AY145" s="3">
        <v>333</v>
      </c>
      <c r="AZ145" s="79" t="str">
        <f>VLOOKUP(B145,Classification!A:D,2,0)</f>
        <v>A</v>
      </c>
      <c r="BA145" s="97" t="str">
        <f>VLOOKUP(B145,Classification!A:D,4,0)</f>
        <v>Opioid</v>
      </c>
      <c r="BB145" s="27" t="b">
        <f t="shared" si="780"/>
        <v>1</v>
      </c>
      <c r="BC145" s="23">
        <f t="shared" si="641"/>
        <v>248</v>
      </c>
      <c r="BD145" s="16" t="s">
        <v>1383</v>
      </c>
      <c r="BE145" s="3" t="s">
        <v>1381</v>
      </c>
      <c r="BF145" s="124">
        <v>3</v>
      </c>
      <c r="BG145" s="50" t="s">
        <v>1287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 t="shared" si="642"/>
        <v>48</v>
      </c>
      <c r="BW145" s="73" t="str">
        <f t="shared" si="643"/>
        <v>-</v>
      </c>
      <c r="BX145" s="74">
        <f t="shared" si="644"/>
        <v>84</v>
      </c>
      <c r="BY145" s="73">
        <f t="shared" si="645"/>
        <v>115</v>
      </c>
      <c r="BZ145" s="74">
        <f t="shared" si="646"/>
        <v>119</v>
      </c>
      <c r="CA145" s="73" t="str">
        <f t="shared" si="647"/>
        <v>-</v>
      </c>
      <c r="CB145" s="74">
        <f t="shared" si="648"/>
        <v>163</v>
      </c>
      <c r="CC145" s="73">
        <f t="shared" si="649"/>
        <v>200</v>
      </c>
      <c r="CD145" s="74">
        <f t="shared" si="650"/>
        <v>208</v>
      </c>
      <c r="CE145" s="73">
        <f t="shared" si="651"/>
        <v>251</v>
      </c>
      <c r="CF145" s="74">
        <f t="shared" si="652"/>
        <v>294</v>
      </c>
      <c r="CG145" s="73">
        <f t="shared" si="653"/>
        <v>323</v>
      </c>
      <c r="CH145" s="72">
        <f t="shared" si="654"/>
        <v>79</v>
      </c>
      <c r="CI145" s="73" t="str">
        <f t="shared" si="655"/>
        <v>-</v>
      </c>
      <c r="CJ145" s="74">
        <f t="shared" si="656"/>
        <v>113</v>
      </c>
      <c r="CK145" s="74">
        <f t="shared" si="657"/>
        <v>118</v>
      </c>
      <c r="CL145" s="74">
        <f t="shared" si="658"/>
        <v>154</v>
      </c>
      <c r="CM145" s="74" t="str">
        <f t="shared" si="659"/>
        <v>-</v>
      </c>
      <c r="CN145" s="74">
        <f t="shared" si="660"/>
        <v>189</v>
      </c>
      <c r="CO145" s="74">
        <f t="shared" si="661"/>
        <v>202</v>
      </c>
      <c r="CP145" s="74">
        <f t="shared" si="662"/>
        <v>242</v>
      </c>
      <c r="CQ145" s="74">
        <f t="shared" si="663"/>
        <v>289</v>
      </c>
      <c r="CR145" s="74">
        <f t="shared" si="664"/>
        <v>322</v>
      </c>
      <c r="CS145" s="74">
        <f t="shared" si="665"/>
        <v>333</v>
      </c>
      <c r="CT145" s="23" t="e">
        <f t="shared" si="666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779"/>
        <v>oprx_human_5DHH</v>
      </c>
      <c r="B146" s="3" t="s">
        <v>1174</v>
      </c>
      <c r="C146" s="3" t="s">
        <v>1362</v>
      </c>
      <c r="D146" s="3" t="str">
        <f>IFERROR(MID(VLOOKUP($B146,Seqs!$A:$B,2,0),E146,1),"")</f>
        <v>L</v>
      </c>
      <c r="E146" s="3">
        <v>48</v>
      </c>
      <c r="F146" s="3" t="str">
        <f>IFERROR(MID(VLOOKUP($B146,Seqs!$A:$B,2,0),G146,1),"")</f>
        <v>H</v>
      </c>
      <c r="G146" s="3">
        <v>79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84</v>
      </c>
      <c r="N146" s="3" t="str">
        <f>IFERROR(MID(VLOOKUP($B146,Seqs!$A:$B,2,0),O146,1),"")</f>
        <v>L</v>
      </c>
      <c r="O146" s="3">
        <v>113</v>
      </c>
      <c r="P146" s="3" t="str">
        <f>IFERROR(MID(VLOOKUP($B146,Seqs!$A:$B,2,0),Q146,1),"")</f>
        <v>F</v>
      </c>
      <c r="Q146" s="3">
        <v>115</v>
      </c>
      <c r="R146" s="3" t="str">
        <f>IFERROR(MID(VLOOKUP($B146,Seqs!$A:$B,2,0),S146,1),"")</f>
        <v>F</v>
      </c>
      <c r="S146" s="3">
        <v>118</v>
      </c>
      <c r="T146" s="3" t="str">
        <f>IFERROR(MID(VLOOKUP($B146,Seqs!$A:$B,2,0),U146,1),"")</f>
        <v>G</v>
      </c>
      <c r="U146" s="3">
        <v>119</v>
      </c>
      <c r="V146" s="3" t="str">
        <f>IFERROR(MID(VLOOKUP($B146,Seqs!$A:$B,2,0),W146,1),"")</f>
        <v>H</v>
      </c>
      <c r="W146" s="3">
        <v>154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9">
        <v>163</v>
      </c>
      <c r="AD146" s="3" t="str">
        <f>IFERROR(MID(VLOOKUP($B146,Seqs!$A:$B,2,0),AE146,1),"")</f>
        <v>G</v>
      </c>
      <c r="AE146" s="3">
        <v>189</v>
      </c>
      <c r="AF146" s="3" t="str">
        <f>IFERROR(MID(VLOOKUP($B146,Seqs!$A:$B,2,0),AG146,1),"")</f>
        <v>C</v>
      </c>
      <c r="AG146" s="3">
        <v>200</v>
      </c>
      <c r="AH146" s="3" t="str">
        <f>IFERROR(MID(VLOOKUP($B146,Seqs!$A:$B,2,0),AI146,1),"")</f>
        <v>V</v>
      </c>
      <c r="AI146" s="3">
        <v>202</v>
      </c>
      <c r="AJ146" s="3" t="str">
        <f>IFERROR(MID(VLOOKUP($B146,Seqs!$A:$B,2,0),AK146,1),"")</f>
        <v>Q</v>
      </c>
      <c r="AK146" s="3">
        <v>208</v>
      </c>
      <c r="AL146" s="3" t="str">
        <f>IFERROR(MID(VLOOKUP($B146,Seqs!$A:$B,2,0),AM146,1),"")</f>
        <v>L</v>
      </c>
      <c r="AM146" s="3">
        <v>242</v>
      </c>
      <c r="AN146" s="3" t="str">
        <f>IFERROR(MID(VLOOKUP($B146,Seqs!$A:$B,2,0),AO146,1),"")</f>
        <v>S</v>
      </c>
      <c r="AO146" s="3">
        <v>251</v>
      </c>
      <c r="AP146" s="3" t="str">
        <f>IFERROR(MID(VLOOKUP($B146,Seqs!$A:$B,2,0),AQ146,1),"")</f>
        <v>G</v>
      </c>
      <c r="AQ146" s="3">
        <v>289</v>
      </c>
      <c r="AR146" s="3" t="str">
        <f>IFERROR(MID(VLOOKUP($B146,Seqs!$A:$B,2,0),AS146,1),"")</f>
        <v>S</v>
      </c>
      <c r="AS146" s="3">
        <v>294</v>
      </c>
      <c r="AT146" s="3" t="str">
        <f>IFERROR(MID(VLOOKUP($B146,Seqs!$A:$B,2,0),AU146,1),"")</f>
        <v>L</v>
      </c>
      <c r="AU146" s="3">
        <v>322</v>
      </c>
      <c r="AV146" s="3" t="str">
        <f>IFERROR(MID(VLOOKUP($B146,Seqs!$A:$B,2,0),AW146,1),"")</f>
        <v>D</v>
      </c>
      <c r="AW146" s="3">
        <v>323</v>
      </c>
      <c r="AX146" s="3" t="str">
        <f>IFERROR(MID(VLOOKUP($B146,Seqs!$A:$B,2,0),AY146,1),"")</f>
        <v>R</v>
      </c>
      <c r="AY146" s="3">
        <v>331</v>
      </c>
      <c r="AZ146" s="79" t="str">
        <f>VLOOKUP(B146,Classification!A:D,2,0)</f>
        <v>A</v>
      </c>
      <c r="BA146" s="97" t="str">
        <f>VLOOKUP(B146,Classification!A:D,4,0)</f>
        <v>Opioid</v>
      </c>
      <c r="BB146" s="27" t="b">
        <f t="shared" si="780"/>
        <v>1</v>
      </c>
      <c r="BC146" s="23">
        <f t="shared" si="641"/>
        <v>246</v>
      </c>
      <c r="BD146" s="5" t="s">
        <v>23</v>
      </c>
      <c r="BE146" s="3" t="s">
        <v>1381</v>
      </c>
      <c r="BF146" s="124">
        <v>3</v>
      </c>
      <c r="BG146" s="50" t="s">
        <v>1</v>
      </c>
      <c r="BH146" s="50" t="s">
        <v>1384</v>
      </c>
      <c r="BI146" s="1" t="s">
        <v>1366</v>
      </c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si="642"/>
        <v>48</v>
      </c>
      <c r="BW146" s="73" t="str">
        <f t="shared" si="643"/>
        <v>-</v>
      </c>
      <c r="BX146" s="74">
        <f t="shared" si="644"/>
        <v>84</v>
      </c>
      <c r="BY146" s="73">
        <f t="shared" si="645"/>
        <v>115</v>
      </c>
      <c r="BZ146" s="74">
        <f t="shared" si="646"/>
        <v>119</v>
      </c>
      <c r="CA146" s="73" t="str">
        <f t="shared" si="647"/>
        <v>-</v>
      </c>
      <c r="CB146" s="74">
        <f t="shared" si="648"/>
        <v>163</v>
      </c>
      <c r="CC146" s="73">
        <f t="shared" si="649"/>
        <v>200</v>
      </c>
      <c r="CD146" s="74">
        <f t="shared" si="650"/>
        <v>208</v>
      </c>
      <c r="CE146" s="73">
        <f t="shared" si="651"/>
        <v>251</v>
      </c>
      <c r="CF146" s="74">
        <f t="shared" si="652"/>
        <v>294</v>
      </c>
      <c r="CG146" s="73">
        <f t="shared" si="653"/>
        <v>323</v>
      </c>
      <c r="CH146" s="72">
        <f t="shared" si="654"/>
        <v>79</v>
      </c>
      <c r="CI146" s="73" t="str">
        <f t="shared" si="655"/>
        <v>-</v>
      </c>
      <c r="CJ146" s="74">
        <f t="shared" si="656"/>
        <v>113</v>
      </c>
      <c r="CK146" s="74">
        <f t="shared" si="657"/>
        <v>118</v>
      </c>
      <c r="CL146" s="74">
        <f t="shared" si="658"/>
        <v>154</v>
      </c>
      <c r="CM146" s="74" t="str">
        <f t="shared" si="659"/>
        <v>-</v>
      </c>
      <c r="CN146" s="74">
        <f t="shared" si="660"/>
        <v>189</v>
      </c>
      <c r="CO146" s="74">
        <f t="shared" si="661"/>
        <v>202</v>
      </c>
      <c r="CP146" s="74">
        <f t="shared" si="662"/>
        <v>242</v>
      </c>
      <c r="CQ146" s="74">
        <f t="shared" si="663"/>
        <v>289</v>
      </c>
      <c r="CR146" s="74">
        <f t="shared" si="664"/>
        <v>322</v>
      </c>
      <c r="CS146" s="74">
        <f t="shared" si="665"/>
        <v>331</v>
      </c>
      <c r="CT146" s="23" t="e">
        <f t="shared" si="666"/>
        <v>#VALUE!</v>
      </c>
    </row>
    <row r="147" spans="1:1030" x14ac:dyDescent="0.2">
      <c r="A147" s="3" t="str">
        <f t="shared" si="779"/>
        <v>opsd_bovin__wt</v>
      </c>
      <c r="B147" s="3" t="s">
        <v>920</v>
      </c>
      <c r="C147" s="3" t="s">
        <v>100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>P</v>
      </c>
      <c r="Y147" s="3">
        <v>142</v>
      </c>
      <c r="Z147" s="3" t="str">
        <f>IFERROR(MID(VLOOKUP($B147,Seqs!$A:$B,2,0),AA147,1),"")</f>
        <v>F</v>
      </c>
      <c r="AA147" s="108">
        <v>148</v>
      </c>
      <c r="AB147" s="3" t="str">
        <f>IFERROR(MID(VLOOKUP($B147,Seqs!$A:$B,2,0),AC147,1),"")</f>
        <v>G</v>
      </c>
      <c r="AC147" s="108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780"/>
        <v>1</v>
      </c>
      <c r="BC147" s="23">
        <f t="shared" si="641"/>
        <v>258</v>
      </c>
      <c r="BD147" s="35" t="s">
        <v>1379</v>
      </c>
      <c r="BE147" s="3" t="s">
        <v>23</v>
      </c>
      <c r="BF147" s="124" t="s">
        <v>23</v>
      </c>
      <c r="BG147" s="50" t="s">
        <v>1379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642"/>
        <v>34</v>
      </c>
      <c r="BW147" s="73">
        <f t="shared" si="643"/>
        <v>66</v>
      </c>
      <c r="BX147" s="74">
        <f t="shared" si="644"/>
        <v>70</v>
      </c>
      <c r="BY147" s="73">
        <f t="shared" si="645"/>
        <v>102</v>
      </c>
      <c r="BZ147" s="74">
        <f t="shared" si="646"/>
        <v>106</v>
      </c>
      <c r="CA147" s="73">
        <f t="shared" si="647"/>
        <v>142</v>
      </c>
      <c r="CB147" s="74">
        <f t="shared" si="648"/>
        <v>149</v>
      </c>
      <c r="CC147" s="73">
        <f t="shared" si="649"/>
        <v>187</v>
      </c>
      <c r="CD147" s="74">
        <f t="shared" si="650"/>
        <v>199</v>
      </c>
      <c r="CE147" s="73">
        <f t="shared" si="651"/>
        <v>241</v>
      </c>
      <c r="CF147" s="74">
        <f t="shared" si="652"/>
        <v>284</v>
      </c>
      <c r="CG147" s="73">
        <f t="shared" si="653"/>
        <v>310</v>
      </c>
      <c r="CH147" s="72">
        <f t="shared" si="654"/>
        <v>65</v>
      </c>
      <c r="CI147" s="73">
        <f t="shared" si="655"/>
        <v>69</v>
      </c>
      <c r="CJ147" s="74">
        <f t="shared" si="656"/>
        <v>100</v>
      </c>
      <c r="CK147" s="74">
        <f t="shared" si="657"/>
        <v>105</v>
      </c>
      <c r="CL147" s="74">
        <f t="shared" si="658"/>
        <v>141</v>
      </c>
      <c r="CM147" s="74">
        <f t="shared" si="659"/>
        <v>148</v>
      </c>
      <c r="CN147" s="74">
        <f t="shared" si="660"/>
        <v>173</v>
      </c>
      <c r="CO147" s="74">
        <f t="shared" si="661"/>
        <v>189</v>
      </c>
      <c r="CP147" s="74">
        <f t="shared" si="662"/>
        <v>237</v>
      </c>
      <c r="CQ147" s="74">
        <f t="shared" si="663"/>
        <v>278</v>
      </c>
      <c r="CR147" s="74">
        <f t="shared" si="664"/>
        <v>309</v>
      </c>
      <c r="CS147" s="74">
        <f t="shared" si="665"/>
        <v>322</v>
      </c>
      <c r="CT147" s="23">
        <f t="shared" si="666"/>
        <v>1</v>
      </c>
    </row>
    <row r="148" spans="1:1030" x14ac:dyDescent="0.2">
      <c r="A148" s="3" t="str">
        <f t="shared" si="779"/>
        <v>opsd_bovin_1GZM</v>
      </c>
      <c r="B148" s="3" t="s">
        <v>920</v>
      </c>
      <c r="C148" s="3" t="s">
        <v>1343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A</v>
      </c>
      <c r="AM148" s="3">
        <v>233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si="780"/>
        <v>1</v>
      </c>
      <c r="BC148" s="23">
        <f t="shared" si="641"/>
        <v>248</v>
      </c>
      <c r="BD148" s="57" t="s">
        <v>1383</v>
      </c>
      <c r="BE148" s="3" t="s">
        <v>1381</v>
      </c>
      <c r="BF148" s="124">
        <v>2.65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642"/>
        <v>34</v>
      </c>
      <c r="BW148" s="73">
        <f t="shared" si="643"/>
        <v>66</v>
      </c>
      <c r="BX148" s="74">
        <f t="shared" si="644"/>
        <v>70</v>
      </c>
      <c r="BY148" s="73">
        <f t="shared" si="645"/>
        <v>102</v>
      </c>
      <c r="BZ148" s="74">
        <f t="shared" si="646"/>
        <v>106</v>
      </c>
      <c r="CA148" s="73" t="str">
        <f t="shared" si="647"/>
        <v>-</v>
      </c>
      <c r="CB148" s="74">
        <f t="shared" si="648"/>
        <v>149</v>
      </c>
      <c r="CC148" s="73">
        <f t="shared" si="649"/>
        <v>187</v>
      </c>
      <c r="CD148" s="74">
        <f t="shared" si="650"/>
        <v>199</v>
      </c>
      <c r="CE148" s="73">
        <f t="shared" si="651"/>
        <v>241</v>
      </c>
      <c r="CF148" s="74">
        <f t="shared" si="652"/>
        <v>284</v>
      </c>
      <c r="CG148" s="73">
        <f t="shared" si="653"/>
        <v>310</v>
      </c>
      <c r="CH148" s="72">
        <f t="shared" si="654"/>
        <v>65</v>
      </c>
      <c r="CI148" s="73">
        <f t="shared" si="655"/>
        <v>69</v>
      </c>
      <c r="CJ148" s="74">
        <f t="shared" si="656"/>
        <v>100</v>
      </c>
      <c r="CK148" s="74">
        <f t="shared" si="657"/>
        <v>105</v>
      </c>
      <c r="CL148" s="74">
        <f t="shared" si="658"/>
        <v>141</v>
      </c>
      <c r="CM148" s="74" t="str">
        <f t="shared" si="659"/>
        <v>-</v>
      </c>
      <c r="CN148" s="74">
        <f t="shared" si="660"/>
        <v>173</v>
      </c>
      <c r="CO148" s="74">
        <f t="shared" si="661"/>
        <v>189</v>
      </c>
      <c r="CP148" s="74">
        <f t="shared" si="662"/>
        <v>233</v>
      </c>
      <c r="CQ148" s="74">
        <f t="shared" si="663"/>
        <v>278</v>
      </c>
      <c r="CR148" s="74">
        <f t="shared" si="664"/>
        <v>309</v>
      </c>
      <c r="CS148" s="74">
        <f t="shared" si="665"/>
        <v>322</v>
      </c>
      <c r="CT148" s="23">
        <f t="shared" si="666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779"/>
        <v>opsd_bovin_1U19</v>
      </c>
      <c r="B149" s="3" t="s">
        <v>920</v>
      </c>
      <c r="C149" s="3" t="s">
        <v>53</v>
      </c>
      <c r="D149" s="3" t="str">
        <f>IFERROR(MID(VLOOKUP($B149,Seqs!$A:$B,2,0),E149,1),"")</f>
        <v>P</v>
      </c>
      <c r="E149" s="3">
        <v>34</v>
      </c>
      <c r="F149" s="3" t="str">
        <f>IFERROR(MID(VLOOKUP($B149,Seqs!$A:$B,2,0),G149,1),"")</f>
        <v>H</v>
      </c>
      <c r="G149" s="3">
        <v>65</v>
      </c>
      <c r="H149" s="3" t="str">
        <f>IFERROR(MID(VLOOKUP($B149,Seqs!$A:$B,2,0),I149,1),"")</f>
        <v>K</v>
      </c>
      <c r="I149" s="23">
        <v>66</v>
      </c>
      <c r="J149" s="3" t="str">
        <f>IFERROR(MID(VLOOKUP($B149,Seqs!$A:$B,2,0),K149,1),"")</f>
        <v>R</v>
      </c>
      <c r="K149" s="23">
        <v>69</v>
      </c>
      <c r="L149" s="3" t="str">
        <f>IFERROR(MID(VLOOKUP($B149,Seqs!$A:$B,2,0),M149,1),"")</f>
        <v>T</v>
      </c>
      <c r="M149" s="3">
        <v>70</v>
      </c>
      <c r="N149" s="3" t="str">
        <f>IFERROR(MID(VLOOKUP($B149,Seqs!$A:$B,2,0),O149,1),"")</f>
        <v>H</v>
      </c>
      <c r="O149" s="3">
        <v>100</v>
      </c>
      <c r="P149" s="3" t="str">
        <f>IFERROR(MID(VLOOKUP($B149,Seqs!$A:$B,2,0),Q149,1),"")</f>
        <v>Y</v>
      </c>
      <c r="Q149" s="3">
        <v>102</v>
      </c>
      <c r="R149" s="3" t="str">
        <f>IFERROR(MID(VLOOKUP($B149,Seqs!$A:$B,2,0),S149,1),"")</f>
        <v>F</v>
      </c>
      <c r="S149" s="3">
        <v>105</v>
      </c>
      <c r="T149" s="3" t="str">
        <f>IFERROR(MID(VLOOKUP($B149,Seqs!$A:$B,2,0),U149,1),"")</f>
        <v>G</v>
      </c>
      <c r="U149" s="3">
        <v>106</v>
      </c>
      <c r="V149" s="3" t="str">
        <f>IFERROR(MID(VLOOKUP($B149,Seqs!$A:$B,2,0),W149,1),"")</f>
        <v>K</v>
      </c>
      <c r="W149" s="3">
        <v>141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G</v>
      </c>
      <c r="AC149" s="9">
        <v>149</v>
      </c>
      <c r="AD149" s="3" t="str">
        <f>IFERROR(MID(VLOOKUP($B149,Seqs!$A:$B,2,0),AE149,1),"")</f>
        <v>V</v>
      </c>
      <c r="AE149" s="3">
        <v>173</v>
      </c>
      <c r="AF149" s="3" t="str">
        <f>IFERROR(MID(VLOOKUP($B149,Seqs!$A:$B,2,0),AG149,1),"")</f>
        <v>C</v>
      </c>
      <c r="AG149" s="3">
        <v>187</v>
      </c>
      <c r="AH149" s="3" t="str">
        <f>IFERROR(MID(VLOOKUP($B149,Seqs!$A:$B,2,0),AI149,1),"")</f>
        <v>I</v>
      </c>
      <c r="AI149" s="3">
        <v>189</v>
      </c>
      <c r="AJ149" s="3" t="str">
        <f>IFERROR(MID(VLOOKUP($B149,Seqs!$A:$B,2,0),AK149,1),"")</f>
        <v>N</v>
      </c>
      <c r="AK149" s="3">
        <v>199</v>
      </c>
      <c r="AL149" s="3" t="str">
        <f>IFERROR(MID(VLOOKUP($B149,Seqs!$A:$B,2,0),AM149,1),"")</f>
        <v>Q</v>
      </c>
      <c r="AM149" s="3">
        <v>225</v>
      </c>
      <c r="AN149" s="3" t="str">
        <f>IFERROR(MID(VLOOKUP($B149,Seqs!$A:$B,2,0),AO149,1),"")</f>
        <v>T</v>
      </c>
      <c r="AO149" s="3">
        <v>243</v>
      </c>
      <c r="AP149" s="3" t="str">
        <f>IFERROR(MID(VLOOKUP($B149,Seqs!$A:$B,2,0),AQ149,1),"")</f>
        <v>H</v>
      </c>
      <c r="AQ149" s="3">
        <v>278</v>
      </c>
      <c r="AR149" s="3" t="str">
        <f>IFERROR(MID(VLOOKUP($B149,Seqs!$A:$B,2,0),AS149,1),"")</f>
        <v>G</v>
      </c>
      <c r="AS149" s="3">
        <v>284</v>
      </c>
      <c r="AT149" s="3" t="str">
        <f>IFERROR(MID(VLOOKUP($B149,Seqs!$A:$B,2,0),AU149,1),"")</f>
        <v>M</v>
      </c>
      <c r="AU149" s="3">
        <v>309</v>
      </c>
      <c r="AV149" s="3" t="str">
        <f>IFERROR(MID(VLOOKUP($B149,Seqs!$A:$B,2,0),AW149,1),"")</f>
        <v>N</v>
      </c>
      <c r="AW149" s="3">
        <v>310</v>
      </c>
      <c r="AX149" s="3" t="str">
        <f>IFERROR(MID(VLOOKUP($B149,Seqs!$A:$B,2,0),AY149,1),"")</f>
        <v>C</v>
      </c>
      <c r="AY149" s="3">
        <v>322</v>
      </c>
      <c r="AZ149" s="79" t="str">
        <f>VLOOKUP(B149,Classification!A:D,2,0)</f>
        <v>A</v>
      </c>
      <c r="BA149" s="97" t="str">
        <f>VLOOKUP(B149,Classification!A:D,4,0)</f>
        <v>Opsins</v>
      </c>
      <c r="BB149" s="27" t="b">
        <f t="shared" si="780"/>
        <v>1</v>
      </c>
      <c r="BC149" s="23">
        <f t="shared" si="641"/>
        <v>238</v>
      </c>
      <c r="BD149" s="76" t="s">
        <v>23</v>
      </c>
      <c r="BE149" s="3" t="s">
        <v>1381</v>
      </c>
      <c r="BF149" s="124">
        <v>2.2000000000000002</v>
      </c>
      <c r="BG149" s="50" t="s">
        <v>1</v>
      </c>
      <c r="BH149" s="50" t="s">
        <v>1384</v>
      </c>
      <c r="BI149" s="1"/>
      <c r="BJ149" s="72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58" t="s">
        <v>1293</v>
      </c>
      <c r="BV149" s="72">
        <f t="shared" si="642"/>
        <v>34</v>
      </c>
      <c r="BW149" s="73">
        <f t="shared" si="643"/>
        <v>66</v>
      </c>
      <c r="BX149" s="74">
        <f t="shared" si="644"/>
        <v>70</v>
      </c>
      <c r="BY149" s="73">
        <f t="shared" si="645"/>
        <v>102</v>
      </c>
      <c r="BZ149" s="74">
        <f t="shared" si="646"/>
        <v>106</v>
      </c>
      <c r="CA149" s="73" t="str">
        <f t="shared" si="647"/>
        <v>-</v>
      </c>
      <c r="CB149" s="74">
        <f t="shared" si="648"/>
        <v>149</v>
      </c>
      <c r="CC149" s="73">
        <f t="shared" si="649"/>
        <v>187</v>
      </c>
      <c r="CD149" s="74">
        <f t="shared" si="650"/>
        <v>199</v>
      </c>
      <c r="CE149" s="73">
        <f t="shared" si="651"/>
        <v>243</v>
      </c>
      <c r="CF149" s="74">
        <f t="shared" si="652"/>
        <v>284</v>
      </c>
      <c r="CG149" s="73">
        <f t="shared" si="653"/>
        <v>310</v>
      </c>
      <c r="CH149" s="72">
        <f t="shared" si="654"/>
        <v>65</v>
      </c>
      <c r="CI149" s="73">
        <f t="shared" si="655"/>
        <v>69</v>
      </c>
      <c r="CJ149" s="74">
        <f t="shared" si="656"/>
        <v>100</v>
      </c>
      <c r="CK149" s="74">
        <f t="shared" si="657"/>
        <v>105</v>
      </c>
      <c r="CL149" s="74">
        <f t="shared" si="658"/>
        <v>141</v>
      </c>
      <c r="CM149" s="74" t="str">
        <f t="shared" si="659"/>
        <v>-</v>
      </c>
      <c r="CN149" s="74">
        <f t="shared" si="660"/>
        <v>173</v>
      </c>
      <c r="CO149" s="74">
        <f t="shared" si="661"/>
        <v>189</v>
      </c>
      <c r="CP149" s="74">
        <f t="shared" si="662"/>
        <v>225</v>
      </c>
      <c r="CQ149" s="74">
        <f t="shared" si="663"/>
        <v>278</v>
      </c>
      <c r="CR149" s="74">
        <f t="shared" si="664"/>
        <v>309</v>
      </c>
      <c r="CS149" s="74">
        <f t="shared" si="665"/>
        <v>322</v>
      </c>
      <c r="CT149" s="23">
        <f t="shared" si="666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779"/>
        <v>opsd_bovin_2X72</v>
      </c>
      <c r="B150" s="2" t="s">
        <v>920</v>
      </c>
      <c r="C150" s="3" t="s">
        <v>1376</v>
      </c>
      <c r="D150" s="3" t="str">
        <f>IFERROR(MID(VLOOKUP($B150,Seqs!$A:$B,2,0),E150,1),"")</f>
        <v>P</v>
      </c>
      <c r="E150" s="3">
        <v>34</v>
      </c>
      <c r="F150" s="3" t="str">
        <f>IFERROR(MID(VLOOKUP($B150,Seqs!$A:$B,2,0),G150,1),"")</f>
        <v>H</v>
      </c>
      <c r="G150" s="3">
        <v>65</v>
      </c>
      <c r="H150" s="3" t="str">
        <f>IFERROR(MID(VLOOKUP($B150,Seqs!$A:$B,2,0),I150,1),"")</f>
        <v>K</v>
      </c>
      <c r="I150" s="23">
        <v>66</v>
      </c>
      <c r="J150" s="3" t="str">
        <f>IFERROR(MID(VLOOKUP($B150,Seqs!$A:$B,2,0),K150,1),"")</f>
        <v>R</v>
      </c>
      <c r="K150" s="23">
        <v>69</v>
      </c>
      <c r="L150" s="3" t="str">
        <f>IFERROR(MID(VLOOKUP($B150,Seqs!$A:$B,2,0),M150,1),"")</f>
        <v>T</v>
      </c>
      <c r="M150" s="3">
        <v>70</v>
      </c>
      <c r="N150" s="3" t="str">
        <f>IFERROR(MID(VLOOKUP($B150,Seqs!$A:$B,2,0),O150,1),"")</f>
        <v>H</v>
      </c>
      <c r="O150" s="3">
        <v>100</v>
      </c>
      <c r="P150" s="3" t="str">
        <f>IFERROR(MID(VLOOKUP($B150,Seqs!$A:$B,2,0),Q150,1),"")</f>
        <v>Y</v>
      </c>
      <c r="Q150" s="3">
        <v>102</v>
      </c>
      <c r="R150" s="3" t="str">
        <f>IFERROR(MID(VLOOKUP($B150,Seqs!$A:$B,2,0),S150,1),"")</f>
        <v>F</v>
      </c>
      <c r="S150" s="3">
        <v>105</v>
      </c>
      <c r="T150" s="3" t="str">
        <f>IFERROR(MID(VLOOKUP($B150,Seqs!$A:$B,2,0),U150,1),"")</f>
        <v>G</v>
      </c>
      <c r="U150" s="3">
        <v>106</v>
      </c>
      <c r="V150" s="3" t="str">
        <f>IFERROR(MID(VLOOKUP($B150,Seqs!$A:$B,2,0),W150,1),"")</f>
        <v>K</v>
      </c>
      <c r="W150" s="3">
        <v>141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G</v>
      </c>
      <c r="AC150" s="9">
        <v>149</v>
      </c>
      <c r="AD150" s="3" t="str">
        <f>IFERROR(MID(VLOOKUP($B150,Seqs!$A:$B,2,0),AE150,1),"")</f>
        <v>V</v>
      </c>
      <c r="AE150" s="3">
        <v>173</v>
      </c>
      <c r="AF150" s="3" t="str">
        <f>IFERROR(MID(VLOOKUP($B150,Seqs!$A:$B,2,0),AG150,1),"")</f>
        <v>C</v>
      </c>
      <c r="AG150" s="3">
        <v>187</v>
      </c>
      <c r="AH150" s="3" t="str">
        <f>IFERROR(MID(VLOOKUP($B150,Seqs!$A:$B,2,0),AI150,1),"")</f>
        <v>I</v>
      </c>
      <c r="AI150" s="3">
        <v>189</v>
      </c>
      <c r="AJ150" s="3" t="str">
        <f>IFERROR(MID(VLOOKUP($B150,Seqs!$A:$B,2,0),AK150,1),"")</f>
        <v>N</v>
      </c>
      <c r="AK150" s="3">
        <v>199</v>
      </c>
      <c r="AL150" s="3" t="str">
        <f>IFERROR(MID(VLOOKUP($B150,Seqs!$A:$B,2,0),AM150,1),"")</f>
        <v>Q</v>
      </c>
      <c r="AM150" s="3">
        <v>237</v>
      </c>
      <c r="AN150" s="3" t="str">
        <f>IFERROR(MID(VLOOKUP($B150,Seqs!$A:$B,2,0),AO150,1),"")</f>
        <v>A</v>
      </c>
      <c r="AO150" s="3">
        <v>241</v>
      </c>
      <c r="AP150" s="3" t="str">
        <f>IFERROR(MID(VLOOKUP($B150,Seqs!$A:$B,2,0),AQ150,1),"")</f>
        <v>H</v>
      </c>
      <c r="AQ150" s="3">
        <v>278</v>
      </c>
      <c r="AR150" s="3" t="str">
        <f>IFERROR(MID(VLOOKUP($B150,Seqs!$A:$B,2,0),AS150,1),"")</f>
        <v>G</v>
      </c>
      <c r="AS150" s="3">
        <v>284</v>
      </c>
      <c r="AT150" s="3" t="str">
        <f>IFERROR(MID(VLOOKUP($B150,Seqs!$A:$B,2,0),AU150,1),"")</f>
        <v>M</v>
      </c>
      <c r="AU150" s="3">
        <v>309</v>
      </c>
      <c r="AV150" s="3" t="str">
        <f>IFERROR(MID(VLOOKUP($B150,Seqs!$A:$B,2,0),AW150,1),"")</f>
        <v>N</v>
      </c>
      <c r="AW150" s="3">
        <v>310</v>
      </c>
      <c r="AX150" s="3" t="str">
        <f>IFERROR(MID(VLOOKUP($B150,Seqs!$A:$B,2,0),AY150,1),"")</f>
        <v>C</v>
      </c>
      <c r="AY150" s="3">
        <v>322</v>
      </c>
      <c r="AZ150" s="79" t="str">
        <f>VLOOKUP(B150,Classification!A:D,2,0)</f>
        <v>A</v>
      </c>
      <c r="BA150" s="97" t="str">
        <f>VLOOKUP(B150,Classification!A:D,4,0)</f>
        <v>Opsins</v>
      </c>
      <c r="BB150" s="27" t="b">
        <f t="shared" ref="BB150" si="809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810">_xlfn.AGGREGATE(9,6,CH150:CS150)-_xlfn.AGGREGATE(9,6,BV150:CG150)+12</f>
        <v>252</v>
      </c>
      <c r="BD150" s="57" t="s">
        <v>23</v>
      </c>
      <c r="BE150" s="3" t="s">
        <v>1297</v>
      </c>
      <c r="BF150" s="124">
        <v>3</v>
      </c>
      <c r="BG150" s="50" t="s">
        <v>1384</v>
      </c>
      <c r="BH150" s="50" t="s">
        <v>1384</v>
      </c>
      <c r="BI150" s="1"/>
      <c r="BJ150" s="72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58" t="s">
        <v>1293</v>
      </c>
      <c r="BV150" s="72">
        <f t="shared" ref="BV150" si="811">E150</f>
        <v>34</v>
      </c>
      <c r="BW150" s="73">
        <f t="shared" ref="BW150" si="812">I150</f>
        <v>66</v>
      </c>
      <c r="BX150" s="74">
        <f t="shared" ref="BX150" si="813">M150</f>
        <v>70</v>
      </c>
      <c r="BY150" s="73">
        <f t="shared" ref="BY150" si="814">Q150</f>
        <v>102</v>
      </c>
      <c r="BZ150" s="74">
        <f t="shared" ref="BZ150" si="815">U150</f>
        <v>106</v>
      </c>
      <c r="CA150" s="73" t="str">
        <f t="shared" ref="CA150" si="816">Y150</f>
        <v>-</v>
      </c>
      <c r="CB150" s="74">
        <f t="shared" ref="CB150" si="817">AC150</f>
        <v>149</v>
      </c>
      <c r="CC150" s="73">
        <f t="shared" ref="CC150" si="818">AG150</f>
        <v>187</v>
      </c>
      <c r="CD150" s="74">
        <f t="shared" ref="CD150" si="819">AK150</f>
        <v>199</v>
      </c>
      <c r="CE150" s="73">
        <f t="shared" ref="CE150" si="820">AO150</f>
        <v>241</v>
      </c>
      <c r="CF150" s="74">
        <f t="shared" ref="CF150" si="821">AS150</f>
        <v>284</v>
      </c>
      <c r="CG150" s="73">
        <f t="shared" ref="CG150" si="822">AW150</f>
        <v>310</v>
      </c>
      <c r="CH150" s="72">
        <f t="shared" ref="CH150" si="823">G150</f>
        <v>65</v>
      </c>
      <c r="CI150" s="73">
        <f t="shared" ref="CI150" si="824">K150</f>
        <v>69</v>
      </c>
      <c r="CJ150" s="74">
        <f t="shared" ref="CJ150" si="825">O150</f>
        <v>100</v>
      </c>
      <c r="CK150" s="74">
        <f t="shared" ref="CK150" si="826">S150</f>
        <v>105</v>
      </c>
      <c r="CL150" s="74">
        <f t="shared" ref="CL150" si="827">W150</f>
        <v>141</v>
      </c>
      <c r="CM150" s="74" t="str">
        <f t="shared" ref="CM150" si="828">AA150</f>
        <v>-</v>
      </c>
      <c r="CN150" s="74">
        <f t="shared" ref="CN150" si="829">AE150</f>
        <v>173</v>
      </c>
      <c r="CO150" s="74">
        <f t="shared" ref="CO150" si="830">AI150</f>
        <v>189</v>
      </c>
      <c r="CP150" s="74">
        <f t="shared" ref="CP150" si="831">AM150</f>
        <v>237</v>
      </c>
      <c r="CQ150" s="74">
        <f t="shared" ref="CQ150" si="832">AQ150</f>
        <v>278</v>
      </c>
      <c r="CR150" s="74">
        <f t="shared" ref="CR150" si="833">AU150</f>
        <v>309</v>
      </c>
      <c r="CS150" s="74">
        <f t="shared" ref="CS150" si="834">AY150</f>
        <v>322</v>
      </c>
      <c r="CT150" s="23">
        <f t="shared" ref="CT150" si="835">M150-K150</f>
        <v>1</v>
      </c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  <c r="ALU150" s="6"/>
      <c r="ALV150" s="6"/>
      <c r="ALW150" s="6"/>
      <c r="ALX150" s="6"/>
      <c r="ALY150" s="6"/>
      <c r="ALZ150" s="6"/>
      <c r="AMA150" s="6"/>
      <c r="AMB150" s="6"/>
      <c r="AMC150" s="6"/>
      <c r="AMD150" s="6"/>
      <c r="AME150" s="6"/>
      <c r="AMF150" s="6"/>
      <c r="AMG150" s="6"/>
      <c r="AMH150" s="6"/>
      <c r="AMI150" s="6"/>
      <c r="AMJ150" s="6"/>
      <c r="AMK150" s="6"/>
      <c r="AML150" s="6"/>
      <c r="AMM150" s="6"/>
      <c r="AMN150" s="6"/>
      <c r="AMO150" s="6"/>
      <c r="AMP150" s="6"/>
    </row>
    <row r="151" spans="1:1030" x14ac:dyDescent="0.2">
      <c r="A151" s="3" t="str">
        <f t="shared" si="779"/>
        <v>opsd_bovin_3DQB</v>
      </c>
      <c r="B151" s="3" t="s">
        <v>920</v>
      </c>
      <c r="C151" s="3" t="s">
        <v>54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G</v>
      </c>
      <c r="AC151" s="9">
        <v>149</v>
      </c>
      <c r="AD151" s="3" t="str">
        <f>IFERROR(MID(VLOOKUP($B151,Seqs!$A:$B,2,0),AE151,1),"")</f>
        <v>V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780"/>
        <v>1</v>
      </c>
      <c r="BC151" s="23">
        <f>_xlfn.AGGREGATE(9,6,CH151:CS151)-_xlfn.AGGREGATE(9,6,BV151:CG151)+12</f>
        <v>252</v>
      </c>
      <c r="BD151" s="76" t="s">
        <v>23</v>
      </c>
      <c r="BE151" s="3" t="s">
        <v>1297</v>
      </c>
      <c r="BF151" s="124">
        <v>3.2</v>
      </c>
      <c r="BG151" s="50" t="s">
        <v>1384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>E151</f>
        <v>34</v>
      </c>
      <c r="BW151" s="73">
        <f>I151</f>
        <v>66</v>
      </c>
      <c r="BX151" s="74">
        <f>M151</f>
        <v>70</v>
      </c>
      <c r="BY151" s="73">
        <f>Q151</f>
        <v>102</v>
      </c>
      <c r="BZ151" s="74">
        <f>U151</f>
        <v>106</v>
      </c>
      <c r="CA151" s="73" t="str">
        <f>Y151</f>
        <v>-</v>
      </c>
      <c r="CB151" s="74">
        <f>AC151</f>
        <v>149</v>
      </c>
      <c r="CC151" s="73">
        <f>AG151</f>
        <v>187</v>
      </c>
      <c r="CD151" s="74">
        <f>AK151</f>
        <v>199</v>
      </c>
      <c r="CE151" s="73">
        <f>AO151</f>
        <v>241</v>
      </c>
      <c r="CF151" s="74">
        <f>AS151</f>
        <v>284</v>
      </c>
      <c r="CG151" s="73">
        <f>AW151</f>
        <v>310</v>
      </c>
      <c r="CH151" s="72">
        <f>G151</f>
        <v>65</v>
      </c>
      <c r="CI151" s="73">
        <f>K151</f>
        <v>69</v>
      </c>
      <c r="CJ151" s="74">
        <f>O151</f>
        <v>100</v>
      </c>
      <c r="CK151" s="74">
        <f>S151</f>
        <v>105</v>
      </c>
      <c r="CL151" s="74">
        <f>W151</f>
        <v>141</v>
      </c>
      <c r="CM151" s="74" t="str">
        <f>AA151</f>
        <v>-</v>
      </c>
      <c r="CN151" s="74">
        <f>AE151</f>
        <v>173</v>
      </c>
      <c r="CO151" s="74">
        <f>AI151</f>
        <v>189</v>
      </c>
      <c r="CP151" s="74">
        <f>AM151</f>
        <v>237</v>
      </c>
      <c r="CQ151" s="74">
        <f>AQ151</f>
        <v>278</v>
      </c>
      <c r="CR151" s="74">
        <f>AU151</f>
        <v>309</v>
      </c>
      <c r="CS151" s="74">
        <f>AY151</f>
        <v>322</v>
      </c>
      <c r="CT151" s="23">
        <f>M151-K151</f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779"/>
        <v>opsd_bovin_3PQR</v>
      </c>
      <c r="B152" s="3" t="s">
        <v>920</v>
      </c>
      <c r="C152" s="3" t="s">
        <v>1033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V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780"/>
        <v>1</v>
      </c>
      <c r="BC152" s="23">
        <f>_xlfn.AGGREGATE(9,6,CH152:CS152)-_xlfn.AGGREGATE(9,6,BV152:CG152)+12</f>
        <v>252</v>
      </c>
      <c r="BD152" s="4" t="s">
        <v>23</v>
      </c>
      <c r="BE152" s="3" t="s">
        <v>1297</v>
      </c>
      <c r="BF152" s="124">
        <v>2.85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>E152</f>
        <v>34</v>
      </c>
      <c r="BW152" s="73">
        <f>I152</f>
        <v>66</v>
      </c>
      <c r="BX152" s="74">
        <f>M152</f>
        <v>70</v>
      </c>
      <c r="BY152" s="73">
        <f>Q152</f>
        <v>102</v>
      </c>
      <c r="BZ152" s="74">
        <f>U152</f>
        <v>106</v>
      </c>
      <c r="CA152" s="73" t="str">
        <f>Y152</f>
        <v>-</v>
      </c>
      <c r="CB152" s="74">
        <f>AC152</f>
        <v>149</v>
      </c>
      <c r="CC152" s="73">
        <f>AG152</f>
        <v>187</v>
      </c>
      <c r="CD152" s="74">
        <f>AK152</f>
        <v>199</v>
      </c>
      <c r="CE152" s="73">
        <f>AO152</f>
        <v>241</v>
      </c>
      <c r="CF152" s="74">
        <f>AS152</f>
        <v>284</v>
      </c>
      <c r="CG152" s="73">
        <f>AW152</f>
        <v>310</v>
      </c>
      <c r="CH152" s="72">
        <f>G152</f>
        <v>65</v>
      </c>
      <c r="CI152" s="73">
        <f>K152</f>
        <v>69</v>
      </c>
      <c r="CJ152" s="74">
        <f>O152</f>
        <v>100</v>
      </c>
      <c r="CK152" s="74">
        <f>S152</f>
        <v>105</v>
      </c>
      <c r="CL152" s="74">
        <f>W152</f>
        <v>141</v>
      </c>
      <c r="CM152" s="74" t="str">
        <f>AA152</f>
        <v>-</v>
      </c>
      <c r="CN152" s="74">
        <f>AE152</f>
        <v>173</v>
      </c>
      <c r="CO152" s="74">
        <f>AI152</f>
        <v>189</v>
      </c>
      <c r="CP152" s="74">
        <f>AM152</f>
        <v>237</v>
      </c>
      <c r="CQ152" s="74">
        <f>AQ152</f>
        <v>278</v>
      </c>
      <c r="CR152" s="74">
        <f>AU152</f>
        <v>309</v>
      </c>
      <c r="CS152" s="74">
        <f>AY152</f>
        <v>322</v>
      </c>
      <c r="CT152" s="23">
        <f>M152-K152</f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779"/>
        <v>opsd_bovin_4A4M</v>
      </c>
      <c r="B153" s="2" t="s">
        <v>920</v>
      </c>
      <c r="C153" s="3" t="s">
        <v>1377</v>
      </c>
      <c r="D153" s="3" t="str">
        <f>IFERROR(MID(VLOOKUP($B153,Seqs!$A:$B,2,0),E153,1),"")</f>
        <v>P</v>
      </c>
      <c r="E153" s="3">
        <v>34</v>
      </c>
      <c r="F153" s="3" t="str">
        <f>IFERROR(MID(VLOOKUP($B153,Seqs!$A:$B,2,0),G153,1),"")</f>
        <v>H</v>
      </c>
      <c r="G153" s="3">
        <v>65</v>
      </c>
      <c r="H153" s="3" t="str">
        <f>IFERROR(MID(VLOOKUP($B153,Seqs!$A:$B,2,0),I153,1),"")</f>
        <v>K</v>
      </c>
      <c r="I153" s="23">
        <v>66</v>
      </c>
      <c r="J153" s="3" t="str">
        <f>IFERROR(MID(VLOOKUP($B153,Seqs!$A:$B,2,0),K153,1),"")</f>
        <v>R</v>
      </c>
      <c r="K153" s="23">
        <v>69</v>
      </c>
      <c r="L153" s="3" t="str">
        <f>IFERROR(MID(VLOOKUP($B153,Seqs!$A:$B,2,0),M153,1),"")</f>
        <v>T</v>
      </c>
      <c r="M153" s="3">
        <v>70</v>
      </c>
      <c r="N153" s="3" t="str">
        <f>IFERROR(MID(VLOOKUP($B153,Seqs!$A:$B,2,0),O153,1),"")</f>
        <v>H</v>
      </c>
      <c r="O153" s="3">
        <v>100</v>
      </c>
      <c r="P153" s="3" t="str">
        <f>IFERROR(MID(VLOOKUP($B153,Seqs!$A:$B,2,0),Q153,1),"")</f>
        <v>Y</v>
      </c>
      <c r="Q153" s="3">
        <v>102</v>
      </c>
      <c r="R153" s="3" t="str">
        <f>IFERROR(MID(VLOOKUP($B153,Seqs!$A:$B,2,0),S153,1),"")</f>
        <v>F</v>
      </c>
      <c r="S153" s="3">
        <v>105</v>
      </c>
      <c r="T153" s="3" t="str">
        <f>IFERROR(MID(VLOOKUP($B153,Seqs!$A:$B,2,0),U153,1),"")</f>
        <v>G</v>
      </c>
      <c r="U153" s="3">
        <v>106</v>
      </c>
      <c r="V153" s="3" t="str">
        <f>IFERROR(MID(VLOOKUP($B153,Seqs!$A:$B,2,0),W153,1),"")</f>
        <v>K</v>
      </c>
      <c r="W153" s="3">
        <v>141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G</v>
      </c>
      <c r="AC153" s="9">
        <v>149</v>
      </c>
      <c r="AD153" s="3" t="str">
        <f>IFERROR(MID(VLOOKUP($B153,Seqs!$A:$B,2,0),AE153,1),"")</f>
        <v>V</v>
      </c>
      <c r="AE153" s="3">
        <v>173</v>
      </c>
      <c r="AF153" s="3" t="str">
        <f>IFERROR(MID(VLOOKUP($B153,Seqs!$A:$B,2,0),AG153,1),"")</f>
        <v>C</v>
      </c>
      <c r="AG153" s="3">
        <v>187</v>
      </c>
      <c r="AH153" s="3" t="str">
        <f>IFERROR(MID(VLOOKUP($B153,Seqs!$A:$B,2,0),AI153,1),"")</f>
        <v>I</v>
      </c>
      <c r="AI153" s="3">
        <v>189</v>
      </c>
      <c r="AJ153" s="3" t="str">
        <f>IFERROR(MID(VLOOKUP($B153,Seqs!$A:$B,2,0),AK153,1),"")</f>
        <v>N</v>
      </c>
      <c r="AK153" s="3">
        <v>199</v>
      </c>
      <c r="AL153" s="3" t="str">
        <f>IFERROR(MID(VLOOKUP($B153,Seqs!$A:$B,2,0),AM153,1),"")</f>
        <v>Q</v>
      </c>
      <c r="AM153" s="3">
        <v>237</v>
      </c>
      <c r="AN153" s="3" t="str">
        <f>IFERROR(MID(VLOOKUP($B153,Seqs!$A:$B,2,0),AO153,1),"")</f>
        <v>A</v>
      </c>
      <c r="AO153" s="3">
        <v>241</v>
      </c>
      <c r="AP153" s="3" t="str">
        <f>IFERROR(MID(VLOOKUP($B153,Seqs!$A:$B,2,0),AQ153,1),"")</f>
        <v>H</v>
      </c>
      <c r="AQ153" s="3">
        <v>278</v>
      </c>
      <c r="AR153" s="3" t="str">
        <f>IFERROR(MID(VLOOKUP($B153,Seqs!$A:$B,2,0),AS153,1),"")</f>
        <v>G</v>
      </c>
      <c r="AS153" s="3">
        <v>284</v>
      </c>
      <c r="AT153" s="3" t="str">
        <f>IFERROR(MID(VLOOKUP($B153,Seqs!$A:$B,2,0),AU153,1),"")</f>
        <v>M</v>
      </c>
      <c r="AU153" s="3">
        <v>309</v>
      </c>
      <c r="AV153" s="3" t="str">
        <f>IFERROR(MID(VLOOKUP($B153,Seqs!$A:$B,2,0),AW153,1),"")</f>
        <v>N</v>
      </c>
      <c r="AW153" s="3">
        <v>310</v>
      </c>
      <c r="AX153" s="3" t="str">
        <f>IFERROR(MID(VLOOKUP($B153,Seqs!$A:$B,2,0),AY153,1),"")</f>
        <v>C</v>
      </c>
      <c r="AY153" s="3">
        <v>322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ref="BB153" si="836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252</v>
      </c>
      <c r="BD153" s="4" t="s">
        <v>23</v>
      </c>
      <c r="BE153" s="3" t="s">
        <v>1297</v>
      </c>
      <c r="BF153" s="124">
        <v>3.3</v>
      </c>
      <c r="BG153" s="50" t="s">
        <v>1384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>E153</f>
        <v>34</v>
      </c>
      <c r="BW153" s="73">
        <f>I153</f>
        <v>66</v>
      </c>
      <c r="BX153" s="74">
        <f>M153</f>
        <v>70</v>
      </c>
      <c r="BY153" s="73">
        <f>Q153</f>
        <v>102</v>
      </c>
      <c r="BZ153" s="74">
        <f>U153</f>
        <v>106</v>
      </c>
      <c r="CA153" s="73" t="str">
        <f>Y153</f>
        <v>-</v>
      </c>
      <c r="CB153" s="74">
        <f>AC153</f>
        <v>149</v>
      </c>
      <c r="CC153" s="73">
        <f>AG153</f>
        <v>187</v>
      </c>
      <c r="CD153" s="74">
        <f>AK153</f>
        <v>199</v>
      </c>
      <c r="CE153" s="73">
        <f>AO153</f>
        <v>241</v>
      </c>
      <c r="CF153" s="74">
        <f>AS153</f>
        <v>284</v>
      </c>
      <c r="CG153" s="73">
        <f>AW153</f>
        <v>310</v>
      </c>
      <c r="CH153" s="72">
        <f>G153</f>
        <v>65</v>
      </c>
      <c r="CI153" s="73">
        <f>K153</f>
        <v>69</v>
      </c>
      <c r="CJ153" s="74">
        <f>O153</f>
        <v>100</v>
      </c>
      <c r="CK153" s="74">
        <f>S153</f>
        <v>105</v>
      </c>
      <c r="CL153" s="74">
        <f>W153</f>
        <v>141</v>
      </c>
      <c r="CM153" s="74" t="str">
        <f>AA153</f>
        <v>-</v>
      </c>
      <c r="CN153" s="74">
        <f>AE153</f>
        <v>173</v>
      </c>
      <c r="CO153" s="74">
        <f>AI153</f>
        <v>189</v>
      </c>
      <c r="CP153" s="74">
        <f>AM153</f>
        <v>237</v>
      </c>
      <c r="CQ153" s="74">
        <f>AQ153</f>
        <v>278</v>
      </c>
      <c r="CR153" s="74">
        <f>AU153</f>
        <v>309</v>
      </c>
      <c r="CS153" s="74">
        <f>AY153</f>
        <v>322</v>
      </c>
      <c r="CT153" s="23">
        <f>M153-K153</f>
        <v>1</v>
      </c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6"/>
      <c r="ACQ153" s="6"/>
      <c r="ACR153" s="6"/>
      <c r="ACS153" s="6"/>
      <c r="ACT153" s="6"/>
      <c r="ACU153" s="6"/>
      <c r="ACV153" s="6"/>
      <c r="ACW153" s="6"/>
      <c r="ACX153" s="6"/>
      <c r="ACY153" s="6"/>
      <c r="ACZ153" s="6"/>
      <c r="ADA153" s="6"/>
      <c r="ADB153" s="6"/>
      <c r="ADC153" s="6"/>
      <c r="ADD153" s="6"/>
      <c r="ADE153" s="6"/>
      <c r="ADF153" s="6"/>
      <c r="ADG153" s="6"/>
      <c r="ADH153" s="6"/>
      <c r="ADI153" s="6"/>
      <c r="ADJ153" s="6"/>
      <c r="ADK153" s="6"/>
      <c r="ADL153" s="6"/>
      <c r="ADM153" s="6"/>
      <c r="ADN153" s="6"/>
      <c r="ADO153" s="6"/>
      <c r="ADP153" s="6"/>
      <c r="ADQ153" s="6"/>
      <c r="ADR153" s="6"/>
      <c r="ADS153" s="6"/>
      <c r="ADT153" s="6"/>
      <c r="ADU153" s="6"/>
      <c r="ADV153" s="6"/>
      <c r="ADW153" s="6"/>
      <c r="ADX153" s="6"/>
      <c r="ADY153" s="6"/>
      <c r="ADZ153" s="6"/>
      <c r="AEA153" s="6"/>
      <c r="AEB153" s="6"/>
      <c r="AEC153" s="6"/>
      <c r="AED153" s="6"/>
      <c r="AEE153" s="6"/>
      <c r="AEF153" s="6"/>
      <c r="AEG153" s="6"/>
      <c r="AEH153" s="6"/>
      <c r="AEI153" s="6"/>
      <c r="AEJ153" s="6"/>
      <c r="AEK153" s="6"/>
      <c r="AEL153" s="6"/>
      <c r="AEM153" s="6"/>
      <c r="AEN153" s="6"/>
      <c r="AEO153" s="6"/>
      <c r="AEP153" s="6"/>
      <c r="AEQ153" s="6"/>
      <c r="AER153" s="6"/>
      <c r="AES153" s="6"/>
      <c r="AET153" s="6"/>
      <c r="AEU153" s="6"/>
      <c r="AEV153" s="6"/>
      <c r="AEW153" s="6"/>
      <c r="AEX153" s="6"/>
      <c r="AEY153" s="6"/>
      <c r="AEZ153" s="6"/>
      <c r="AFA153" s="6"/>
      <c r="AFB153" s="6"/>
      <c r="AFC153" s="6"/>
      <c r="AFD153" s="6"/>
      <c r="AFE153" s="6"/>
      <c r="AFF153" s="6"/>
      <c r="AFG153" s="6"/>
      <c r="AFH153" s="6"/>
      <c r="AFI153" s="6"/>
      <c r="AFJ153" s="6"/>
      <c r="AFK153" s="6"/>
      <c r="AFL153" s="6"/>
      <c r="AFM153" s="6"/>
      <c r="AFN153" s="6"/>
      <c r="AFO153" s="6"/>
      <c r="AFP153" s="6"/>
      <c r="AFQ153" s="6"/>
      <c r="AFR153" s="6"/>
      <c r="AFS153" s="6"/>
      <c r="AFT153" s="6"/>
      <c r="AFU153" s="6"/>
      <c r="AFV153" s="6"/>
      <c r="AFW153" s="6"/>
      <c r="AFX153" s="6"/>
      <c r="AFY153" s="6"/>
      <c r="AFZ153" s="6"/>
      <c r="AGA153" s="6"/>
      <c r="AGB153" s="6"/>
      <c r="AGC153" s="6"/>
      <c r="AGD153" s="6"/>
      <c r="AGE153" s="6"/>
      <c r="AGF153" s="6"/>
      <c r="AGG153" s="6"/>
      <c r="AGH153" s="6"/>
      <c r="AGI153" s="6"/>
      <c r="AGJ153" s="6"/>
      <c r="AGK153" s="6"/>
      <c r="AGL153" s="6"/>
      <c r="AGM153" s="6"/>
      <c r="AGN153" s="6"/>
      <c r="AGO153" s="6"/>
      <c r="AGP153" s="6"/>
      <c r="AGQ153" s="6"/>
      <c r="AGR153" s="6"/>
      <c r="AGS153" s="6"/>
      <c r="AGT153" s="6"/>
      <c r="AGU153" s="6"/>
      <c r="AGV153" s="6"/>
      <c r="AGW153" s="6"/>
      <c r="AGX153" s="6"/>
      <c r="AGY153" s="6"/>
      <c r="AGZ153" s="6"/>
      <c r="AHA153" s="6"/>
      <c r="AHB153" s="6"/>
      <c r="AHC153" s="6"/>
      <c r="AHD153" s="6"/>
      <c r="AHE153" s="6"/>
      <c r="AHF153" s="6"/>
      <c r="AHG153" s="6"/>
      <c r="AHH153" s="6"/>
      <c r="AHI153" s="6"/>
      <c r="AHJ153" s="6"/>
      <c r="AHK153" s="6"/>
      <c r="AHL153" s="6"/>
      <c r="AHM153" s="6"/>
      <c r="AHN153" s="6"/>
      <c r="AHO153" s="6"/>
      <c r="AHP153" s="6"/>
      <c r="AHQ153" s="6"/>
      <c r="AHR153" s="6"/>
      <c r="AHS153" s="6"/>
      <c r="AHT153" s="6"/>
      <c r="AHU153" s="6"/>
      <c r="AHV153" s="6"/>
      <c r="AHW153" s="6"/>
      <c r="AHX153" s="6"/>
      <c r="AHY153" s="6"/>
      <c r="AHZ153" s="6"/>
      <c r="AIA153" s="6"/>
      <c r="AIB153" s="6"/>
      <c r="AIC153" s="6"/>
      <c r="AID153" s="6"/>
      <c r="AIE153" s="6"/>
      <c r="AIF153" s="6"/>
      <c r="AIG153" s="6"/>
      <c r="AIH153" s="6"/>
      <c r="AII153" s="6"/>
      <c r="AIJ153" s="6"/>
      <c r="AIK153" s="6"/>
      <c r="AIL153" s="6"/>
      <c r="AIM153" s="6"/>
      <c r="AIN153" s="6"/>
      <c r="AIO153" s="6"/>
      <c r="AIP153" s="6"/>
      <c r="AIQ153" s="6"/>
      <c r="AIR153" s="6"/>
      <c r="AIS153" s="6"/>
      <c r="AIT153" s="6"/>
      <c r="AIU153" s="6"/>
      <c r="AIV153" s="6"/>
      <c r="AIW153" s="6"/>
      <c r="AIX153" s="6"/>
      <c r="AIY153" s="6"/>
      <c r="AIZ153" s="6"/>
      <c r="AJA153" s="6"/>
      <c r="AJB153" s="6"/>
      <c r="AJC153" s="6"/>
      <c r="AJD153" s="6"/>
      <c r="AJE153" s="6"/>
      <c r="AJF153" s="6"/>
      <c r="AJG153" s="6"/>
      <c r="AJH153" s="6"/>
      <c r="AJI153" s="6"/>
      <c r="AJJ153" s="6"/>
      <c r="AJK153" s="6"/>
      <c r="AJL153" s="6"/>
      <c r="AJM153" s="6"/>
      <c r="AJN153" s="6"/>
      <c r="AJO153" s="6"/>
      <c r="AJP153" s="6"/>
      <c r="AJQ153" s="6"/>
      <c r="AJR153" s="6"/>
      <c r="AJS153" s="6"/>
      <c r="AJT153" s="6"/>
      <c r="AJU153" s="6"/>
      <c r="AJV153" s="6"/>
      <c r="AJW153" s="6"/>
      <c r="AJX153" s="6"/>
      <c r="AJY153" s="6"/>
      <c r="AJZ153" s="6"/>
      <c r="AKA153" s="6"/>
      <c r="AKB153" s="6"/>
      <c r="AKC153" s="6"/>
      <c r="AKD153" s="6"/>
      <c r="AKE153" s="6"/>
      <c r="AKF153" s="6"/>
      <c r="AKG153" s="6"/>
      <c r="AKH153" s="6"/>
      <c r="AKI153" s="6"/>
      <c r="AKJ153" s="6"/>
      <c r="AKK153" s="6"/>
      <c r="AKL153" s="6"/>
      <c r="AKM153" s="6"/>
      <c r="AKN153" s="6"/>
      <c r="AKO153" s="6"/>
      <c r="AKP153" s="6"/>
      <c r="AKQ153" s="6"/>
      <c r="AKR153" s="6"/>
      <c r="AKS153" s="6"/>
      <c r="AKT153" s="6"/>
      <c r="AKU153" s="6"/>
      <c r="AKV153" s="6"/>
      <c r="AKW153" s="6"/>
      <c r="AKX153" s="6"/>
      <c r="AKY153" s="6"/>
      <c r="AKZ153" s="6"/>
      <c r="ALA153" s="6"/>
      <c r="ALB153" s="6"/>
      <c r="ALC153" s="6"/>
      <c r="ALD153" s="6"/>
      <c r="ALE153" s="6"/>
      <c r="ALF153" s="6"/>
      <c r="ALG153" s="6"/>
      <c r="ALH153" s="6"/>
      <c r="ALI153" s="6"/>
      <c r="ALJ153" s="6"/>
      <c r="ALK153" s="6"/>
      <c r="ALL153" s="6"/>
      <c r="ALM153" s="6"/>
      <c r="ALN153" s="6"/>
      <c r="ALO153" s="6"/>
      <c r="ALP153" s="6"/>
      <c r="ALQ153" s="6"/>
      <c r="ALR153" s="6"/>
      <c r="ALS153" s="6"/>
      <c r="ALT153" s="6"/>
      <c r="ALU153" s="6"/>
      <c r="ALV153" s="6"/>
      <c r="ALW153" s="6"/>
      <c r="ALX153" s="6"/>
      <c r="ALY153" s="6"/>
      <c r="ALZ153" s="6"/>
      <c r="AMA153" s="6"/>
      <c r="AMB153" s="6"/>
      <c r="AMC153" s="6"/>
      <c r="AMD153" s="6"/>
      <c r="AME153" s="6"/>
      <c r="AMF153" s="6"/>
      <c r="AMG153" s="6"/>
      <c r="AMH153" s="6"/>
      <c r="AMI153" s="6"/>
      <c r="AMJ153" s="6"/>
      <c r="AMK153" s="6"/>
      <c r="AML153" s="6"/>
      <c r="AMM153" s="6"/>
      <c r="AMN153" s="6"/>
      <c r="AMO153" s="6"/>
      <c r="AMP153" s="6"/>
    </row>
    <row r="154" spans="1:1030" x14ac:dyDescent="0.2">
      <c r="A154" s="3" t="str">
        <f t="shared" si="779"/>
        <v>opsd_bovin_4J4Q</v>
      </c>
      <c r="B154" s="3" t="s">
        <v>920</v>
      </c>
      <c r="C154" s="3" t="s">
        <v>1044</v>
      </c>
      <c r="D154" s="3" t="str">
        <f>IFERROR(MID(VLOOKUP($B154,Seqs!$A:$B,2,0),E154,1),"")</f>
        <v>P</v>
      </c>
      <c r="E154" s="3">
        <v>34</v>
      </c>
      <c r="F154" s="3" t="str">
        <f>IFERROR(MID(VLOOKUP($B154,Seqs!$A:$B,2,0),G154,1),"")</f>
        <v>H</v>
      </c>
      <c r="G154" s="3">
        <v>65</v>
      </c>
      <c r="H154" s="3" t="str">
        <f>IFERROR(MID(VLOOKUP($B154,Seqs!$A:$B,2,0),I154,1),"")</f>
        <v>K</v>
      </c>
      <c r="I154" s="23">
        <v>66</v>
      </c>
      <c r="J154" s="3" t="str">
        <f>IFERROR(MID(VLOOKUP($B154,Seqs!$A:$B,2,0),K154,1),"")</f>
        <v>R</v>
      </c>
      <c r="K154" s="23">
        <v>69</v>
      </c>
      <c r="L154" s="3" t="str">
        <f>IFERROR(MID(VLOOKUP($B154,Seqs!$A:$B,2,0),M154,1),"")</f>
        <v>T</v>
      </c>
      <c r="M154" s="3">
        <v>70</v>
      </c>
      <c r="N154" s="3" t="str">
        <f>IFERROR(MID(VLOOKUP($B154,Seqs!$A:$B,2,0),O154,1),"")</f>
        <v>H</v>
      </c>
      <c r="O154" s="3">
        <v>100</v>
      </c>
      <c r="P154" s="3" t="str">
        <f>IFERROR(MID(VLOOKUP($B154,Seqs!$A:$B,2,0),Q154,1),"")</f>
        <v>Y</v>
      </c>
      <c r="Q154" s="3">
        <v>102</v>
      </c>
      <c r="R154" s="3" t="str">
        <f>IFERROR(MID(VLOOKUP($B154,Seqs!$A:$B,2,0),S154,1),"")</f>
        <v>F</v>
      </c>
      <c r="S154" s="3">
        <v>105</v>
      </c>
      <c r="T154" s="3" t="str">
        <f>IFERROR(MID(VLOOKUP($B154,Seqs!$A:$B,2,0),U154,1),"")</f>
        <v>G</v>
      </c>
      <c r="U154" s="3">
        <v>106</v>
      </c>
      <c r="V154" s="3" t="str">
        <f>IFERROR(MID(VLOOKUP($B154,Seqs!$A:$B,2,0),W154,1),"")</f>
        <v>K</v>
      </c>
      <c r="W154" s="3">
        <v>141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G</v>
      </c>
      <c r="AC154" s="9">
        <v>149</v>
      </c>
      <c r="AD154" s="3" t="str">
        <f>IFERROR(MID(VLOOKUP($B154,Seqs!$A:$B,2,0),AE154,1),"")</f>
        <v>V</v>
      </c>
      <c r="AE154" s="3">
        <v>173</v>
      </c>
      <c r="AF154" s="3" t="str">
        <f>IFERROR(MID(VLOOKUP($B154,Seqs!$A:$B,2,0),AG154,1),"")</f>
        <v>C</v>
      </c>
      <c r="AG154" s="3">
        <v>187</v>
      </c>
      <c r="AH154" s="3" t="str">
        <f>IFERROR(MID(VLOOKUP($B154,Seqs!$A:$B,2,0),AI154,1),"")</f>
        <v>I</v>
      </c>
      <c r="AI154" s="3">
        <v>189</v>
      </c>
      <c r="AJ154" s="3" t="str">
        <f>IFERROR(MID(VLOOKUP($B154,Seqs!$A:$B,2,0),AK154,1),"")</f>
        <v>N</v>
      </c>
      <c r="AK154" s="3">
        <v>199</v>
      </c>
      <c r="AL154" s="3" t="str">
        <f>IFERROR(MID(VLOOKUP($B154,Seqs!$A:$B,2,0),AM154,1),"")</f>
        <v>Q</v>
      </c>
      <c r="AM154" s="3">
        <v>237</v>
      </c>
      <c r="AN154" s="3" t="str">
        <f>IFERROR(MID(VLOOKUP($B154,Seqs!$A:$B,2,0),AO154,1),"")</f>
        <v>A</v>
      </c>
      <c r="AO154" s="3">
        <v>241</v>
      </c>
      <c r="AP154" s="3" t="str">
        <f>IFERROR(MID(VLOOKUP($B154,Seqs!$A:$B,2,0),AQ154,1),"")</f>
        <v>H</v>
      </c>
      <c r="AQ154" s="3">
        <v>278</v>
      </c>
      <c r="AR154" s="3" t="str">
        <f>IFERROR(MID(VLOOKUP($B154,Seqs!$A:$B,2,0),AS154,1),"")</f>
        <v>G</v>
      </c>
      <c r="AS154" s="3">
        <v>284</v>
      </c>
      <c r="AT154" s="3" t="str">
        <f>IFERROR(MID(VLOOKUP($B154,Seqs!$A:$B,2,0),AU154,1),"")</f>
        <v>M</v>
      </c>
      <c r="AU154" s="3">
        <v>309</v>
      </c>
      <c r="AV154" s="3" t="str">
        <f>IFERROR(MID(VLOOKUP($B154,Seqs!$A:$B,2,0),AW154,1),"")</f>
        <v>N</v>
      </c>
      <c r="AW154" s="3">
        <v>310</v>
      </c>
      <c r="AX154" s="3" t="str">
        <f>IFERROR(MID(VLOOKUP($B154,Seqs!$A:$B,2,0),AY154,1),"")</f>
        <v>C</v>
      </c>
      <c r="AY154" s="3">
        <v>322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780"/>
        <v>1</v>
      </c>
      <c r="BC154" s="23">
        <f t="shared" ref="BC154:BC186" si="837">_xlfn.AGGREGATE(9,6,CH154:CS154)-_xlfn.AGGREGATE(9,6,BV154:CG154)+12</f>
        <v>252</v>
      </c>
      <c r="BD154" s="4" t="s">
        <v>23</v>
      </c>
      <c r="BE154" s="3" t="s">
        <v>1297</v>
      </c>
      <c r="BF154" s="124">
        <v>2.65</v>
      </c>
      <c r="BG154" s="50" t="s">
        <v>1384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ref="BV154:BV186" si="838">E154</f>
        <v>34</v>
      </c>
      <c r="BW154" s="73">
        <f t="shared" ref="BW154:BW186" si="839">I154</f>
        <v>66</v>
      </c>
      <c r="BX154" s="74">
        <f t="shared" ref="BX154:BX186" si="840">M154</f>
        <v>70</v>
      </c>
      <c r="BY154" s="73">
        <f t="shared" ref="BY154:BY186" si="841">Q154</f>
        <v>102</v>
      </c>
      <c r="BZ154" s="74">
        <f t="shared" ref="BZ154:BZ186" si="842">U154</f>
        <v>106</v>
      </c>
      <c r="CA154" s="73" t="str">
        <f t="shared" ref="CA154:CA186" si="843">Y154</f>
        <v>-</v>
      </c>
      <c r="CB154" s="74">
        <f t="shared" ref="CB154:CB186" si="844">AC154</f>
        <v>149</v>
      </c>
      <c r="CC154" s="73">
        <f t="shared" ref="CC154:CC186" si="845">AG154</f>
        <v>187</v>
      </c>
      <c r="CD154" s="74">
        <f t="shared" ref="CD154:CD186" si="846">AK154</f>
        <v>199</v>
      </c>
      <c r="CE154" s="73">
        <f t="shared" ref="CE154:CE186" si="847">AO154</f>
        <v>241</v>
      </c>
      <c r="CF154" s="74">
        <f t="shared" ref="CF154:CF186" si="848">AS154</f>
        <v>284</v>
      </c>
      <c r="CG154" s="73">
        <f t="shared" ref="CG154:CG186" si="849">AW154</f>
        <v>310</v>
      </c>
      <c r="CH154" s="72">
        <f t="shared" ref="CH154:CH186" si="850">G154</f>
        <v>65</v>
      </c>
      <c r="CI154" s="73">
        <f t="shared" ref="CI154:CI186" si="851">K154</f>
        <v>69</v>
      </c>
      <c r="CJ154" s="74">
        <f t="shared" ref="CJ154:CJ186" si="852">O154</f>
        <v>100</v>
      </c>
      <c r="CK154" s="74">
        <f t="shared" ref="CK154:CK186" si="853">S154</f>
        <v>105</v>
      </c>
      <c r="CL154" s="74">
        <f t="shared" ref="CL154:CL186" si="854">W154</f>
        <v>141</v>
      </c>
      <c r="CM154" s="74" t="str">
        <f t="shared" ref="CM154:CM186" si="855">AA154</f>
        <v>-</v>
      </c>
      <c r="CN154" s="74">
        <f t="shared" ref="CN154:CN186" si="856">AE154</f>
        <v>173</v>
      </c>
      <c r="CO154" s="74">
        <f t="shared" ref="CO154:CO186" si="857">AI154</f>
        <v>189</v>
      </c>
      <c r="CP154" s="74">
        <f t="shared" ref="CP154:CP186" si="858">AM154</f>
        <v>237</v>
      </c>
      <c r="CQ154" s="74">
        <f t="shared" ref="CQ154:CQ186" si="859">AQ154</f>
        <v>278</v>
      </c>
      <c r="CR154" s="74">
        <f t="shared" ref="CR154:CR186" si="860">AU154</f>
        <v>309</v>
      </c>
      <c r="CS154" s="74">
        <f t="shared" ref="CS154:CS186" si="861">AY154</f>
        <v>322</v>
      </c>
      <c r="CT154" s="23">
        <f t="shared" ref="CT154:CT186" si="862">M154-K154</f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779"/>
        <v>opsd_bovin_5DYS</v>
      </c>
      <c r="B155" s="3" t="s">
        <v>920</v>
      </c>
      <c r="C155" s="3" t="s">
        <v>1363</v>
      </c>
      <c r="D155" s="3" t="str">
        <f>IFERROR(MID(VLOOKUP($B155,Seqs!$A:$B,2,0),E155,1),"")</f>
        <v>P</v>
      </c>
      <c r="E155" s="3">
        <v>34</v>
      </c>
      <c r="F155" s="3" t="str">
        <f>IFERROR(MID(VLOOKUP($B155,Seqs!$A:$B,2,0),G155,1),"")</f>
        <v>H</v>
      </c>
      <c r="G155" s="3">
        <v>65</v>
      </c>
      <c r="H155" s="3" t="str">
        <f>IFERROR(MID(VLOOKUP($B155,Seqs!$A:$B,2,0),I155,1),"")</f>
        <v>K</v>
      </c>
      <c r="I155" s="23">
        <v>66</v>
      </c>
      <c r="J155" s="3" t="str">
        <f>IFERROR(MID(VLOOKUP($B155,Seqs!$A:$B,2,0),K155,1),"")</f>
        <v>R</v>
      </c>
      <c r="K155" s="23">
        <v>69</v>
      </c>
      <c r="L155" s="3" t="str">
        <f>IFERROR(MID(VLOOKUP($B155,Seqs!$A:$B,2,0),M155,1),"")</f>
        <v>T</v>
      </c>
      <c r="M155" s="3">
        <v>70</v>
      </c>
      <c r="N155" s="3" t="str">
        <f>IFERROR(MID(VLOOKUP($B155,Seqs!$A:$B,2,0),O155,1),"")</f>
        <v>H</v>
      </c>
      <c r="O155" s="3">
        <v>100</v>
      </c>
      <c r="P155" s="3" t="str">
        <f>IFERROR(MID(VLOOKUP($B155,Seqs!$A:$B,2,0),Q155,1),"")</f>
        <v>Y</v>
      </c>
      <c r="Q155" s="3">
        <v>102</v>
      </c>
      <c r="R155" s="3" t="str">
        <f>IFERROR(MID(VLOOKUP($B155,Seqs!$A:$B,2,0),S155,1),"")</f>
        <v>F</v>
      </c>
      <c r="S155" s="3">
        <v>105</v>
      </c>
      <c r="T155" s="3" t="str">
        <f>IFERROR(MID(VLOOKUP($B155,Seqs!$A:$B,2,0),U155,1),"")</f>
        <v>G</v>
      </c>
      <c r="U155" s="3">
        <v>106</v>
      </c>
      <c r="V155" s="3" t="str">
        <f>IFERROR(MID(VLOOKUP($B155,Seqs!$A:$B,2,0),W155,1),"")</f>
        <v>K</v>
      </c>
      <c r="W155" s="3">
        <v>141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G</v>
      </c>
      <c r="AC155" s="9">
        <v>149</v>
      </c>
      <c r="AD155" s="3" t="str">
        <f>IFERROR(MID(VLOOKUP($B155,Seqs!$A:$B,2,0),AE155,1),"")</f>
        <v>V</v>
      </c>
      <c r="AE155" s="3">
        <v>173</v>
      </c>
      <c r="AF155" s="3" t="str">
        <f>IFERROR(MID(VLOOKUP($B155,Seqs!$A:$B,2,0),AG155,1),"")</f>
        <v>C</v>
      </c>
      <c r="AG155" s="3">
        <v>187</v>
      </c>
      <c r="AH155" s="3" t="str">
        <f>IFERROR(MID(VLOOKUP($B155,Seqs!$A:$B,2,0),AI155,1),"")</f>
        <v>I</v>
      </c>
      <c r="AI155" s="3">
        <v>189</v>
      </c>
      <c r="AJ155" s="3" t="str">
        <f>IFERROR(MID(VLOOKUP($B155,Seqs!$A:$B,2,0),AK155,1),"")</f>
        <v>N</v>
      </c>
      <c r="AK155" s="3">
        <v>199</v>
      </c>
      <c r="AL155" s="3" t="str">
        <f>IFERROR(MID(VLOOKUP($B155,Seqs!$A:$B,2,0),AM155,1),"")</f>
        <v>Q</v>
      </c>
      <c r="AM155" s="3">
        <v>237</v>
      </c>
      <c r="AN155" s="3" t="str">
        <f>IFERROR(MID(VLOOKUP($B155,Seqs!$A:$B,2,0),AO155,1),"")</f>
        <v>A</v>
      </c>
      <c r="AO155" s="3">
        <v>241</v>
      </c>
      <c r="AP155" s="3" t="str">
        <f>IFERROR(MID(VLOOKUP($B155,Seqs!$A:$B,2,0),AQ155,1),"")</f>
        <v>H</v>
      </c>
      <c r="AQ155" s="3">
        <v>278</v>
      </c>
      <c r="AR155" s="3" t="str">
        <f>IFERROR(MID(VLOOKUP($B155,Seqs!$A:$B,2,0),AS155,1),"")</f>
        <v>G</v>
      </c>
      <c r="AS155" s="3">
        <v>284</v>
      </c>
      <c r="AT155" s="3" t="str">
        <f>IFERROR(MID(VLOOKUP($B155,Seqs!$A:$B,2,0),AU155,1),"")</f>
        <v>M</v>
      </c>
      <c r="AU155" s="3">
        <v>309</v>
      </c>
      <c r="AV155" s="3" t="str">
        <f>IFERROR(MID(VLOOKUP($B155,Seqs!$A:$B,2,0),AW155,1),"")</f>
        <v>N</v>
      </c>
      <c r="AW155" s="3">
        <v>310</v>
      </c>
      <c r="AX155" s="3" t="str">
        <f>IFERROR(MID(VLOOKUP($B155,Seqs!$A:$B,2,0),AY155,1),"")</f>
        <v>C</v>
      </c>
      <c r="AY155" s="3">
        <v>322</v>
      </c>
      <c r="AZ155" s="79" t="str">
        <f>VLOOKUP(B155,Classification!A:D,2,0)</f>
        <v>A</v>
      </c>
      <c r="BA155" s="97" t="str">
        <f>VLOOKUP(B155,Classification!A:D,4,0)</f>
        <v>Opsins</v>
      </c>
      <c r="BB155" s="27" t="b">
        <f t="shared" si="780"/>
        <v>1</v>
      </c>
      <c r="BC155" s="23">
        <f t="shared" si="837"/>
        <v>252</v>
      </c>
      <c r="BD155" s="5" t="s">
        <v>1382</v>
      </c>
      <c r="BE155" s="3" t="s">
        <v>1297</v>
      </c>
      <c r="BF155" s="124">
        <v>2.2999999999999998</v>
      </c>
      <c r="BG155" s="50" t="s">
        <v>1384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838"/>
        <v>34</v>
      </c>
      <c r="BW155" s="73">
        <f t="shared" si="839"/>
        <v>66</v>
      </c>
      <c r="BX155" s="74">
        <f t="shared" si="840"/>
        <v>70</v>
      </c>
      <c r="BY155" s="73">
        <f t="shared" si="841"/>
        <v>102</v>
      </c>
      <c r="BZ155" s="74">
        <f t="shared" si="842"/>
        <v>106</v>
      </c>
      <c r="CA155" s="73" t="str">
        <f t="shared" si="843"/>
        <v>-</v>
      </c>
      <c r="CB155" s="74">
        <f t="shared" si="844"/>
        <v>149</v>
      </c>
      <c r="CC155" s="73">
        <f t="shared" si="845"/>
        <v>187</v>
      </c>
      <c r="CD155" s="74">
        <f t="shared" si="846"/>
        <v>199</v>
      </c>
      <c r="CE155" s="73">
        <f t="shared" si="847"/>
        <v>241</v>
      </c>
      <c r="CF155" s="74">
        <f t="shared" si="848"/>
        <v>284</v>
      </c>
      <c r="CG155" s="73">
        <f t="shared" si="849"/>
        <v>310</v>
      </c>
      <c r="CH155" s="72">
        <f t="shared" si="850"/>
        <v>65</v>
      </c>
      <c r="CI155" s="73">
        <f t="shared" si="851"/>
        <v>69</v>
      </c>
      <c r="CJ155" s="74">
        <f t="shared" si="852"/>
        <v>100</v>
      </c>
      <c r="CK155" s="74">
        <f t="shared" si="853"/>
        <v>105</v>
      </c>
      <c r="CL155" s="74">
        <f t="shared" si="854"/>
        <v>141</v>
      </c>
      <c r="CM155" s="74" t="str">
        <f t="shared" si="855"/>
        <v>-</v>
      </c>
      <c r="CN155" s="74">
        <f t="shared" si="856"/>
        <v>173</v>
      </c>
      <c r="CO155" s="74">
        <f t="shared" si="857"/>
        <v>189</v>
      </c>
      <c r="CP155" s="74">
        <f t="shared" si="858"/>
        <v>237</v>
      </c>
      <c r="CQ155" s="74">
        <f t="shared" si="859"/>
        <v>278</v>
      </c>
      <c r="CR155" s="74">
        <f t="shared" si="860"/>
        <v>309</v>
      </c>
      <c r="CS155" s="74">
        <f t="shared" si="861"/>
        <v>322</v>
      </c>
      <c r="CT155" s="23">
        <f t="shared" si="862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ref="A156:A197" si="863">CONCATENATE(B156,"_",C156)</f>
        <v>opsd_bovin_5EN0</v>
      </c>
      <c r="B156" s="3" t="s">
        <v>920</v>
      </c>
      <c r="C156" s="3" t="s">
        <v>1364</v>
      </c>
      <c r="D156" s="3" t="str">
        <f>IFERROR(MID(VLOOKUP($B156,Seqs!$A:$B,2,0),E156,1),"")</f>
        <v>P</v>
      </c>
      <c r="E156" s="3">
        <v>34</v>
      </c>
      <c r="F156" s="3" t="str">
        <f>IFERROR(MID(VLOOKUP($B156,Seqs!$A:$B,2,0),G156,1),"")</f>
        <v>H</v>
      </c>
      <c r="G156" s="3">
        <v>65</v>
      </c>
      <c r="H156" s="3" t="str">
        <f>IFERROR(MID(VLOOKUP($B156,Seqs!$A:$B,2,0),I156,1),"")</f>
        <v>K</v>
      </c>
      <c r="I156" s="23">
        <v>66</v>
      </c>
      <c r="J156" s="3" t="str">
        <f>IFERROR(MID(VLOOKUP($B156,Seqs!$A:$B,2,0),K156,1),"")</f>
        <v>R</v>
      </c>
      <c r="K156" s="23">
        <v>69</v>
      </c>
      <c r="L156" s="3" t="str">
        <f>IFERROR(MID(VLOOKUP($B156,Seqs!$A:$B,2,0),M156,1),"")</f>
        <v>T</v>
      </c>
      <c r="M156" s="3">
        <v>70</v>
      </c>
      <c r="N156" s="3" t="str">
        <f>IFERROR(MID(VLOOKUP($B156,Seqs!$A:$B,2,0),O156,1),"")</f>
        <v>H</v>
      </c>
      <c r="O156" s="3">
        <v>100</v>
      </c>
      <c r="P156" s="3" t="str">
        <f>IFERROR(MID(VLOOKUP($B156,Seqs!$A:$B,2,0),Q156,1),"")</f>
        <v>Y</v>
      </c>
      <c r="Q156" s="3">
        <v>102</v>
      </c>
      <c r="R156" s="3" t="str">
        <f>IFERROR(MID(VLOOKUP($B156,Seqs!$A:$B,2,0),S156,1),"")</f>
        <v>F</v>
      </c>
      <c r="S156" s="3">
        <v>105</v>
      </c>
      <c r="T156" s="3" t="str">
        <f>IFERROR(MID(VLOOKUP($B156,Seqs!$A:$B,2,0),U156,1),"")</f>
        <v>G</v>
      </c>
      <c r="U156" s="3">
        <v>106</v>
      </c>
      <c r="V156" s="3" t="str">
        <f>IFERROR(MID(VLOOKUP($B156,Seqs!$A:$B,2,0),W156,1),"")</f>
        <v>K</v>
      </c>
      <c r="W156" s="3">
        <v>141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G</v>
      </c>
      <c r="AC156" s="9">
        <v>149</v>
      </c>
      <c r="AD156" s="3" t="str">
        <f>IFERROR(MID(VLOOKUP($B156,Seqs!$A:$B,2,0),AE156,1),"")</f>
        <v>V</v>
      </c>
      <c r="AE156" s="3">
        <v>173</v>
      </c>
      <c r="AF156" s="3" t="str">
        <f>IFERROR(MID(VLOOKUP($B156,Seqs!$A:$B,2,0),AG156,1),"")</f>
        <v>C</v>
      </c>
      <c r="AG156" s="3">
        <v>187</v>
      </c>
      <c r="AH156" s="3" t="str">
        <f>IFERROR(MID(VLOOKUP($B156,Seqs!$A:$B,2,0),AI156,1),"")</f>
        <v>I</v>
      </c>
      <c r="AI156" s="3">
        <v>189</v>
      </c>
      <c r="AJ156" s="3" t="str">
        <f>IFERROR(MID(VLOOKUP($B156,Seqs!$A:$B,2,0),AK156,1),"")</f>
        <v>N</v>
      </c>
      <c r="AK156" s="3">
        <v>199</v>
      </c>
      <c r="AL156" s="3" t="str">
        <f>IFERROR(MID(VLOOKUP($B156,Seqs!$A:$B,2,0),AM156,1),"")</f>
        <v>Q</v>
      </c>
      <c r="AM156" s="3">
        <v>237</v>
      </c>
      <c r="AN156" s="3" t="str">
        <f>IFERROR(MID(VLOOKUP($B156,Seqs!$A:$B,2,0),AO156,1),"")</f>
        <v>A</v>
      </c>
      <c r="AO156" s="3">
        <v>241</v>
      </c>
      <c r="AP156" s="3" t="str">
        <f>IFERROR(MID(VLOOKUP($B156,Seqs!$A:$B,2,0),AQ156,1),"")</f>
        <v>H</v>
      </c>
      <c r="AQ156" s="3">
        <v>278</v>
      </c>
      <c r="AR156" s="3" t="str">
        <f>IFERROR(MID(VLOOKUP($B156,Seqs!$A:$B,2,0),AS156,1),"")</f>
        <v>G</v>
      </c>
      <c r="AS156" s="3">
        <v>284</v>
      </c>
      <c r="AT156" s="3" t="str">
        <f>IFERROR(MID(VLOOKUP($B156,Seqs!$A:$B,2,0),AU156,1),"")</f>
        <v>M</v>
      </c>
      <c r="AU156" s="3">
        <v>309</v>
      </c>
      <c r="AV156" s="3" t="str">
        <f>IFERROR(MID(VLOOKUP($B156,Seqs!$A:$B,2,0),AW156,1),"")</f>
        <v>N</v>
      </c>
      <c r="AW156" s="3">
        <v>310</v>
      </c>
      <c r="AX156" s="3" t="str">
        <f>IFERROR(MID(VLOOKUP($B156,Seqs!$A:$B,2,0),AY156,1),"")</f>
        <v>C</v>
      </c>
      <c r="AY156" s="3">
        <v>322</v>
      </c>
      <c r="AZ156" s="79" t="str">
        <f>VLOOKUP(B156,Classification!A:D,2,0)</f>
        <v>A</v>
      </c>
      <c r="BA156" s="97" t="str">
        <f>VLOOKUP(B156,Classification!A:D,4,0)</f>
        <v>Opsins</v>
      </c>
      <c r="BB156" s="27" t="b">
        <f t="shared" ref="BB156:BB197" si="864"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 t="shared" si="837"/>
        <v>252</v>
      </c>
      <c r="BD156" s="4" t="s">
        <v>23</v>
      </c>
      <c r="BE156" s="3" t="s">
        <v>1297</v>
      </c>
      <c r="BF156" s="124">
        <v>2.81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838"/>
        <v>34</v>
      </c>
      <c r="BW156" s="73">
        <f t="shared" si="839"/>
        <v>66</v>
      </c>
      <c r="BX156" s="74">
        <f t="shared" si="840"/>
        <v>70</v>
      </c>
      <c r="BY156" s="73">
        <f t="shared" si="841"/>
        <v>102</v>
      </c>
      <c r="BZ156" s="74">
        <f t="shared" si="842"/>
        <v>106</v>
      </c>
      <c r="CA156" s="73" t="str">
        <f t="shared" si="843"/>
        <v>-</v>
      </c>
      <c r="CB156" s="74">
        <f t="shared" si="844"/>
        <v>149</v>
      </c>
      <c r="CC156" s="73">
        <f t="shared" si="845"/>
        <v>187</v>
      </c>
      <c r="CD156" s="74">
        <f t="shared" si="846"/>
        <v>199</v>
      </c>
      <c r="CE156" s="73">
        <f t="shared" si="847"/>
        <v>241</v>
      </c>
      <c r="CF156" s="74">
        <f t="shared" si="848"/>
        <v>284</v>
      </c>
      <c r="CG156" s="73">
        <f t="shared" si="849"/>
        <v>310</v>
      </c>
      <c r="CH156" s="72">
        <f t="shared" si="850"/>
        <v>65</v>
      </c>
      <c r="CI156" s="73">
        <f t="shared" si="851"/>
        <v>69</v>
      </c>
      <c r="CJ156" s="74">
        <f t="shared" si="852"/>
        <v>100</v>
      </c>
      <c r="CK156" s="74">
        <f t="shared" si="853"/>
        <v>105</v>
      </c>
      <c r="CL156" s="74">
        <f t="shared" si="854"/>
        <v>141</v>
      </c>
      <c r="CM156" s="74" t="str">
        <f t="shared" si="855"/>
        <v>-</v>
      </c>
      <c r="CN156" s="74">
        <f t="shared" si="856"/>
        <v>173</v>
      </c>
      <c r="CO156" s="74">
        <f t="shared" si="857"/>
        <v>189</v>
      </c>
      <c r="CP156" s="74">
        <f t="shared" si="858"/>
        <v>237</v>
      </c>
      <c r="CQ156" s="74">
        <f t="shared" si="859"/>
        <v>278</v>
      </c>
      <c r="CR156" s="74">
        <f t="shared" si="860"/>
        <v>309</v>
      </c>
      <c r="CS156" s="74">
        <f t="shared" si="861"/>
        <v>322</v>
      </c>
      <c r="CT156" s="23">
        <f t="shared" si="86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s="12" customFormat="1" x14ac:dyDescent="0.2">
      <c r="A157" s="9" t="str">
        <f t="shared" ref="A157" si="865">CONCATENATE(B157,"_",C157)</f>
        <v>opsd_bovin_5TE3</v>
      </c>
      <c r="B157" s="9" t="s">
        <v>920</v>
      </c>
      <c r="C157" s="9" t="s">
        <v>1407</v>
      </c>
      <c r="D157" s="9" t="str">
        <f>IFERROR(MID(VLOOKUP($B157,Seqs!$A:$B,2,0),E157,1),"")</f>
        <v>P</v>
      </c>
      <c r="E157" s="9">
        <v>34</v>
      </c>
      <c r="F157" s="9" t="str">
        <f>IFERROR(MID(VLOOKUP($B157,Seqs!$A:$B,2,0),G157,1),"")</f>
        <v>H</v>
      </c>
      <c r="G157" s="9">
        <v>65</v>
      </c>
      <c r="H157" s="9" t="str">
        <f>IFERROR(MID(VLOOKUP($B157,Seqs!$A:$B,2,0),I157,1),"")</f>
        <v>K</v>
      </c>
      <c r="I157" s="112">
        <v>66</v>
      </c>
      <c r="J157" s="9" t="str">
        <f>IFERROR(MID(VLOOKUP($B157,Seqs!$A:$B,2,0),K157,1),"")</f>
        <v>R</v>
      </c>
      <c r="K157" s="112">
        <v>69</v>
      </c>
      <c r="L157" s="9" t="str">
        <f>IFERROR(MID(VLOOKUP($B157,Seqs!$A:$B,2,0),M157,1),"")</f>
        <v>T</v>
      </c>
      <c r="M157" s="9">
        <v>70</v>
      </c>
      <c r="N157" s="9" t="str">
        <f>IFERROR(MID(VLOOKUP($B157,Seqs!$A:$B,2,0),O157,1),"")</f>
        <v>H</v>
      </c>
      <c r="O157" s="9">
        <v>100</v>
      </c>
      <c r="P157" s="9" t="str">
        <f>IFERROR(MID(VLOOKUP($B157,Seqs!$A:$B,2,0),Q157,1),"")</f>
        <v>Y</v>
      </c>
      <c r="Q157" s="9">
        <v>102</v>
      </c>
      <c r="R157" s="9" t="str">
        <f>IFERROR(MID(VLOOKUP($B157,Seqs!$A:$B,2,0),S157,1),"")</f>
        <v>F</v>
      </c>
      <c r="S157" s="9">
        <v>105</v>
      </c>
      <c r="T157" s="9" t="str">
        <f>IFERROR(MID(VLOOKUP($B157,Seqs!$A:$B,2,0),U157,1),"")</f>
        <v>G</v>
      </c>
      <c r="U157" s="9">
        <v>106</v>
      </c>
      <c r="V157" s="9" t="str">
        <f>IFERROR(MID(VLOOKUP($B157,Seqs!$A:$B,2,0),W157,1),"")</f>
        <v>K</v>
      </c>
      <c r="W157" s="9">
        <v>141</v>
      </c>
      <c r="X157" s="9" t="str">
        <f>IFERROR(MID(VLOOKUP($B157,Seqs!$A:$B,2,0),Y157,1),"")</f>
        <v/>
      </c>
      <c r="Y157" s="9" t="s">
        <v>23</v>
      </c>
      <c r="Z157" s="9" t="str">
        <f>IFERROR(MID(VLOOKUP($B157,Seqs!$A:$B,2,0),AA157,1),"")</f>
        <v/>
      </c>
      <c r="AA157" s="9" t="s">
        <v>23</v>
      </c>
      <c r="AB157" s="9" t="str">
        <f>IFERROR(MID(VLOOKUP($B157,Seqs!$A:$B,2,0),AC157,1),"")</f>
        <v>G</v>
      </c>
      <c r="AC157" s="9">
        <v>149</v>
      </c>
      <c r="AD157" s="9" t="str">
        <f>IFERROR(MID(VLOOKUP($B157,Seqs!$A:$B,2,0),AE157,1),"")</f>
        <v>V</v>
      </c>
      <c r="AE157" s="9">
        <v>173</v>
      </c>
      <c r="AF157" s="9" t="str">
        <f>IFERROR(MID(VLOOKUP($B157,Seqs!$A:$B,2,0),AG157,1),"")</f>
        <v>C</v>
      </c>
      <c r="AG157" s="9">
        <v>187</v>
      </c>
      <c r="AH157" s="9" t="str">
        <f>IFERROR(MID(VLOOKUP($B157,Seqs!$A:$B,2,0),AI157,1),"")</f>
        <v>I</v>
      </c>
      <c r="AI157" s="9">
        <v>189</v>
      </c>
      <c r="AJ157" s="9" t="str">
        <f>IFERROR(MID(VLOOKUP($B157,Seqs!$A:$B,2,0),AK157,1),"")</f>
        <v>N</v>
      </c>
      <c r="AK157" s="9">
        <v>199</v>
      </c>
      <c r="AL157" s="9" t="str">
        <f>IFERROR(MID(VLOOKUP($B157,Seqs!$A:$B,2,0),AM157,1),"")</f>
        <v>Q</v>
      </c>
      <c r="AM157" s="9">
        <v>237</v>
      </c>
      <c r="AN157" s="9" t="str">
        <f>IFERROR(MID(VLOOKUP($B157,Seqs!$A:$B,2,0),AO157,1),"")</f>
        <v>A</v>
      </c>
      <c r="AO157" s="9">
        <v>241</v>
      </c>
      <c r="AP157" s="9" t="str">
        <f>IFERROR(MID(VLOOKUP($B157,Seqs!$A:$B,2,0),AQ157,1),"")</f>
        <v>H</v>
      </c>
      <c r="AQ157" s="9">
        <v>278</v>
      </c>
      <c r="AR157" s="9" t="str">
        <f>IFERROR(MID(VLOOKUP($B157,Seqs!$A:$B,2,0),AS157,1),"")</f>
        <v>G</v>
      </c>
      <c r="AS157" s="9">
        <v>284</v>
      </c>
      <c r="AT157" s="9" t="str">
        <f>IFERROR(MID(VLOOKUP($B157,Seqs!$A:$B,2,0),AU157,1),"")</f>
        <v>M</v>
      </c>
      <c r="AU157" s="9">
        <v>309</v>
      </c>
      <c r="AV157" s="9" t="str">
        <f>IFERROR(MID(VLOOKUP($B157,Seqs!$A:$B,2,0),AW157,1),"")</f>
        <v>N</v>
      </c>
      <c r="AW157" s="9">
        <v>310</v>
      </c>
      <c r="AX157" s="9" t="str">
        <f>IFERROR(MID(VLOOKUP($B157,Seqs!$A:$B,2,0),AY157,1),"")</f>
        <v>C</v>
      </c>
      <c r="AY157" s="9">
        <v>322</v>
      </c>
      <c r="AZ157" s="113" t="str">
        <f>VLOOKUP(B157,Classification!A:D,2,0)</f>
        <v>A</v>
      </c>
      <c r="BA157" s="101" t="str">
        <f>VLOOKUP(B157,Classification!A:D,4,0)</f>
        <v>Opsins</v>
      </c>
      <c r="BB157" s="37" t="b">
        <f t="shared" ref="BB157" si="866"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12">
        <f t="shared" ref="BC157" si="867">_xlfn.AGGREGATE(9,6,CH157:CS157)-_xlfn.AGGREGATE(9,6,BV157:CG157)+12</f>
        <v>252</v>
      </c>
      <c r="BD157" s="41" t="s">
        <v>23</v>
      </c>
      <c r="BE157" s="9" t="s">
        <v>1297</v>
      </c>
      <c r="BF157" s="125">
        <v>2.7</v>
      </c>
      <c r="BG157" s="52" t="s">
        <v>1</v>
      </c>
      <c r="BH157" s="52" t="s">
        <v>1384</v>
      </c>
      <c r="BJ157" s="114" t="s">
        <v>1293</v>
      </c>
      <c r="BK157" s="115" t="s">
        <v>1293</v>
      </c>
      <c r="BL157" s="115" t="s">
        <v>1293</v>
      </c>
      <c r="BM157" s="115" t="s">
        <v>1293</v>
      </c>
      <c r="BN157" s="115" t="s">
        <v>1293</v>
      </c>
      <c r="BO157" s="115" t="s">
        <v>1293</v>
      </c>
      <c r="BP157" s="115" t="s">
        <v>1293</v>
      </c>
      <c r="BQ157" s="115" t="s">
        <v>1293</v>
      </c>
      <c r="BR157" s="115" t="s">
        <v>1293</v>
      </c>
      <c r="BS157" s="115" t="s">
        <v>1293</v>
      </c>
      <c r="BT157" s="115" t="s">
        <v>1293</v>
      </c>
      <c r="BU157" s="115" t="s">
        <v>1293</v>
      </c>
      <c r="BV157" s="114">
        <f t="shared" ref="BV157" si="868">E157</f>
        <v>34</v>
      </c>
      <c r="BW157" s="116">
        <f t="shared" ref="BW157" si="869">I157</f>
        <v>66</v>
      </c>
      <c r="BX157" s="117">
        <f t="shared" ref="BX157" si="870">M157</f>
        <v>70</v>
      </c>
      <c r="BY157" s="116">
        <f t="shared" ref="BY157" si="871">Q157</f>
        <v>102</v>
      </c>
      <c r="BZ157" s="117">
        <f t="shared" ref="BZ157" si="872">U157</f>
        <v>106</v>
      </c>
      <c r="CA157" s="116" t="str">
        <f t="shared" ref="CA157" si="873">Y157</f>
        <v>-</v>
      </c>
      <c r="CB157" s="117">
        <f t="shared" ref="CB157" si="874">AC157</f>
        <v>149</v>
      </c>
      <c r="CC157" s="116">
        <f t="shared" ref="CC157" si="875">AG157</f>
        <v>187</v>
      </c>
      <c r="CD157" s="117">
        <f t="shared" ref="CD157" si="876">AK157</f>
        <v>199</v>
      </c>
      <c r="CE157" s="116">
        <f t="shared" ref="CE157" si="877">AO157</f>
        <v>241</v>
      </c>
      <c r="CF157" s="117">
        <f t="shared" ref="CF157" si="878">AS157</f>
        <v>284</v>
      </c>
      <c r="CG157" s="116">
        <f t="shared" ref="CG157" si="879">AW157</f>
        <v>310</v>
      </c>
      <c r="CH157" s="114">
        <f t="shared" ref="CH157" si="880">G157</f>
        <v>65</v>
      </c>
      <c r="CI157" s="116">
        <f t="shared" ref="CI157" si="881">K157</f>
        <v>69</v>
      </c>
      <c r="CJ157" s="117">
        <f t="shared" ref="CJ157" si="882">O157</f>
        <v>100</v>
      </c>
      <c r="CK157" s="117">
        <f t="shared" ref="CK157" si="883">S157</f>
        <v>105</v>
      </c>
      <c r="CL157" s="117">
        <f t="shared" ref="CL157" si="884">W157</f>
        <v>141</v>
      </c>
      <c r="CM157" s="117" t="str">
        <f t="shared" ref="CM157" si="885">AA157</f>
        <v>-</v>
      </c>
      <c r="CN157" s="117">
        <f t="shared" ref="CN157" si="886">AE157</f>
        <v>173</v>
      </c>
      <c r="CO157" s="117">
        <f t="shared" ref="CO157" si="887">AI157</f>
        <v>189</v>
      </c>
      <c r="CP157" s="117">
        <f t="shared" ref="CP157" si="888">AM157</f>
        <v>237</v>
      </c>
      <c r="CQ157" s="117">
        <f t="shared" ref="CQ157" si="889">AQ157</f>
        <v>278</v>
      </c>
      <c r="CR157" s="117">
        <f t="shared" ref="CR157" si="890">AU157</f>
        <v>309</v>
      </c>
      <c r="CS157" s="117">
        <f t="shared" ref="CS157" si="891">AY157</f>
        <v>322</v>
      </c>
      <c r="CT157" s="112">
        <f t="shared" ref="CT157" si="892">M157-K157</f>
        <v>1</v>
      </c>
    </row>
    <row r="158" spans="1:1030" s="12" customFormat="1" x14ac:dyDescent="0.2">
      <c r="A158" s="9" t="str">
        <f t="shared" ref="A158" si="893">CONCATENATE(B158,"_",C158)</f>
        <v>opsd_bovin_5TE5</v>
      </c>
      <c r="B158" s="9" t="s">
        <v>920</v>
      </c>
      <c r="C158" s="9" t="s">
        <v>1408</v>
      </c>
      <c r="D158" s="9" t="str">
        <f>IFERROR(MID(VLOOKUP($B158,Seqs!$A:$B,2,0),E158,1),"")</f>
        <v>Q</v>
      </c>
      <c r="E158" s="9">
        <v>36</v>
      </c>
      <c r="F158" s="9" t="str">
        <f>IFERROR(MID(VLOOKUP($B158,Seqs!$A:$B,2,0),G158,1),"")</f>
        <v>H</v>
      </c>
      <c r="G158" s="9">
        <v>65</v>
      </c>
      <c r="H158" s="9" t="str">
        <f>IFERROR(MID(VLOOKUP($B158,Seqs!$A:$B,2,0),I158,1),"")</f>
        <v>K</v>
      </c>
      <c r="I158" s="112">
        <v>66</v>
      </c>
      <c r="J158" s="9" t="str">
        <f>IFERROR(MID(VLOOKUP($B158,Seqs!$A:$B,2,0),K158,1),"")</f>
        <v>R</v>
      </c>
      <c r="K158" s="112">
        <v>69</v>
      </c>
      <c r="L158" s="9" t="str">
        <f>IFERROR(MID(VLOOKUP($B158,Seqs!$A:$B,2,0),M158,1),"")</f>
        <v>T</v>
      </c>
      <c r="M158" s="9">
        <v>70</v>
      </c>
      <c r="N158" s="9" t="str">
        <f>IFERROR(MID(VLOOKUP($B158,Seqs!$A:$B,2,0),O158,1),"")</f>
        <v>H</v>
      </c>
      <c r="O158" s="9">
        <v>100</v>
      </c>
      <c r="P158" s="9" t="str">
        <f>IFERROR(MID(VLOOKUP($B158,Seqs!$A:$B,2,0),Q158,1),"")</f>
        <v>Y</v>
      </c>
      <c r="Q158" s="9">
        <v>102</v>
      </c>
      <c r="R158" s="9" t="str">
        <f>IFERROR(MID(VLOOKUP($B158,Seqs!$A:$B,2,0),S158,1),"")</f>
        <v>F</v>
      </c>
      <c r="S158" s="9">
        <v>105</v>
      </c>
      <c r="T158" s="9" t="str">
        <f>IFERROR(MID(VLOOKUP($B158,Seqs!$A:$B,2,0),U158,1),"")</f>
        <v>G</v>
      </c>
      <c r="U158" s="9">
        <v>106</v>
      </c>
      <c r="V158" s="9" t="str">
        <f>IFERROR(MID(VLOOKUP($B158,Seqs!$A:$B,2,0),W158,1),"")</f>
        <v>K</v>
      </c>
      <c r="W158" s="9">
        <v>141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G</v>
      </c>
      <c r="AC158" s="9">
        <v>149</v>
      </c>
      <c r="AD158" s="9" t="str">
        <f>IFERROR(MID(VLOOKUP($B158,Seqs!$A:$B,2,0),AE158,1),"")</f>
        <v>V</v>
      </c>
      <c r="AE158" s="9">
        <v>173</v>
      </c>
      <c r="AF158" s="9" t="str">
        <f>IFERROR(MID(VLOOKUP($B158,Seqs!$A:$B,2,0),AG158,1),"")</f>
        <v>C</v>
      </c>
      <c r="AG158" s="9">
        <v>187</v>
      </c>
      <c r="AH158" s="9" t="str">
        <f>IFERROR(MID(VLOOKUP($B158,Seqs!$A:$B,2,0),AI158,1),"")</f>
        <v>I</v>
      </c>
      <c r="AI158" s="9">
        <v>189</v>
      </c>
      <c r="AJ158" s="9" t="str">
        <f>IFERROR(MID(VLOOKUP($B158,Seqs!$A:$B,2,0),AK158,1),"")</f>
        <v>S</v>
      </c>
      <c r="AK158" s="9">
        <v>202</v>
      </c>
      <c r="AL158" s="9" t="str">
        <f>IFERROR(MID(VLOOKUP($B158,Seqs!$A:$B,2,0),AM158,1),"")</f>
        <v>L</v>
      </c>
      <c r="AM158" s="9">
        <v>226</v>
      </c>
      <c r="AN158" s="9" t="str">
        <f>IFERROR(MID(VLOOKUP($B158,Seqs!$A:$B,2,0),AO158,1),"")</f>
        <v>T</v>
      </c>
      <c r="AO158" s="9">
        <v>243</v>
      </c>
      <c r="AP158" s="9" t="str">
        <f>IFERROR(MID(VLOOKUP($B158,Seqs!$A:$B,2,0),AQ158,1),"")</f>
        <v>H</v>
      </c>
      <c r="AQ158" s="9">
        <v>278</v>
      </c>
      <c r="AR158" s="9" t="str">
        <f>IFERROR(MID(VLOOKUP($B158,Seqs!$A:$B,2,0),AS158,1),"")</f>
        <v>P</v>
      </c>
      <c r="AS158" s="9">
        <v>285</v>
      </c>
      <c r="AT158" s="9" t="str">
        <f>IFERROR(MID(VLOOKUP($B158,Seqs!$A:$B,2,0),AU158,1),"")</f>
        <v>M</v>
      </c>
      <c r="AU158" s="9">
        <v>309</v>
      </c>
      <c r="AV158" s="9" t="str">
        <f>IFERROR(MID(VLOOKUP($B158,Seqs!$A:$B,2,0),AW158,1),"")</f>
        <v>N</v>
      </c>
      <c r="AW158" s="9">
        <v>310</v>
      </c>
      <c r="AX158" s="9" t="str">
        <f>IFERROR(MID(VLOOKUP($B158,Seqs!$A:$B,2,0),AY158,1),"")</f>
        <v>C</v>
      </c>
      <c r="AY158" s="9">
        <v>323</v>
      </c>
      <c r="AZ158" s="113" t="str">
        <f>VLOOKUP(B158,Classification!A:D,2,0)</f>
        <v>A</v>
      </c>
      <c r="BA158" s="101" t="str">
        <f>VLOOKUP(B158,Classification!A:D,4,0)</f>
        <v>Opsins</v>
      </c>
      <c r="BB158" s="37" t="b">
        <f t="shared" ref="BB158" si="894"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12">
        <f t="shared" ref="BC158" si="895">_xlfn.AGGREGATE(9,6,CH158:CS158)-_xlfn.AGGREGATE(9,6,BV158:CG158)+12</f>
        <v>234</v>
      </c>
      <c r="BD158" s="41" t="s">
        <v>23</v>
      </c>
      <c r="BE158" s="9" t="s">
        <v>1381</v>
      </c>
      <c r="BF158" s="125">
        <v>4.01</v>
      </c>
      <c r="BG158" s="52" t="s">
        <v>1384</v>
      </c>
      <c r="BH158" s="52" t="s">
        <v>1384</v>
      </c>
      <c r="BJ158" s="114" t="s">
        <v>1293</v>
      </c>
      <c r="BK158" s="115" t="s">
        <v>1293</v>
      </c>
      <c r="BL158" s="115" t="s">
        <v>1293</v>
      </c>
      <c r="BM158" s="115" t="s">
        <v>1293</v>
      </c>
      <c r="BN158" s="115" t="s">
        <v>1293</v>
      </c>
      <c r="BO158" s="115" t="s">
        <v>1293</v>
      </c>
      <c r="BP158" s="115" t="s">
        <v>1293</v>
      </c>
      <c r="BQ158" s="115" t="s">
        <v>1293</v>
      </c>
      <c r="BR158" s="115" t="s">
        <v>1293</v>
      </c>
      <c r="BS158" s="115" t="s">
        <v>1293</v>
      </c>
      <c r="BT158" s="115" t="s">
        <v>1293</v>
      </c>
      <c r="BU158" s="115" t="s">
        <v>1293</v>
      </c>
      <c r="BV158" s="114">
        <f t="shared" ref="BV158" si="896">E158</f>
        <v>36</v>
      </c>
      <c r="BW158" s="116">
        <f t="shared" ref="BW158" si="897">I158</f>
        <v>66</v>
      </c>
      <c r="BX158" s="117">
        <f t="shared" ref="BX158" si="898">M158</f>
        <v>70</v>
      </c>
      <c r="BY158" s="116">
        <f t="shared" ref="BY158" si="899">Q158</f>
        <v>102</v>
      </c>
      <c r="BZ158" s="117">
        <f t="shared" ref="BZ158" si="900">U158</f>
        <v>106</v>
      </c>
      <c r="CA158" s="116" t="str">
        <f t="shared" ref="CA158" si="901">Y158</f>
        <v>-</v>
      </c>
      <c r="CB158" s="117">
        <f t="shared" ref="CB158" si="902">AC158</f>
        <v>149</v>
      </c>
      <c r="CC158" s="116">
        <f t="shared" ref="CC158" si="903">AG158</f>
        <v>187</v>
      </c>
      <c r="CD158" s="117">
        <f t="shared" ref="CD158" si="904">AK158</f>
        <v>202</v>
      </c>
      <c r="CE158" s="116">
        <f t="shared" ref="CE158" si="905">AO158</f>
        <v>243</v>
      </c>
      <c r="CF158" s="117">
        <f t="shared" ref="CF158" si="906">AS158</f>
        <v>285</v>
      </c>
      <c r="CG158" s="116">
        <f t="shared" ref="CG158" si="907">AW158</f>
        <v>310</v>
      </c>
      <c r="CH158" s="114">
        <f t="shared" ref="CH158" si="908">G158</f>
        <v>65</v>
      </c>
      <c r="CI158" s="116">
        <f t="shared" ref="CI158" si="909">K158</f>
        <v>69</v>
      </c>
      <c r="CJ158" s="117">
        <f t="shared" ref="CJ158" si="910">O158</f>
        <v>100</v>
      </c>
      <c r="CK158" s="117">
        <f t="shared" ref="CK158" si="911">S158</f>
        <v>105</v>
      </c>
      <c r="CL158" s="117">
        <f t="shared" ref="CL158" si="912">W158</f>
        <v>141</v>
      </c>
      <c r="CM158" s="117" t="str">
        <f t="shared" ref="CM158" si="913">AA158</f>
        <v>-</v>
      </c>
      <c r="CN158" s="117">
        <f t="shared" ref="CN158" si="914">AE158</f>
        <v>173</v>
      </c>
      <c r="CO158" s="117">
        <f t="shared" ref="CO158" si="915">AI158</f>
        <v>189</v>
      </c>
      <c r="CP158" s="117">
        <f t="shared" ref="CP158" si="916">AM158</f>
        <v>226</v>
      </c>
      <c r="CQ158" s="117">
        <f t="shared" ref="CQ158" si="917">AQ158</f>
        <v>278</v>
      </c>
      <c r="CR158" s="117">
        <f t="shared" ref="CR158" si="918">AU158</f>
        <v>309</v>
      </c>
      <c r="CS158" s="117">
        <f t="shared" ref="CS158" si="919">AY158</f>
        <v>323</v>
      </c>
      <c r="CT158" s="112">
        <f t="shared" ref="CT158" si="920">M158-K158</f>
        <v>1</v>
      </c>
    </row>
    <row r="159" spans="1:1030" x14ac:dyDescent="0.2">
      <c r="A159" s="3" t="str">
        <f t="shared" si="863"/>
        <v>opsd_human__wt</v>
      </c>
      <c r="B159" s="3" t="s">
        <v>339</v>
      </c>
      <c r="C159" s="3" t="s">
        <v>100</v>
      </c>
      <c r="D159" s="3" t="str">
        <f>IFERROR(MID(VLOOKUP($B159,Seqs!$A:$B,2,0),E159,1),"")</f>
        <v>P</v>
      </c>
      <c r="E159" s="3">
        <v>34</v>
      </c>
      <c r="F159" s="3" t="str">
        <f>IFERROR(MID(VLOOKUP($B159,Seqs!$A:$B,2,0),G159,1),"")</f>
        <v>H</v>
      </c>
      <c r="G159" s="3">
        <v>65</v>
      </c>
      <c r="H159" s="3" t="str">
        <f>IFERROR(MID(VLOOKUP($B159,Seqs!$A:$B,2,0),I159,1),"")</f>
        <v>K</v>
      </c>
      <c r="I159" s="23">
        <v>66</v>
      </c>
      <c r="J159" s="3" t="str">
        <f>IFERROR(MID(VLOOKUP($B159,Seqs!$A:$B,2,0),K159,1),"")</f>
        <v>R</v>
      </c>
      <c r="K159" s="23">
        <v>69</v>
      </c>
      <c r="L159" s="3" t="str">
        <f>IFERROR(MID(VLOOKUP($B159,Seqs!$A:$B,2,0),M159,1),"")</f>
        <v>T</v>
      </c>
      <c r="M159" s="3">
        <v>70</v>
      </c>
      <c r="N159" s="3" t="str">
        <f>IFERROR(MID(VLOOKUP($B159,Seqs!$A:$B,2,0),O159,1),"")</f>
        <v>H</v>
      </c>
      <c r="O159" s="3">
        <v>100</v>
      </c>
      <c r="P159" s="3" t="str">
        <f>IFERROR(MID(VLOOKUP($B159,Seqs!$A:$B,2,0),Q159,1),"")</f>
        <v>Y</v>
      </c>
      <c r="Q159" s="3">
        <v>102</v>
      </c>
      <c r="R159" s="3" t="str">
        <f>IFERROR(MID(VLOOKUP($B159,Seqs!$A:$B,2,0),S159,1),"")</f>
        <v>F</v>
      </c>
      <c r="S159" s="3">
        <v>105</v>
      </c>
      <c r="T159" s="3" t="str">
        <f>IFERROR(MID(VLOOKUP($B159,Seqs!$A:$B,2,0),U159,1),"")</f>
        <v>G</v>
      </c>
      <c r="U159" s="3">
        <v>106</v>
      </c>
      <c r="V159" s="3" t="str">
        <f>IFERROR(MID(VLOOKUP($B159,Seqs!$A:$B,2,0),W159,1),"")</f>
        <v>K</v>
      </c>
      <c r="W159" s="3">
        <v>141</v>
      </c>
      <c r="X159" s="3" t="str">
        <f>IFERROR(MID(VLOOKUP($B159,Seqs!$A:$B,2,0),Y159,1),"")</f>
        <v>P</v>
      </c>
      <c r="Y159" s="3">
        <v>142</v>
      </c>
      <c r="Z159" s="3" t="str">
        <f>IFERROR(MID(VLOOKUP($B159,Seqs!$A:$B,2,0),AA159,1),"")</f>
        <v>F</v>
      </c>
      <c r="AA159" s="3">
        <v>148</v>
      </c>
      <c r="AB159" s="3" t="str">
        <f>IFERROR(MID(VLOOKUP($B159,Seqs!$A:$B,2,0),AC159,1),"")</f>
        <v>G</v>
      </c>
      <c r="AC159" s="9">
        <v>149</v>
      </c>
      <c r="AD159" s="3" t="str">
        <f>IFERROR(MID(VLOOKUP($B159,Seqs!$A:$B,2,0),AE159,1),"")</f>
        <v>A</v>
      </c>
      <c r="AE159" s="3">
        <v>173</v>
      </c>
      <c r="AF159" s="3" t="str">
        <f>IFERROR(MID(VLOOKUP($B159,Seqs!$A:$B,2,0),AG159,1),"")</f>
        <v>C</v>
      </c>
      <c r="AG159" s="3">
        <v>187</v>
      </c>
      <c r="AH159" s="3" t="str">
        <f>IFERROR(MID(VLOOKUP($B159,Seqs!$A:$B,2,0),AI159,1),"")</f>
        <v>I</v>
      </c>
      <c r="AI159" s="3">
        <v>189</v>
      </c>
      <c r="AJ159" s="3" t="str">
        <f>IFERROR(MID(VLOOKUP($B159,Seqs!$A:$B,2,0),AK159,1),"")</f>
        <v>N</v>
      </c>
      <c r="AK159" s="3">
        <v>199</v>
      </c>
      <c r="AL159" s="3" t="str">
        <f>IFERROR(MID(VLOOKUP($B159,Seqs!$A:$B,2,0),AM159,1),"")</f>
        <v>Q</v>
      </c>
      <c r="AM159" s="3">
        <v>237</v>
      </c>
      <c r="AN159" s="3" t="str">
        <f>IFERROR(MID(VLOOKUP($B159,Seqs!$A:$B,2,0),AO159,1),"")</f>
        <v>A</v>
      </c>
      <c r="AO159" s="3">
        <v>241</v>
      </c>
      <c r="AP159" s="3" t="str">
        <f>IFERROR(MID(VLOOKUP($B159,Seqs!$A:$B,2,0),AQ159,1),"")</f>
        <v>H</v>
      </c>
      <c r="AQ159" s="3">
        <v>278</v>
      </c>
      <c r="AR159" s="3" t="str">
        <f>IFERROR(MID(VLOOKUP($B159,Seqs!$A:$B,2,0),AS159,1),"")</f>
        <v>G</v>
      </c>
      <c r="AS159" s="3">
        <v>284</v>
      </c>
      <c r="AT159" s="3" t="str">
        <f>IFERROR(MID(VLOOKUP($B159,Seqs!$A:$B,2,0),AU159,1),"")</f>
        <v>M</v>
      </c>
      <c r="AU159" s="3">
        <v>309</v>
      </c>
      <c r="AV159" s="3" t="str">
        <f>IFERROR(MID(VLOOKUP($B159,Seqs!$A:$B,2,0),AW159,1),"")</f>
        <v>N</v>
      </c>
      <c r="AW159" s="3">
        <v>310</v>
      </c>
      <c r="AX159" s="3" t="str">
        <f>IFERROR(MID(VLOOKUP($B159,Seqs!$A:$B,2,0),AY159,1),"")</f>
        <v>C</v>
      </c>
      <c r="AY159" s="3">
        <v>322</v>
      </c>
      <c r="AZ159" s="79" t="str">
        <f>VLOOKUP(B159,Classification!A:D,2,0)</f>
        <v>A</v>
      </c>
      <c r="BA159" s="97" t="str">
        <f>VLOOKUP(B159,Classification!A:D,4,0)</f>
        <v>Opsins</v>
      </c>
      <c r="BB159" s="27" t="b">
        <f t="shared" si="864"/>
        <v>1</v>
      </c>
      <c r="BC159" s="23">
        <f t="shared" si="837"/>
        <v>258</v>
      </c>
      <c r="BD159" s="57" t="s">
        <v>1379</v>
      </c>
      <c r="BE159" s="3" t="s">
        <v>23</v>
      </c>
      <c r="BF159" s="124" t="s">
        <v>23</v>
      </c>
      <c r="BG159" s="50" t="s">
        <v>1379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838"/>
        <v>34</v>
      </c>
      <c r="BW159" s="73">
        <f t="shared" si="839"/>
        <v>66</v>
      </c>
      <c r="BX159" s="74">
        <f t="shared" si="840"/>
        <v>70</v>
      </c>
      <c r="BY159" s="73">
        <f t="shared" si="841"/>
        <v>102</v>
      </c>
      <c r="BZ159" s="74">
        <f t="shared" si="842"/>
        <v>106</v>
      </c>
      <c r="CA159" s="73">
        <f t="shared" si="843"/>
        <v>142</v>
      </c>
      <c r="CB159" s="74">
        <f t="shared" si="844"/>
        <v>149</v>
      </c>
      <c r="CC159" s="73">
        <f t="shared" si="845"/>
        <v>187</v>
      </c>
      <c r="CD159" s="74">
        <f t="shared" si="846"/>
        <v>199</v>
      </c>
      <c r="CE159" s="73">
        <f t="shared" si="847"/>
        <v>241</v>
      </c>
      <c r="CF159" s="74">
        <f t="shared" si="848"/>
        <v>284</v>
      </c>
      <c r="CG159" s="73">
        <f t="shared" si="849"/>
        <v>310</v>
      </c>
      <c r="CH159" s="72">
        <f t="shared" si="850"/>
        <v>65</v>
      </c>
      <c r="CI159" s="73">
        <f t="shared" si="851"/>
        <v>69</v>
      </c>
      <c r="CJ159" s="74">
        <f t="shared" si="852"/>
        <v>100</v>
      </c>
      <c r="CK159" s="74">
        <f t="shared" si="853"/>
        <v>105</v>
      </c>
      <c r="CL159" s="74">
        <f t="shared" si="854"/>
        <v>141</v>
      </c>
      <c r="CM159" s="74">
        <f t="shared" si="855"/>
        <v>148</v>
      </c>
      <c r="CN159" s="74">
        <f t="shared" si="856"/>
        <v>173</v>
      </c>
      <c r="CO159" s="74">
        <f t="shared" si="857"/>
        <v>189</v>
      </c>
      <c r="CP159" s="74">
        <f t="shared" si="858"/>
        <v>237</v>
      </c>
      <c r="CQ159" s="74">
        <f t="shared" si="859"/>
        <v>278</v>
      </c>
      <c r="CR159" s="74">
        <f t="shared" si="860"/>
        <v>309</v>
      </c>
      <c r="CS159" s="74">
        <f t="shared" si="861"/>
        <v>322</v>
      </c>
      <c r="CT159" s="23">
        <f t="shared" si="862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863"/>
        <v>opsd_human_4ZWJ</v>
      </c>
      <c r="B160" s="3" t="s">
        <v>339</v>
      </c>
      <c r="C160" s="3" t="s">
        <v>55</v>
      </c>
      <c r="D160" s="3" t="str">
        <f>IFERROR(MID(VLOOKUP($B160,Seqs!$A:$B,2,0),E160,1),"")</f>
        <v>P</v>
      </c>
      <c r="E160" s="3">
        <v>34</v>
      </c>
      <c r="F160" s="3" t="str">
        <f>IFERROR(MID(VLOOKUP($B160,Seqs!$A:$B,2,0),G160,1),"")</f>
        <v>H</v>
      </c>
      <c r="G160" s="3">
        <v>65</v>
      </c>
      <c r="H160" s="3" t="str">
        <f>IFERROR(MID(VLOOKUP($B160,Seqs!$A:$B,2,0),I160,1),"")</f>
        <v>K</v>
      </c>
      <c r="I160" s="23">
        <v>66</v>
      </c>
      <c r="J160" s="3" t="str">
        <f>IFERROR(MID(VLOOKUP($B160,Seqs!$A:$B,2,0),K160,1),"")</f>
        <v>R</v>
      </c>
      <c r="K160" s="23">
        <v>69</v>
      </c>
      <c r="L160" s="3" t="str">
        <f>IFERROR(MID(VLOOKUP($B160,Seqs!$A:$B,2,0),M160,1),"")</f>
        <v>T</v>
      </c>
      <c r="M160" s="3">
        <v>70</v>
      </c>
      <c r="N160" s="3" t="str">
        <f>IFERROR(MID(VLOOKUP($B160,Seqs!$A:$B,2,0),O160,1),"")</f>
        <v>H</v>
      </c>
      <c r="O160" s="3">
        <v>100</v>
      </c>
      <c r="P160" s="3" t="str">
        <f>IFERROR(MID(VLOOKUP($B160,Seqs!$A:$B,2,0),Q160,1),"")</f>
        <v>Y</v>
      </c>
      <c r="Q160" s="3">
        <v>102</v>
      </c>
      <c r="R160" s="3" t="str">
        <f>IFERROR(MID(VLOOKUP($B160,Seqs!$A:$B,2,0),S160,1),"")</f>
        <v>F</v>
      </c>
      <c r="S160" s="3">
        <v>105</v>
      </c>
      <c r="T160" s="3" t="str">
        <f>IFERROR(MID(VLOOKUP($B160,Seqs!$A:$B,2,0),U160,1),"")</f>
        <v>G</v>
      </c>
      <c r="U160" s="3">
        <v>106</v>
      </c>
      <c r="V160" s="3" t="str">
        <f>IFERROR(MID(VLOOKUP($B160,Seqs!$A:$B,2,0),W160,1),"")</f>
        <v>K</v>
      </c>
      <c r="W160" s="3">
        <v>141</v>
      </c>
      <c r="X160" s="3" t="str">
        <f>IFERROR(MID(VLOOKUP($B160,Seqs!$A:$B,2,0),Y160,1),"")</f>
        <v>P</v>
      </c>
      <c r="Y160" s="3">
        <v>142</v>
      </c>
      <c r="Z160" s="3" t="str">
        <f>IFERROR(MID(VLOOKUP($B160,Seqs!$A:$B,2,0),AA160,1),"")</f>
        <v>F</v>
      </c>
      <c r="AA160" s="3">
        <v>148</v>
      </c>
      <c r="AB160" s="3" t="str">
        <f>IFERROR(MID(VLOOKUP($B160,Seqs!$A:$B,2,0),AC160,1),"")</f>
        <v>G</v>
      </c>
      <c r="AC160" s="9">
        <v>149</v>
      </c>
      <c r="AD160" s="3" t="str">
        <f>IFERROR(MID(VLOOKUP($B160,Seqs!$A:$B,2,0),AE160,1),"")</f>
        <v>A</v>
      </c>
      <c r="AE160" s="3">
        <v>173</v>
      </c>
      <c r="AF160" s="3" t="str">
        <f>IFERROR(MID(VLOOKUP($B160,Seqs!$A:$B,2,0),AG160,1),"")</f>
        <v>C</v>
      </c>
      <c r="AG160" s="3">
        <v>187</v>
      </c>
      <c r="AH160" s="3" t="str">
        <f>IFERROR(MID(VLOOKUP($B160,Seqs!$A:$B,2,0),AI160,1),"")</f>
        <v>I</v>
      </c>
      <c r="AI160" s="3">
        <v>189</v>
      </c>
      <c r="AJ160" s="3" t="str">
        <f>IFERROR(MID(VLOOKUP($B160,Seqs!$A:$B,2,0),AK160,1),"")</f>
        <v>N</v>
      </c>
      <c r="AK160" s="3">
        <v>199</v>
      </c>
      <c r="AL160" s="3" t="str">
        <f>IFERROR(MID(VLOOKUP($B160,Seqs!$A:$B,2,0),AM160,1),"")</f>
        <v>Q</v>
      </c>
      <c r="AM160" s="3">
        <v>237</v>
      </c>
      <c r="AN160" s="3" t="str">
        <f>IFERROR(MID(VLOOKUP($B160,Seqs!$A:$B,2,0),AO160,1),"")</f>
        <v>A</v>
      </c>
      <c r="AO160" s="3">
        <v>241</v>
      </c>
      <c r="AP160" s="3" t="str">
        <f>IFERROR(MID(VLOOKUP($B160,Seqs!$A:$B,2,0),AQ160,1),"")</f>
        <v>H</v>
      </c>
      <c r="AQ160" s="3">
        <v>278</v>
      </c>
      <c r="AR160" s="3" t="str">
        <f>IFERROR(MID(VLOOKUP($B160,Seqs!$A:$B,2,0),AS160,1),"")</f>
        <v>G</v>
      </c>
      <c r="AS160" s="3">
        <v>284</v>
      </c>
      <c r="AT160" s="3" t="str">
        <f>IFERROR(MID(VLOOKUP($B160,Seqs!$A:$B,2,0),AU160,1),"")</f>
        <v>M</v>
      </c>
      <c r="AU160" s="3">
        <v>309</v>
      </c>
      <c r="AV160" s="3" t="str">
        <f>IFERROR(MID(VLOOKUP($B160,Seqs!$A:$B,2,0),AW160,1),"")</f>
        <v>N</v>
      </c>
      <c r="AW160" s="3">
        <v>310</v>
      </c>
      <c r="AX160" s="3" t="str">
        <f>IFERROR(MID(VLOOKUP($B160,Seqs!$A:$B,2,0),AY160,1),"")</f>
        <v>C</v>
      </c>
      <c r="AY160" s="3">
        <v>322</v>
      </c>
      <c r="AZ160" s="79" t="str">
        <f>VLOOKUP(B160,Classification!A:D,2,0)</f>
        <v>A</v>
      </c>
      <c r="BA160" s="97" t="str">
        <f>VLOOKUP(B160,Classification!A:D,4,0)</f>
        <v>Opsins</v>
      </c>
      <c r="BB160" s="27" t="b">
        <f t="shared" si="864"/>
        <v>1</v>
      </c>
      <c r="BC160" s="23">
        <f t="shared" si="837"/>
        <v>258</v>
      </c>
      <c r="BD160" s="2" t="s">
        <v>1382</v>
      </c>
      <c r="BE160" s="3" t="s">
        <v>1297</v>
      </c>
      <c r="BF160" s="124">
        <v>3.3</v>
      </c>
      <c r="BG160" s="50" t="s">
        <v>1384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838"/>
        <v>34</v>
      </c>
      <c r="BW160" s="73">
        <f t="shared" si="839"/>
        <v>66</v>
      </c>
      <c r="BX160" s="74">
        <f t="shared" si="840"/>
        <v>70</v>
      </c>
      <c r="BY160" s="73">
        <f t="shared" si="841"/>
        <v>102</v>
      </c>
      <c r="BZ160" s="74">
        <f t="shared" si="842"/>
        <v>106</v>
      </c>
      <c r="CA160" s="73">
        <f t="shared" si="843"/>
        <v>142</v>
      </c>
      <c r="CB160" s="74">
        <f t="shared" si="844"/>
        <v>149</v>
      </c>
      <c r="CC160" s="73">
        <f t="shared" si="845"/>
        <v>187</v>
      </c>
      <c r="CD160" s="74">
        <f t="shared" si="846"/>
        <v>199</v>
      </c>
      <c r="CE160" s="73">
        <f t="shared" si="847"/>
        <v>241</v>
      </c>
      <c r="CF160" s="74">
        <f t="shared" si="848"/>
        <v>284</v>
      </c>
      <c r="CG160" s="73">
        <f t="shared" si="849"/>
        <v>310</v>
      </c>
      <c r="CH160" s="72">
        <f t="shared" si="850"/>
        <v>65</v>
      </c>
      <c r="CI160" s="73">
        <f t="shared" si="851"/>
        <v>69</v>
      </c>
      <c r="CJ160" s="74">
        <f t="shared" si="852"/>
        <v>100</v>
      </c>
      <c r="CK160" s="74">
        <f t="shared" si="853"/>
        <v>105</v>
      </c>
      <c r="CL160" s="74">
        <f t="shared" si="854"/>
        <v>141</v>
      </c>
      <c r="CM160" s="74">
        <f t="shared" si="855"/>
        <v>148</v>
      </c>
      <c r="CN160" s="74">
        <f t="shared" si="856"/>
        <v>173</v>
      </c>
      <c r="CO160" s="74">
        <f t="shared" si="857"/>
        <v>189</v>
      </c>
      <c r="CP160" s="74">
        <f t="shared" si="858"/>
        <v>237</v>
      </c>
      <c r="CQ160" s="74">
        <f t="shared" si="859"/>
        <v>278</v>
      </c>
      <c r="CR160" s="74">
        <f t="shared" si="860"/>
        <v>309</v>
      </c>
      <c r="CS160" s="74">
        <f t="shared" si="861"/>
        <v>322</v>
      </c>
      <c r="CT160" s="23">
        <f t="shared" si="862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9" t="str">
        <f t="shared" si="863"/>
        <v>opsd_human_5DGY</v>
      </c>
      <c r="B161" s="9" t="s">
        <v>339</v>
      </c>
      <c r="C161" s="9" t="s">
        <v>1445</v>
      </c>
      <c r="D161" s="9" t="str">
        <f>IFERROR(MID(VLOOKUP($B161,Seqs!$A:$B,2,0),E161,1),"")</f>
        <v>P</v>
      </c>
      <c r="E161" s="9">
        <v>34</v>
      </c>
      <c r="F161" s="9" t="str">
        <f>IFERROR(MID(VLOOKUP($B161,Seqs!$A:$B,2,0),G161,1),"")</f>
        <v>H</v>
      </c>
      <c r="G161" s="9">
        <v>65</v>
      </c>
      <c r="H161" s="9" t="str">
        <f>IFERROR(MID(VLOOKUP($B161,Seqs!$A:$B,2,0),I161,1),"")</f>
        <v>K</v>
      </c>
      <c r="I161" s="112">
        <v>66</v>
      </c>
      <c r="J161" s="9" t="str">
        <f>IFERROR(MID(VLOOKUP($B161,Seqs!$A:$B,2,0),K161,1),"")</f>
        <v>R</v>
      </c>
      <c r="K161" s="112">
        <v>69</v>
      </c>
      <c r="L161" s="9" t="str">
        <f>IFERROR(MID(VLOOKUP($B161,Seqs!$A:$B,2,0),M161,1),"")</f>
        <v>T</v>
      </c>
      <c r="M161" s="9">
        <v>70</v>
      </c>
      <c r="N161" s="9" t="str">
        <f>IFERROR(MID(VLOOKUP($B161,Seqs!$A:$B,2,0),O161,1),"")</f>
        <v>H</v>
      </c>
      <c r="O161" s="9">
        <v>100</v>
      </c>
      <c r="P161" s="9" t="str">
        <f>IFERROR(MID(VLOOKUP($B161,Seqs!$A:$B,2,0),Q161,1),"")</f>
        <v>Y</v>
      </c>
      <c r="Q161" s="9">
        <v>102</v>
      </c>
      <c r="R161" s="9" t="str">
        <f>IFERROR(MID(VLOOKUP($B161,Seqs!$A:$B,2,0),S161,1),"")</f>
        <v>F</v>
      </c>
      <c r="S161" s="9">
        <v>105</v>
      </c>
      <c r="T161" s="9" t="str">
        <f>IFERROR(MID(VLOOKUP($B161,Seqs!$A:$B,2,0),U161,1),"")</f>
        <v>G</v>
      </c>
      <c r="U161" s="9">
        <v>106</v>
      </c>
      <c r="V161" s="9" t="str">
        <f>IFERROR(MID(VLOOKUP($B161,Seqs!$A:$B,2,0),W161,1),"")</f>
        <v>K</v>
      </c>
      <c r="W161" s="9">
        <v>141</v>
      </c>
      <c r="X161" s="9" t="str">
        <f>IFERROR(MID(VLOOKUP($B161,Seqs!$A:$B,2,0),Y161,1),"")</f>
        <v>P</v>
      </c>
      <c r="Y161" s="9">
        <v>142</v>
      </c>
      <c r="Z161" s="9" t="str">
        <f>IFERROR(MID(VLOOKUP($B161,Seqs!$A:$B,2,0),AA161,1),"")</f>
        <v>F</v>
      </c>
      <c r="AA161" s="9">
        <v>148</v>
      </c>
      <c r="AB161" s="9" t="str">
        <f>IFERROR(MID(VLOOKUP($B161,Seqs!$A:$B,2,0),AC161,1),"")</f>
        <v>G</v>
      </c>
      <c r="AC161" s="9">
        <v>149</v>
      </c>
      <c r="AD161" s="9" t="str">
        <f>IFERROR(MID(VLOOKUP($B161,Seqs!$A:$B,2,0),AE161,1),"")</f>
        <v>A</v>
      </c>
      <c r="AE161" s="9">
        <v>173</v>
      </c>
      <c r="AF161" s="9" t="str">
        <f>IFERROR(MID(VLOOKUP($B161,Seqs!$A:$B,2,0),AG161,1),"")</f>
        <v>C</v>
      </c>
      <c r="AG161" s="9">
        <v>187</v>
      </c>
      <c r="AH161" s="9" t="str">
        <f>IFERROR(MID(VLOOKUP($B161,Seqs!$A:$B,2,0),AI161,1),"")</f>
        <v>I</v>
      </c>
      <c r="AI161" s="9">
        <v>189</v>
      </c>
      <c r="AJ161" s="9" t="str">
        <f>IFERROR(MID(VLOOKUP($B161,Seqs!$A:$B,2,0),AK161,1),"")</f>
        <v>N</v>
      </c>
      <c r="AK161" s="9">
        <v>199</v>
      </c>
      <c r="AL161" s="9" t="str">
        <f>IFERROR(MID(VLOOKUP($B161,Seqs!$A:$B,2,0),AM161,1),"")</f>
        <v>Q</v>
      </c>
      <c r="AM161" s="9">
        <v>237</v>
      </c>
      <c r="AN161" s="9" t="str">
        <f>IFERROR(MID(VLOOKUP($B161,Seqs!$A:$B,2,0),AO161,1),"")</f>
        <v>A</v>
      </c>
      <c r="AO161" s="9">
        <v>241</v>
      </c>
      <c r="AP161" s="9" t="str">
        <f>IFERROR(MID(VLOOKUP($B161,Seqs!$A:$B,2,0),AQ161,1),"")</f>
        <v>H</v>
      </c>
      <c r="AQ161" s="9">
        <v>278</v>
      </c>
      <c r="AR161" s="9" t="str">
        <f>IFERROR(MID(VLOOKUP($B161,Seqs!$A:$B,2,0),AS161,1),"")</f>
        <v>G</v>
      </c>
      <c r="AS161" s="9">
        <v>284</v>
      </c>
      <c r="AT161" s="9" t="str">
        <f>IFERROR(MID(VLOOKUP($B161,Seqs!$A:$B,2,0),AU161,1),"")</f>
        <v>M</v>
      </c>
      <c r="AU161" s="9">
        <v>309</v>
      </c>
      <c r="AV161" s="9" t="str">
        <f>IFERROR(MID(VLOOKUP($B161,Seqs!$A:$B,2,0),AW161,1),"")</f>
        <v>N</v>
      </c>
      <c r="AW161" s="9">
        <v>310</v>
      </c>
      <c r="AX161" s="9" t="str">
        <f>IFERROR(MID(VLOOKUP($B161,Seqs!$A:$B,2,0),AY161,1),"")</f>
        <v>C</v>
      </c>
      <c r="AY161" s="9">
        <v>322</v>
      </c>
      <c r="AZ161" s="113" t="str">
        <f>VLOOKUP(B161,Classification!A:D,2,0)</f>
        <v>A</v>
      </c>
      <c r="BA161" s="101" t="str">
        <f>VLOOKUP(B161,Classification!A:D,4,0)</f>
        <v>Opsins</v>
      </c>
      <c r="BB161" s="37" t="b">
        <f t="shared" si="864"/>
        <v>1</v>
      </c>
      <c r="BC161" s="112">
        <f t="shared" si="837"/>
        <v>258</v>
      </c>
      <c r="BD161" s="41" t="s">
        <v>23</v>
      </c>
      <c r="BE161" s="9" t="s">
        <v>1297</v>
      </c>
      <c r="BF161" s="125">
        <v>7.7</v>
      </c>
      <c r="BG161" s="52" t="s">
        <v>1444</v>
      </c>
      <c r="BH161" s="52" t="s">
        <v>1444</v>
      </c>
      <c r="BI161" s="12"/>
      <c r="BJ161" s="114" t="s">
        <v>1293</v>
      </c>
      <c r="BK161" s="115" t="s">
        <v>1293</v>
      </c>
      <c r="BL161" s="115" t="s">
        <v>1293</v>
      </c>
      <c r="BM161" s="115" t="s">
        <v>1293</v>
      </c>
      <c r="BN161" s="115" t="s">
        <v>1293</v>
      </c>
      <c r="BO161" s="115" t="s">
        <v>1293</v>
      </c>
      <c r="BP161" s="115" t="s">
        <v>1293</v>
      </c>
      <c r="BQ161" s="115" t="s">
        <v>1293</v>
      </c>
      <c r="BR161" s="115" t="s">
        <v>1293</v>
      </c>
      <c r="BS161" s="115" t="s">
        <v>1293</v>
      </c>
      <c r="BT161" s="115" t="s">
        <v>1293</v>
      </c>
      <c r="BU161" s="115" t="s">
        <v>1293</v>
      </c>
      <c r="BV161" s="114">
        <f t="shared" si="838"/>
        <v>34</v>
      </c>
      <c r="BW161" s="116">
        <f t="shared" si="839"/>
        <v>66</v>
      </c>
      <c r="BX161" s="117">
        <f t="shared" si="840"/>
        <v>70</v>
      </c>
      <c r="BY161" s="116">
        <f t="shared" si="841"/>
        <v>102</v>
      </c>
      <c r="BZ161" s="117">
        <f t="shared" si="842"/>
        <v>106</v>
      </c>
      <c r="CA161" s="116">
        <f t="shared" si="843"/>
        <v>142</v>
      </c>
      <c r="CB161" s="117">
        <f t="shared" si="844"/>
        <v>149</v>
      </c>
      <c r="CC161" s="116">
        <f t="shared" si="845"/>
        <v>187</v>
      </c>
      <c r="CD161" s="117">
        <f t="shared" si="846"/>
        <v>199</v>
      </c>
      <c r="CE161" s="116">
        <f t="shared" si="847"/>
        <v>241</v>
      </c>
      <c r="CF161" s="117">
        <f t="shared" si="848"/>
        <v>284</v>
      </c>
      <c r="CG161" s="116">
        <f t="shared" si="849"/>
        <v>310</v>
      </c>
      <c r="CH161" s="114">
        <f t="shared" si="850"/>
        <v>65</v>
      </c>
      <c r="CI161" s="116">
        <f t="shared" si="851"/>
        <v>69</v>
      </c>
      <c r="CJ161" s="117">
        <f t="shared" si="852"/>
        <v>100</v>
      </c>
      <c r="CK161" s="117">
        <f t="shared" si="853"/>
        <v>105</v>
      </c>
      <c r="CL161" s="117">
        <f t="shared" si="854"/>
        <v>141</v>
      </c>
      <c r="CM161" s="117">
        <f t="shared" si="855"/>
        <v>148</v>
      </c>
      <c r="CN161" s="117">
        <f t="shared" si="856"/>
        <v>173</v>
      </c>
      <c r="CO161" s="117">
        <f t="shared" si="857"/>
        <v>189</v>
      </c>
      <c r="CP161" s="117">
        <f t="shared" si="858"/>
        <v>237</v>
      </c>
      <c r="CQ161" s="117">
        <f t="shared" si="859"/>
        <v>278</v>
      </c>
      <c r="CR161" s="117">
        <f t="shared" si="860"/>
        <v>309</v>
      </c>
      <c r="CS161" s="117">
        <f t="shared" si="861"/>
        <v>322</v>
      </c>
      <c r="CT161" s="112">
        <f t="shared" si="862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s="12" customFormat="1" x14ac:dyDescent="0.2">
      <c r="A162" s="9" t="str">
        <f t="shared" ref="A162" si="921">CONCATENATE(B162,"_",C162)</f>
        <v>opsd_human_5W0P</v>
      </c>
      <c r="B162" s="9" t="s">
        <v>339</v>
      </c>
      <c r="C162" s="9" t="s">
        <v>1443</v>
      </c>
      <c r="D162" s="9" t="str">
        <f>IFERROR(MID(VLOOKUP($B162,Seqs!$A:$B,2,0),E162,1),"")</f>
        <v>P</v>
      </c>
      <c r="E162" s="9">
        <v>34</v>
      </c>
      <c r="F162" s="9" t="str">
        <f>IFERROR(MID(VLOOKUP($B162,Seqs!$A:$B,2,0),G162,1),"")</f>
        <v>H</v>
      </c>
      <c r="G162" s="9">
        <v>65</v>
      </c>
      <c r="H162" s="9" t="str">
        <f>IFERROR(MID(VLOOKUP($B162,Seqs!$A:$B,2,0),I162,1),"")</f>
        <v>K</v>
      </c>
      <c r="I162" s="112">
        <v>66</v>
      </c>
      <c r="J162" s="9" t="str">
        <f>IFERROR(MID(VLOOKUP($B162,Seqs!$A:$B,2,0),K162,1),"")</f>
        <v>R</v>
      </c>
      <c r="K162" s="112">
        <v>69</v>
      </c>
      <c r="L162" s="9" t="str">
        <f>IFERROR(MID(VLOOKUP($B162,Seqs!$A:$B,2,0),M162,1),"")</f>
        <v>T</v>
      </c>
      <c r="M162" s="9">
        <v>70</v>
      </c>
      <c r="N162" s="9" t="str">
        <f>IFERROR(MID(VLOOKUP($B162,Seqs!$A:$B,2,0),O162,1),"")</f>
        <v>H</v>
      </c>
      <c r="O162" s="9">
        <v>100</v>
      </c>
      <c r="P162" s="9" t="str">
        <f>IFERROR(MID(VLOOKUP($B162,Seqs!$A:$B,2,0),Q162,1),"")</f>
        <v>Y</v>
      </c>
      <c r="Q162" s="9">
        <v>102</v>
      </c>
      <c r="R162" s="9" t="str">
        <f>IFERROR(MID(VLOOKUP($B162,Seqs!$A:$B,2,0),S162,1),"")</f>
        <v>F</v>
      </c>
      <c r="S162" s="9">
        <v>105</v>
      </c>
      <c r="T162" s="9" t="str">
        <f>IFERROR(MID(VLOOKUP($B162,Seqs!$A:$B,2,0),U162,1),"")</f>
        <v>G</v>
      </c>
      <c r="U162" s="9">
        <v>106</v>
      </c>
      <c r="V162" s="9" t="str">
        <f>IFERROR(MID(VLOOKUP($B162,Seqs!$A:$B,2,0),W162,1),"")</f>
        <v>K</v>
      </c>
      <c r="W162" s="9">
        <v>141</v>
      </c>
      <c r="X162" s="9" t="str">
        <f>IFERROR(MID(VLOOKUP($B162,Seqs!$A:$B,2,0),Y162,1),"")</f>
        <v>P</v>
      </c>
      <c r="Y162" s="9">
        <v>142</v>
      </c>
      <c r="Z162" s="9" t="str">
        <f>IFERROR(MID(VLOOKUP($B162,Seqs!$A:$B,2,0),AA162,1),"")</f>
        <v>F</v>
      </c>
      <c r="AA162" s="9">
        <v>148</v>
      </c>
      <c r="AB162" s="9" t="str">
        <f>IFERROR(MID(VLOOKUP($B162,Seqs!$A:$B,2,0),AC162,1),"")</f>
        <v>G</v>
      </c>
      <c r="AC162" s="9">
        <v>149</v>
      </c>
      <c r="AD162" s="9" t="str">
        <f>IFERROR(MID(VLOOKUP($B162,Seqs!$A:$B,2,0),AE162,1),"")</f>
        <v>A</v>
      </c>
      <c r="AE162" s="9">
        <v>173</v>
      </c>
      <c r="AF162" s="9" t="str">
        <f>IFERROR(MID(VLOOKUP($B162,Seqs!$A:$B,2,0),AG162,1),"")</f>
        <v>C</v>
      </c>
      <c r="AG162" s="9">
        <v>187</v>
      </c>
      <c r="AH162" s="9" t="str">
        <f>IFERROR(MID(VLOOKUP($B162,Seqs!$A:$B,2,0),AI162,1),"")</f>
        <v>I</v>
      </c>
      <c r="AI162" s="9">
        <v>189</v>
      </c>
      <c r="AJ162" s="9" t="str">
        <f>IFERROR(MID(VLOOKUP($B162,Seqs!$A:$B,2,0),AK162,1),"")</f>
        <v>N</v>
      </c>
      <c r="AK162" s="9">
        <v>199</v>
      </c>
      <c r="AL162" s="9" t="str">
        <f>IFERROR(MID(VLOOKUP($B162,Seqs!$A:$B,2,0),AM162,1),"")</f>
        <v>Q</v>
      </c>
      <c r="AM162" s="9">
        <v>237</v>
      </c>
      <c r="AN162" s="9" t="str">
        <f>IFERROR(MID(VLOOKUP($B162,Seqs!$A:$B,2,0),AO162,1),"")</f>
        <v>A</v>
      </c>
      <c r="AO162" s="9">
        <v>241</v>
      </c>
      <c r="AP162" s="9" t="str">
        <f>IFERROR(MID(VLOOKUP($B162,Seqs!$A:$B,2,0),AQ162,1),"")</f>
        <v>H</v>
      </c>
      <c r="AQ162" s="9">
        <v>278</v>
      </c>
      <c r="AR162" s="9" t="str">
        <f>IFERROR(MID(VLOOKUP($B162,Seqs!$A:$B,2,0),AS162,1),"")</f>
        <v>G</v>
      </c>
      <c r="AS162" s="9">
        <v>284</v>
      </c>
      <c r="AT162" s="9" t="str">
        <f>IFERROR(MID(VLOOKUP($B162,Seqs!$A:$B,2,0),AU162,1),"")</f>
        <v>M</v>
      </c>
      <c r="AU162" s="9">
        <v>309</v>
      </c>
      <c r="AV162" s="9" t="str">
        <f>IFERROR(MID(VLOOKUP($B162,Seqs!$A:$B,2,0),AW162,1),"")</f>
        <v>N</v>
      </c>
      <c r="AW162" s="9">
        <v>310</v>
      </c>
      <c r="AX162" s="9" t="str">
        <f>IFERROR(MID(VLOOKUP($B162,Seqs!$A:$B,2,0),AY162,1),"")</f>
        <v>C</v>
      </c>
      <c r="AY162" s="9">
        <v>322</v>
      </c>
      <c r="AZ162" s="113" t="str">
        <f>VLOOKUP(B162,Classification!A:D,2,0)</f>
        <v>A</v>
      </c>
      <c r="BA162" s="101" t="str">
        <f>VLOOKUP(B162,Classification!A:D,4,0)</f>
        <v>Opsins</v>
      </c>
      <c r="BB162" s="37" t="b">
        <f t="shared" ref="BB162" si="922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112">
        <f t="shared" ref="BC162" si="923">_xlfn.AGGREGATE(9,6,CH162:CS162)-_xlfn.AGGREGATE(9,6,BV162:CG162)+12</f>
        <v>258</v>
      </c>
      <c r="BD162" s="41" t="s">
        <v>23</v>
      </c>
      <c r="BE162" s="9" t="s">
        <v>1297</v>
      </c>
      <c r="BF162" s="125">
        <v>3.01</v>
      </c>
      <c r="BG162" s="52" t="s">
        <v>1444</v>
      </c>
      <c r="BH162" s="52" t="s">
        <v>1444</v>
      </c>
      <c r="BJ162" s="114" t="s">
        <v>1293</v>
      </c>
      <c r="BK162" s="115" t="s">
        <v>1293</v>
      </c>
      <c r="BL162" s="115" t="s">
        <v>1293</v>
      </c>
      <c r="BM162" s="115" t="s">
        <v>1293</v>
      </c>
      <c r="BN162" s="115" t="s">
        <v>1293</v>
      </c>
      <c r="BO162" s="115" t="s">
        <v>1293</v>
      </c>
      <c r="BP162" s="115" t="s">
        <v>1293</v>
      </c>
      <c r="BQ162" s="115" t="s">
        <v>1293</v>
      </c>
      <c r="BR162" s="115" t="s">
        <v>1293</v>
      </c>
      <c r="BS162" s="115" t="s">
        <v>1293</v>
      </c>
      <c r="BT162" s="115" t="s">
        <v>1293</v>
      </c>
      <c r="BU162" s="115" t="s">
        <v>1293</v>
      </c>
      <c r="BV162" s="114">
        <f t="shared" ref="BV162" si="924">E162</f>
        <v>34</v>
      </c>
      <c r="BW162" s="116">
        <f t="shared" ref="BW162" si="925">I162</f>
        <v>66</v>
      </c>
      <c r="BX162" s="117">
        <f t="shared" ref="BX162" si="926">M162</f>
        <v>70</v>
      </c>
      <c r="BY162" s="116">
        <f t="shared" ref="BY162" si="927">Q162</f>
        <v>102</v>
      </c>
      <c r="BZ162" s="117">
        <f t="shared" ref="BZ162" si="928">U162</f>
        <v>106</v>
      </c>
      <c r="CA162" s="116">
        <f t="shared" ref="CA162" si="929">Y162</f>
        <v>142</v>
      </c>
      <c r="CB162" s="117">
        <f t="shared" ref="CB162" si="930">AC162</f>
        <v>149</v>
      </c>
      <c r="CC162" s="116">
        <f t="shared" ref="CC162" si="931">AG162</f>
        <v>187</v>
      </c>
      <c r="CD162" s="117">
        <f t="shared" ref="CD162" si="932">AK162</f>
        <v>199</v>
      </c>
      <c r="CE162" s="116">
        <f t="shared" ref="CE162" si="933">AO162</f>
        <v>241</v>
      </c>
      <c r="CF162" s="117">
        <f t="shared" ref="CF162" si="934">AS162</f>
        <v>284</v>
      </c>
      <c r="CG162" s="116">
        <f t="shared" ref="CG162" si="935">AW162</f>
        <v>310</v>
      </c>
      <c r="CH162" s="114">
        <f t="shared" ref="CH162" si="936">G162</f>
        <v>65</v>
      </c>
      <c r="CI162" s="116">
        <f t="shared" ref="CI162" si="937">K162</f>
        <v>69</v>
      </c>
      <c r="CJ162" s="117">
        <f t="shared" ref="CJ162" si="938">O162</f>
        <v>100</v>
      </c>
      <c r="CK162" s="117">
        <f t="shared" ref="CK162" si="939">S162</f>
        <v>105</v>
      </c>
      <c r="CL162" s="117">
        <f t="shared" ref="CL162" si="940">W162</f>
        <v>141</v>
      </c>
      <c r="CM162" s="117">
        <f t="shared" ref="CM162" si="941">AA162</f>
        <v>148</v>
      </c>
      <c r="CN162" s="117">
        <f t="shared" ref="CN162" si="942">AE162</f>
        <v>173</v>
      </c>
      <c r="CO162" s="117">
        <f t="shared" ref="CO162" si="943">AI162</f>
        <v>189</v>
      </c>
      <c r="CP162" s="117">
        <f t="shared" ref="CP162" si="944">AM162</f>
        <v>237</v>
      </c>
      <c r="CQ162" s="117">
        <f t="shared" ref="CQ162" si="945">AQ162</f>
        <v>278</v>
      </c>
      <c r="CR162" s="117">
        <f t="shared" ref="CR162" si="946">AU162</f>
        <v>309</v>
      </c>
      <c r="CS162" s="117">
        <f t="shared" ref="CS162" si="947">AY162</f>
        <v>322</v>
      </c>
      <c r="CT162" s="112">
        <f t="shared" ref="CT162" si="948">M162-K162</f>
        <v>1</v>
      </c>
    </row>
    <row r="163" spans="1:1030" x14ac:dyDescent="0.2">
      <c r="A163" s="3" t="str">
        <f t="shared" si="863"/>
        <v>opsd_todpa__wt</v>
      </c>
      <c r="B163" s="3" t="s">
        <v>922</v>
      </c>
      <c r="C163" s="3" t="s">
        <v>100</v>
      </c>
      <c r="D163" s="3" t="str">
        <f>IFERROR(MID(VLOOKUP($B163,Seqs!$A:$B,2,0),E163,1),"")</f>
        <v>D</v>
      </c>
      <c r="E163" s="3">
        <v>31</v>
      </c>
      <c r="F163" s="3" t="str">
        <f>IFERROR(MID(VLOOKUP($B163,Seqs!$A:$B,2,0),G163,1),"")</f>
        <v>T</v>
      </c>
      <c r="G163" s="3">
        <v>62</v>
      </c>
      <c r="H163" s="3" t="str">
        <f>IFERROR(MID(VLOOKUP($B163,Seqs!$A:$B,2,0),I163,1),"")</f>
        <v>K</v>
      </c>
      <c r="I163" s="23">
        <v>63</v>
      </c>
      <c r="J163" s="3" t="str">
        <f>IFERROR(MID(VLOOKUP($B163,Seqs!$A:$B,2,0),K163,1),"")</f>
        <v>Q</v>
      </c>
      <c r="K163" s="23">
        <v>66</v>
      </c>
      <c r="L163" s="3" t="str">
        <f>IFERROR(MID(VLOOKUP($B163,Seqs!$A:$B,2,0),M163,1),"")</f>
        <v>T</v>
      </c>
      <c r="M163" s="3">
        <v>67</v>
      </c>
      <c r="N163" s="3" t="str">
        <f>IFERROR(MID(VLOOKUP($B163,Seqs!$A:$B,2,0),O163,1),"")</f>
        <v>K</v>
      </c>
      <c r="O163" s="3">
        <v>99</v>
      </c>
      <c r="P163" s="3" t="str">
        <f>IFERROR(MID(VLOOKUP($B163,Seqs!$A:$B,2,0),Q163,1),"")</f>
        <v>K</v>
      </c>
      <c r="Q163" s="3">
        <v>100</v>
      </c>
      <c r="R163" s="3" t="str">
        <f>IFERROR(MID(VLOOKUP($B163,Seqs!$A:$B,2,0),S163,1),"")</f>
        <v>F</v>
      </c>
      <c r="S163" s="3">
        <v>103</v>
      </c>
      <c r="T163" s="3" t="str">
        <f>IFERROR(MID(VLOOKUP($B163,Seqs!$A:$B,2,0),U163,1),"")</f>
        <v>G</v>
      </c>
      <c r="U163" s="3">
        <v>104</v>
      </c>
      <c r="V163" s="3" t="str">
        <f>IFERROR(MID(VLOOKUP($B163,Seqs!$A:$B,2,0),W163,1),"")</f>
        <v>R</v>
      </c>
      <c r="W163" s="3">
        <v>139</v>
      </c>
      <c r="X163" s="3" t="str">
        <f>IFERROR(MID(VLOOKUP($B163,Seqs!$A:$B,2,0),Y163,1),"")</f>
        <v>P</v>
      </c>
      <c r="Y163" s="3">
        <v>140</v>
      </c>
      <c r="Z163" s="3" t="str">
        <f>IFERROR(MID(VLOOKUP($B163,Seqs!$A:$B,2,0),AA163,1),"")</f>
        <v>M</v>
      </c>
      <c r="AA163" s="3">
        <v>147</v>
      </c>
      <c r="AB163" s="3" t="str">
        <f>IFERROR(MID(VLOOKUP($B163,Seqs!$A:$B,2,0),AC163,1),"")</f>
        <v>S</v>
      </c>
      <c r="AC163" s="9">
        <v>148</v>
      </c>
      <c r="AD163" s="3" t="str">
        <f>IFERROR(MID(VLOOKUP($B163,Seqs!$A:$B,2,0),AE163,1),"")</f>
        <v>F</v>
      </c>
      <c r="AE163" s="3">
        <v>172</v>
      </c>
      <c r="AF163" s="3" t="str">
        <f>IFERROR(MID(VLOOKUP($B163,Seqs!$A:$B,2,0),AG163,1),"")</f>
        <v>C</v>
      </c>
      <c r="AG163" s="3">
        <v>186</v>
      </c>
      <c r="AH163" s="3" t="str">
        <f>IFERROR(MID(VLOOKUP($B163,Seqs!$A:$B,2,0),AI163,1),"")</f>
        <v>F</v>
      </c>
      <c r="AI163" s="3">
        <v>188</v>
      </c>
      <c r="AJ163" s="3" t="str">
        <f>IFERROR(MID(VLOOKUP($B163,Seqs!$A:$B,2,0),AK163,1),"")</f>
        <v>D</v>
      </c>
      <c r="AK163" s="3">
        <v>194</v>
      </c>
      <c r="AL163" s="3" t="str">
        <f>IFERROR(MID(VLOOKUP($B163,Seqs!$A:$B,2,0),AM163,1),"")</f>
        <v>K</v>
      </c>
      <c r="AM163" s="3">
        <v>239</v>
      </c>
      <c r="AN163" s="3" t="str">
        <f>IFERROR(MID(VLOOKUP($B163,Seqs!$A:$B,2,0),AO163,1),"")</f>
        <v>K</v>
      </c>
      <c r="AO163" s="3">
        <v>244</v>
      </c>
      <c r="AP163" s="3" t="str">
        <f>IFERROR(MID(VLOOKUP($B163,Seqs!$A:$B,2,0),AQ163,1),"")</f>
        <v>G</v>
      </c>
      <c r="AQ163" s="3">
        <v>287</v>
      </c>
      <c r="AR163" s="3" t="str">
        <f>IFERROR(MID(VLOOKUP($B163,Seqs!$A:$B,2,0),AS163,1),"")</f>
        <v>T</v>
      </c>
      <c r="AS163" s="3">
        <v>293</v>
      </c>
      <c r="AT163" s="3" t="str">
        <f>IFERROR(MID(VLOOKUP($B163,Seqs!$A:$B,2,0),AU163,1),"")</f>
        <v>S</v>
      </c>
      <c r="AU163" s="3">
        <v>318</v>
      </c>
      <c r="AV163" s="3" t="str">
        <f>IFERROR(MID(VLOOKUP($B163,Seqs!$A:$B,2,0),AW163,1),"")</f>
        <v>H</v>
      </c>
      <c r="AW163" s="3">
        <v>319</v>
      </c>
      <c r="AX163" s="3" t="str">
        <f>IFERROR(MID(VLOOKUP($B163,Seqs!$A:$B,2,0),AY163,1),"")</f>
        <v>F</v>
      </c>
      <c r="AY163" s="3">
        <v>330</v>
      </c>
      <c r="AZ163" s="79" t="str">
        <f>VLOOKUP(B163,Classification!A:D,2,0)</f>
        <v>A</v>
      </c>
      <c r="BA163" s="97" t="str">
        <f>VLOOKUP(B163,Classification!A:D,4,0)</f>
        <v>Opsins</v>
      </c>
      <c r="BB163" s="27" t="b">
        <f t="shared" si="864"/>
        <v>1</v>
      </c>
      <c r="BC163" s="23">
        <f t="shared" si="837"/>
        <v>273</v>
      </c>
      <c r="BD163" s="57" t="s">
        <v>1379</v>
      </c>
      <c r="BE163" s="3" t="s">
        <v>23</v>
      </c>
      <c r="BF163" s="124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838"/>
        <v>31</v>
      </c>
      <c r="BW163" s="73">
        <f t="shared" si="839"/>
        <v>63</v>
      </c>
      <c r="BX163" s="74">
        <f t="shared" si="840"/>
        <v>67</v>
      </c>
      <c r="BY163" s="73">
        <f t="shared" si="841"/>
        <v>100</v>
      </c>
      <c r="BZ163" s="74">
        <f t="shared" si="842"/>
        <v>104</v>
      </c>
      <c r="CA163" s="73">
        <f t="shared" si="843"/>
        <v>140</v>
      </c>
      <c r="CB163" s="74">
        <f t="shared" si="844"/>
        <v>148</v>
      </c>
      <c r="CC163" s="73">
        <f t="shared" si="845"/>
        <v>186</v>
      </c>
      <c r="CD163" s="74">
        <f t="shared" si="846"/>
        <v>194</v>
      </c>
      <c r="CE163" s="73">
        <f t="shared" si="847"/>
        <v>244</v>
      </c>
      <c r="CF163" s="74">
        <f t="shared" si="848"/>
        <v>293</v>
      </c>
      <c r="CG163" s="73">
        <f t="shared" si="849"/>
        <v>319</v>
      </c>
      <c r="CH163" s="72">
        <f t="shared" si="850"/>
        <v>62</v>
      </c>
      <c r="CI163" s="73">
        <f t="shared" si="851"/>
        <v>66</v>
      </c>
      <c r="CJ163" s="74">
        <f t="shared" si="852"/>
        <v>99</v>
      </c>
      <c r="CK163" s="74">
        <f t="shared" si="853"/>
        <v>103</v>
      </c>
      <c r="CL163" s="74">
        <f t="shared" si="854"/>
        <v>139</v>
      </c>
      <c r="CM163" s="74">
        <f t="shared" si="855"/>
        <v>147</v>
      </c>
      <c r="CN163" s="74">
        <f t="shared" si="856"/>
        <v>172</v>
      </c>
      <c r="CO163" s="74">
        <f t="shared" si="857"/>
        <v>188</v>
      </c>
      <c r="CP163" s="74">
        <f t="shared" si="858"/>
        <v>239</v>
      </c>
      <c r="CQ163" s="74">
        <f t="shared" si="859"/>
        <v>287</v>
      </c>
      <c r="CR163" s="74">
        <f t="shared" si="860"/>
        <v>318</v>
      </c>
      <c r="CS163" s="74">
        <f t="shared" si="861"/>
        <v>330</v>
      </c>
      <c r="CT163" s="23">
        <f t="shared" si="862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 t="shared" si="863"/>
        <v>opsd_todpa_2Z73</v>
      </c>
      <c r="B164" s="3" t="s">
        <v>922</v>
      </c>
      <c r="C164" s="3" t="s">
        <v>97</v>
      </c>
      <c r="D164" s="3" t="str">
        <f>IFERROR(MID(VLOOKUP($B164,Seqs!$A:$B,2,0),E164,1),"")</f>
        <v>D</v>
      </c>
      <c r="E164" s="3">
        <v>31</v>
      </c>
      <c r="F164" s="3" t="str">
        <f>IFERROR(MID(VLOOKUP($B164,Seqs!$A:$B,2,0),G164,1),"")</f>
        <v>T</v>
      </c>
      <c r="G164" s="3">
        <v>62</v>
      </c>
      <c r="H164" s="3" t="str">
        <f>IFERROR(MID(VLOOKUP($B164,Seqs!$A:$B,2,0),I164,1),"")</f>
        <v>K</v>
      </c>
      <c r="I164" s="23">
        <v>63</v>
      </c>
      <c r="J164" s="3" t="str">
        <f>IFERROR(MID(VLOOKUP($B164,Seqs!$A:$B,2,0),K164,1),"")</f>
        <v>Q</v>
      </c>
      <c r="K164" s="23">
        <v>66</v>
      </c>
      <c r="L164" s="3" t="str">
        <f>IFERROR(MID(VLOOKUP($B164,Seqs!$A:$B,2,0),M164,1),"")</f>
        <v>T</v>
      </c>
      <c r="M164" s="3">
        <v>67</v>
      </c>
      <c r="N164" s="3" t="str">
        <f>IFERROR(MID(VLOOKUP($B164,Seqs!$A:$B,2,0),O164,1),"")</f>
        <v>K</v>
      </c>
      <c r="O164" s="3">
        <v>99</v>
      </c>
      <c r="P164" s="3" t="str">
        <f>IFERROR(MID(VLOOKUP($B164,Seqs!$A:$B,2,0),Q164,1),"")</f>
        <v>K</v>
      </c>
      <c r="Q164" s="3">
        <v>100</v>
      </c>
      <c r="R164" s="3" t="str">
        <f>IFERROR(MID(VLOOKUP($B164,Seqs!$A:$B,2,0),S164,1),"")</f>
        <v>F</v>
      </c>
      <c r="S164" s="3">
        <v>103</v>
      </c>
      <c r="T164" s="3" t="str">
        <f>IFERROR(MID(VLOOKUP($B164,Seqs!$A:$B,2,0),U164,1),"")</f>
        <v>G</v>
      </c>
      <c r="U164" s="3">
        <v>104</v>
      </c>
      <c r="V164" s="3" t="str">
        <f>IFERROR(MID(VLOOKUP($B164,Seqs!$A:$B,2,0),W164,1),"")</f>
        <v>R</v>
      </c>
      <c r="W164" s="3">
        <v>139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S</v>
      </c>
      <c r="AC164" s="9">
        <v>148</v>
      </c>
      <c r="AD164" s="3" t="str">
        <f>IFERROR(MID(VLOOKUP($B164,Seqs!$A:$B,2,0),AE164,1),"")</f>
        <v>F</v>
      </c>
      <c r="AE164" s="3">
        <v>172</v>
      </c>
      <c r="AF164" s="3" t="str">
        <f>IFERROR(MID(VLOOKUP($B164,Seqs!$A:$B,2,0),AG164,1),"")</f>
        <v>C</v>
      </c>
      <c r="AG164" s="3">
        <v>186</v>
      </c>
      <c r="AH164" s="3" t="str">
        <f>IFERROR(MID(VLOOKUP($B164,Seqs!$A:$B,2,0),AI164,1),"")</f>
        <v>F</v>
      </c>
      <c r="AI164" s="3">
        <v>188</v>
      </c>
      <c r="AJ164" s="3" t="str">
        <f>IFERROR(MID(VLOOKUP($B164,Seqs!$A:$B,2,0),AK164,1),"")</f>
        <v>D</v>
      </c>
      <c r="AK164" s="3">
        <v>194</v>
      </c>
      <c r="AL164" s="3" t="str">
        <f>IFERROR(MID(VLOOKUP($B164,Seqs!$A:$B,2,0),AM164,1),"")</f>
        <v>K</v>
      </c>
      <c r="AM164" s="3">
        <v>239</v>
      </c>
      <c r="AN164" s="3" t="str">
        <f>IFERROR(MID(VLOOKUP($B164,Seqs!$A:$B,2,0),AO164,1),"")</f>
        <v>K</v>
      </c>
      <c r="AO164" s="3">
        <v>244</v>
      </c>
      <c r="AP164" s="3" t="str">
        <f>IFERROR(MID(VLOOKUP($B164,Seqs!$A:$B,2,0),AQ164,1),"")</f>
        <v>G</v>
      </c>
      <c r="AQ164" s="3">
        <v>287</v>
      </c>
      <c r="AR164" s="3" t="str">
        <f>IFERROR(MID(VLOOKUP($B164,Seqs!$A:$B,2,0),AS164,1),"")</f>
        <v>T</v>
      </c>
      <c r="AS164" s="3">
        <v>293</v>
      </c>
      <c r="AT164" s="3" t="str">
        <f>IFERROR(MID(VLOOKUP($B164,Seqs!$A:$B,2,0),AU164,1),"")</f>
        <v>S</v>
      </c>
      <c r="AU164" s="3">
        <v>318</v>
      </c>
      <c r="AV164" s="3" t="str">
        <f>IFERROR(MID(VLOOKUP($B164,Seqs!$A:$B,2,0),AW164,1),"")</f>
        <v>H</v>
      </c>
      <c r="AW164" s="3">
        <v>319</v>
      </c>
      <c r="AX164" s="3" t="str">
        <f>IFERROR(MID(VLOOKUP($B164,Seqs!$A:$B,2,0),AY164,1),"")</f>
        <v>F</v>
      </c>
      <c r="AY164" s="3">
        <v>330</v>
      </c>
      <c r="AZ164" s="79" t="str">
        <f>VLOOKUP(B164,Classification!A:D,2,0)</f>
        <v>A</v>
      </c>
      <c r="BA164" s="97" t="str">
        <f>VLOOKUP(B164,Classification!A:D,4,0)</f>
        <v>Opsins</v>
      </c>
      <c r="BB164" s="27" t="b">
        <f t="shared" si="864"/>
        <v>1</v>
      </c>
      <c r="BC164" s="23">
        <f t="shared" si="837"/>
        <v>266</v>
      </c>
      <c r="BD164" s="2" t="s">
        <v>1383</v>
      </c>
      <c r="BE164" s="3" t="s">
        <v>1381</v>
      </c>
      <c r="BF164" s="124">
        <v>2.5</v>
      </c>
      <c r="BG164" s="50" t="s">
        <v>1384</v>
      </c>
      <c r="BH164" s="50" t="s">
        <v>1384</v>
      </c>
      <c r="BI164" s="1"/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838"/>
        <v>31</v>
      </c>
      <c r="BW164" s="73">
        <f t="shared" si="839"/>
        <v>63</v>
      </c>
      <c r="BX164" s="74">
        <f t="shared" si="840"/>
        <v>67</v>
      </c>
      <c r="BY164" s="73">
        <f t="shared" si="841"/>
        <v>100</v>
      </c>
      <c r="BZ164" s="74">
        <f t="shared" si="842"/>
        <v>104</v>
      </c>
      <c r="CA164" s="73" t="str">
        <f t="shared" si="843"/>
        <v>-</v>
      </c>
      <c r="CB164" s="74">
        <f t="shared" si="844"/>
        <v>148</v>
      </c>
      <c r="CC164" s="73">
        <f t="shared" si="845"/>
        <v>186</v>
      </c>
      <c r="CD164" s="74">
        <f t="shared" si="846"/>
        <v>194</v>
      </c>
      <c r="CE164" s="73">
        <f t="shared" si="847"/>
        <v>244</v>
      </c>
      <c r="CF164" s="74">
        <f t="shared" si="848"/>
        <v>293</v>
      </c>
      <c r="CG164" s="73">
        <f t="shared" si="849"/>
        <v>319</v>
      </c>
      <c r="CH164" s="72">
        <f t="shared" si="850"/>
        <v>62</v>
      </c>
      <c r="CI164" s="73">
        <f t="shared" si="851"/>
        <v>66</v>
      </c>
      <c r="CJ164" s="74">
        <f t="shared" si="852"/>
        <v>99</v>
      </c>
      <c r="CK164" s="74">
        <f t="shared" si="853"/>
        <v>103</v>
      </c>
      <c r="CL164" s="74">
        <f t="shared" si="854"/>
        <v>139</v>
      </c>
      <c r="CM164" s="74" t="str">
        <f t="shared" si="855"/>
        <v>-</v>
      </c>
      <c r="CN164" s="74">
        <f t="shared" si="856"/>
        <v>172</v>
      </c>
      <c r="CO164" s="74">
        <f t="shared" si="857"/>
        <v>188</v>
      </c>
      <c r="CP164" s="74">
        <f t="shared" si="858"/>
        <v>239</v>
      </c>
      <c r="CQ164" s="74">
        <f t="shared" si="859"/>
        <v>287</v>
      </c>
      <c r="CR164" s="74">
        <f t="shared" si="860"/>
        <v>318</v>
      </c>
      <c r="CS164" s="74">
        <f t="shared" si="861"/>
        <v>330</v>
      </c>
      <c r="CT164" s="23">
        <f t="shared" si="862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2"/>
    </row>
    <row r="165" spans="1:1030" x14ac:dyDescent="0.2">
      <c r="A165" s="3" t="str">
        <f t="shared" si="863"/>
        <v>ox1r_human__wt</v>
      </c>
      <c r="B165" s="3" t="s">
        <v>1175</v>
      </c>
      <c r="C165" s="3" t="s">
        <v>100</v>
      </c>
      <c r="D165" s="3" t="str">
        <f>IFERROR(MID(VLOOKUP($B165,Seqs!$A:$B,2,0),E165,1),"")</f>
        <v>E</v>
      </c>
      <c r="E165" s="3">
        <v>46</v>
      </c>
      <c r="F165" s="3" t="str">
        <f>IFERROR(MID(VLOOKUP($B165,Seqs!$A:$B,2,0),G165,1),"")</f>
        <v>N</v>
      </c>
      <c r="G165" s="3">
        <v>74</v>
      </c>
      <c r="H165" s="3" t="str">
        <f>IFERROR(MID(VLOOKUP($B165,Seqs!$A:$B,2,0),I165,1),"")</f>
        <v>H</v>
      </c>
      <c r="I165" s="23">
        <v>75</v>
      </c>
      <c r="J165" s="3" t="str">
        <f>IFERROR(MID(VLOOKUP($B165,Seqs!$A:$B,2,0),K165,1),"")</f>
        <v>R</v>
      </c>
      <c r="K165" s="23">
        <v>78</v>
      </c>
      <c r="L165" s="3" t="str">
        <f>IFERROR(MID(VLOOKUP($B165,Seqs!$A:$B,2,0),M165,1),"")</f>
        <v>T</v>
      </c>
      <c r="M165" s="3">
        <v>79</v>
      </c>
      <c r="N165" s="3" t="str">
        <f>IFERROR(MID(VLOOKUP($B165,Seqs!$A:$B,2,0),O165,1),"")</f>
        <v>T</v>
      </c>
      <c r="O165" s="3">
        <v>109</v>
      </c>
      <c r="P165" s="3" t="str">
        <f>IFERROR(MID(VLOOKUP($B165,Seqs!$A:$B,2,0),Q165,1),"")</f>
        <v>S</v>
      </c>
      <c r="Q165" s="3">
        <v>111</v>
      </c>
      <c r="R165" s="3" t="str">
        <f>IFERROR(MID(VLOOKUP($B165,Seqs!$A:$B,2,0),S165,1),"")</f>
        <v>F</v>
      </c>
      <c r="S165" s="3">
        <v>114</v>
      </c>
      <c r="T165" s="3" t="str">
        <f>IFERROR(MID(VLOOKUP($B165,Seqs!$A:$B,2,0),U165,1),"")</f>
        <v>G</v>
      </c>
      <c r="U165" s="3">
        <v>115</v>
      </c>
      <c r="V165" s="3" t="str">
        <f>IFERROR(MID(VLOOKUP($B165,Seqs!$A:$B,2,0),W165,1),"")</f>
        <v>H</v>
      </c>
      <c r="W165" s="3">
        <v>150</v>
      </c>
      <c r="X165" s="3" t="str">
        <f>IFERROR(MID(VLOOKUP($B165,Seqs!$A:$B,2,0),Y165,1),"")</f>
        <v>P</v>
      </c>
      <c r="Y165" s="3">
        <v>151</v>
      </c>
      <c r="Z165" s="3" t="str">
        <f>IFERROR(MID(VLOOKUP($B165,Seqs!$A:$B,2,0),AA165,1),"")</f>
        <v>F</v>
      </c>
      <c r="AA165" s="75">
        <v>154</v>
      </c>
      <c r="AB165" s="3" t="str">
        <f>IFERROR(MID(VLOOKUP($B165,Seqs!$A:$B,2,0),AC165,1),"")</f>
        <v>T</v>
      </c>
      <c r="AC165" s="9">
        <v>157</v>
      </c>
      <c r="AD165" s="3" t="str">
        <f>IFERROR(MID(VLOOKUP($B165,Seqs!$A:$B,2,0),AE165,1),"")</f>
        <v>M</v>
      </c>
      <c r="AE165" s="3">
        <v>183</v>
      </c>
      <c r="AF165" s="3" t="str">
        <f>IFERROR(MID(VLOOKUP($B165,Seqs!$A:$B,2,0),AG165,1),"")</f>
        <v>C</v>
      </c>
      <c r="AG165" s="3">
        <v>202</v>
      </c>
      <c r="AH165" s="3" t="str">
        <f>IFERROR(MID(VLOOKUP($B165,Seqs!$A:$B,2,0),AI165,1),"")</f>
        <v>E</v>
      </c>
      <c r="AI165" s="3">
        <v>204</v>
      </c>
      <c r="AJ165" s="3" t="str">
        <f>IFERROR(MID(VLOOKUP($B165,Seqs!$A:$B,2,0),AK165,1),"")</f>
        <v>D</v>
      </c>
      <c r="AK165" s="3">
        <v>209</v>
      </c>
      <c r="AL165" s="3" t="str">
        <f>IFERROR(MID(VLOOKUP($B165,Seqs!$A:$B,2,0),AM165,1),"")</f>
        <v>P</v>
      </c>
      <c r="AM165" s="3">
        <v>248</v>
      </c>
      <c r="AN165" s="3" t="str">
        <f>IFERROR(MID(VLOOKUP($B165,Seqs!$A:$B,2,0),AO165,1),"")</f>
        <v>F</v>
      </c>
      <c r="AO165" s="3">
        <v>283</v>
      </c>
      <c r="AP165" s="3" t="str">
        <f>IFERROR(MID(VLOOKUP($B165,Seqs!$A:$B,2,0),AQ165,1),"")</f>
        <v>F</v>
      </c>
      <c r="AQ165" s="3">
        <v>324</v>
      </c>
      <c r="AR165" s="3" t="str">
        <f>IFERROR(MID(VLOOKUP($B165,Seqs!$A:$B,2,0),AS165,1),"")</f>
        <v>R</v>
      </c>
      <c r="AS165" s="3">
        <v>333</v>
      </c>
      <c r="AT165" s="3" t="str">
        <f>IFERROR(MID(VLOOKUP($B165,Seqs!$A:$B,2,0),AU165,1),"")</f>
        <v>L</v>
      </c>
      <c r="AU165" s="3">
        <v>361</v>
      </c>
      <c r="AV165" s="3" t="str">
        <f>IFERROR(MID(VLOOKUP($B165,Seqs!$A:$B,2,0),AW165,1),"")</f>
        <v>S</v>
      </c>
      <c r="AW165" s="3">
        <v>362</v>
      </c>
      <c r="AX165" s="3" t="str">
        <f>IFERROR(MID(VLOOKUP($B165,Seqs!$A:$B,2,0),AY165,1),"")</f>
        <v>F</v>
      </c>
      <c r="AY165" s="3">
        <v>373</v>
      </c>
      <c r="AZ165" s="79" t="str">
        <f>VLOOKUP(B165,Classification!A:D,2,0)</f>
        <v>A</v>
      </c>
      <c r="BA165" s="97" t="str">
        <f>VLOOKUP(B165,Classification!A:D,4,0)</f>
        <v>Orexin</v>
      </c>
      <c r="BB165" s="27" t="b">
        <f t="shared" si="864"/>
        <v>1</v>
      </c>
      <c r="BC165" s="23">
        <f t="shared" si="837"/>
        <v>261</v>
      </c>
      <c r="BD165" s="57" t="s">
        <v>1379</v>
      </c>
      <c r="BE165" s="3" t="s">
        <v>23</v>
      </c>
      <c r="BF165" s="124" t="s">
        <v>23</v>
      </c>
      <c r="BG165" s="50" t="s">
        <v>1379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838"/>
        <v>46</v>
      </c>
      <c r="BW165" s="73">
        <f t="shared" si="839"/>
        <v>75</v>
      </c>
      <c r="BX165" s="74">
        <f t="shared" si="840"/>
        <v>79</v>
      </c>
      <c r="BY165" s="73">
        <f t="shared" si="841"/>
        <v>111</v>
      </c>
      <c r="BZ165" s="74">
        <f t="shared" si="842"/>
        <v>115</v>
      </c>
      <c r="CA165" s="73">
        <f t="shared" si="843"/>
        <v>151</v>
      </c>
      <c r="CB165" s="74">
        <f t="shared" si="844"/>
        <v>157</v>
      </c>
      <c r="CC165" s="73">
        <f t="shared" si="845"/>
        <v>202</v>
      </c>
      <c r="CD165" s="74">
        <f t="shared" si="846"/>
        <v>209</v>
      </c>
      <c r="CE165" s="73">
        <f t="shared" si="847"/>
        <v>283</v>
      </c>
      <c r="CF165" s="74">
        <f t="shared" si="848"/>
        <v>333</v>
      </c>
      <c r="CG165" s="73">
        <f t="shared" si="849"/>
        <v>362</v>
      </c>
      <c r="CH165" s="72">
        <f t="shared" si="850"/>
        <v>74</v>
      </c>
      <c r="CI165" s="73">
        <f t="shared" si="851"/>
        <v>78</v>
      </c>
      <c r="CJ165" s="74">
        <f t="shared" si="852"/>
        <v>109</v>
      </c>
      <c r="CK165" s="74">
        <f t="shared" si="853"/>
        <v>114</v>
      </c>
      <c r="CL165" s="74">
        <f t="shared" si="854"/>
        <v>150</v>
      </c>
      <c r="CM165" s="74">
        <f t="shared" si="855"/>
        <v>154</v>
      </c>
      <c r="CN165" s="74">
        <f t="shared" si="856"/>
        <v>183</v>
      </c>
      <c r="CO165" s="74">
        <f t="shared" si="857"/>
        <v>204</v>
      </c>
      <c r="CP165" s="74">
        <f t="shared" si="858"/>
        <v>248</v>
      </c>
      <c r="CQ165" s="74">
        <f t="shared" si="859"/>
        <v>324</v>
      </c>
      <c r="CR165" s="74">
        <f t="shared" si="860"/>
        <v>361</v>
      </c>
      <c r="CS165" s="74">
        <f t="shared" si="861"/>
        <v>373</v>
      </c>
      <c r="CT165" s="23">
        <f t="shared" si="862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863"/>
        <v>ox1r_human_4ZJ8</v>
      </c>
      <c r="B166" s="3" t="s">
        <v>1175</v>
      </c>
      <c r="C166" s="3" t="s">
        <v>90</v>
      </c>
      <c r="D166" s="3" t="str">
        <f>IFERROR(MID(VLOOKUP($B166,Seqs!$A:$B,2,0),E166,1),"")</f>
        <v>E</v>
      </c>
      <c r="E166" s="3">
        <v>46</v>
      </c>
      <c r="F166" s="3" t="str">
        <f>IFERROR(MID(VLOOKUP($B166,Seqs!$A:$B,2,0),G166,1),"")</f>
        <v>N</v>
      </c>
      <c r="G166" s="3">
        <v>74</v>
      </c>
      <c r="H166" s="3" t="str">
        <f>IFERROR(MID(VLOOKUP($B166,Seqs!$A:$B,2,0),I166,1),"")</f>
        <v>H</v>
      </c>
      <c r="I166" s="23">
        <v>75</v>
      </c>
      <c r="J166" s="3" t="str">
        <f>IFERROR(MID(VLOOKUP($B166,Seqs!$A:$B,2,0),K166,1),"")</f>
        <v>R</v>
      </c>
      <c r="K166" s="23">
        <v>78</v>
      </c>
      <c r="L166" s="3" t="str">
        <f>IFERROR(MID(VLOOKUP($B166,Seqs!$A:$B,2,0),M166,1),"")</f>
        <v>T</v>
      </c>
      <c r="M166" s="3">
        <v>79</v>
      </c>
      <c r="N166" s="3" t="str">
        <f>IFERROR(MID(VLOOKUP($B166,Seqs!$A:$B,2,0),O166,1),"")</f>
        <v>T</v>
      </c>
      <c r="O166" s="3">
        <v>109</v>
      </c>
      <c r="P166" s="3" t="str">
        <f>IFERROR(MID(VLOOKUP($B166,Seqs!$A:$B,2,0),Q166,1),"")</f>
        <v>S</v>
      </c>
      <c r="Q166" s="3">
        <v>111</v>
      </c>
      <c r="R166" s="3" t="str">
        <f>IFERROR(MID(VLOOKUP($B166,Seqs!$A:$B,2,0),S166,1),"")</f>
        <v>F</v>
      </c>
      <c r="S166" s="3">
        <v>114</v>
      </c>
      <c r="T166" s="3" t="str">
        <f>IFERROR(MID(VLOOKUP($B166,Seqs!$A:$B,2,0),U166,1),"")</f>
        <v>G</v>
      </c>
      <c r="U166" s="3">
        <v>115</v>
      </c>
      <c r="V166" s="3" t="str">
        <f>IFERROR(MID(VLOOKUP($B166,Seqs!$A:$B,2,0),W166,1),"")</f>
        <v>H</v>
      </c>
      <c r="W166" s="3">
        <v>150</v>
      </c>
      <c r="X166" s="3" t="str">
        <f>IFERROR(MID(VLOOKUP($B166,Seqs!$A:$B,2,0),Y166,1),"")</f>
        <v>P</v>
      </c>
      <c r="Y166" s="3">
        <v>151</v>
      </c>
      <c r="Z166" s="3" t="str">
        <f>IFERROR(MID(VLOOKUP($B166,Seqs!$A:$B,2,0),AA166,1),"")</f>
        <v>F</v>
      </c>
      <c r="AA166" s="3">
        <v>154</v>
      </c>
      <c r="AB166" s="3" t="str">
        <f>IFERROR(MID(VLOOKUP($B166,Seqs!$A:$B,2,0),AC166,1),"")</f>
        <v>T</v>
      </c>
      <c r="AC166" s="9">
        <v>157</v>
      </c>
      <c r="AD166" s="3" t="str">
        <f>IFERROR(MID(VLOOKUP($B166,Seqs!$A:$B,2,0),AE166,1),"")</f>
        <v>M</v>
      </c>
      <c r="AE166" s="3">
        <v>183</v>
      </c>
      <c r="AF166" s="3" t="str">
        <f>IFERROR(MID(VLOOKUP($B166,Seqs!$A:$B,2,0),AG166,1),"")</f>
        <v>C</v>
      </c>
      <c r="AG166" s="3">
        <v>202</v>
      </c>
      <c r="AH166" s="3" t="str">
        <f>IFERROR(MID(VLOOKUP($B166,Seqs!$A:$B,2,0),AI166,1),"")</f>
        <v>E</v>
      </c>
      <c r="AI166" s="3">
        <v>204</v>
      </c>
      <c r="AJ166" s="3" t="str">
        <f>IFERROR(MID(VLOOKUP($B166,Seqs!$A:$B,2,0),AK166,1),"")</f>
        <v>D</v>
      </c>
      <c r="AK166" s="3">
        <v>209</v>
      </c>
      <c r="AL166" s="3" t="str">
        <f>IFERROR(MID(VLOOKUP($B166,Seqs!$A:$B,2,0),AM166,1),"")</f>
        <v>L</v>
      </c>
      <c r="AM166" s="3">
        <v>242</v>
      </c>
      <c r="AN166" s="3" t="str">
        <f>IFERROR(MID(VLOOKUP($B166,Seqs!$A:$B,2,0),AO166,1),"")</f>
        <v>K</v>
      </c>
      <c r="AO166" s="3">
        <v>288</v>
      </c>
      <c r="AP166" s="3" t="str">
        <f>IFERROR(MID(VLOOKUP($B166,Seqs!$A:$B,2,0),AQ166,1),"")</f>
        <v>F</v>
      </c>
      <c r="AQ166" s="3">
        <v>324</v>
      </c>
      <c r="AR166" s="3" t="str">
        <f>IFERROR(MID(VLOOKUP($B166,Seqs!$A:$B,2,0),AS166,1),"")</f>
        <v>R</v>
      </c>
      <c r="AS166" s="3">
        <v>333</v>
      </c>
      <c r="AT166" s="3" t="str">
        <f>IFERROR(MID(VLOOKUP($B166,Seqs!$A:$B,2,0),AU166,1),"")</f>
        <v>L</v>
      </c>
      <c r="AU166" s="3">
        <v>361</v>
      </c>
      <c r="AV166" s="3" t="str">
        <f>IFERROR(MID(VLOOKUP($B166,Seqs!$A:$B,2,0),AW166,1),"")</f>
        <v>S</v>
      </c>
      <c r="AW166" s="3">
        <v>362</v>
      </c>
      <c r="AX166" s="3" t="str">
        <f>IFERROR(MID(VLOOKUP($B166,Seqs!$A:$B,2,0),AY166,1),"")</f>
        <v>F</v>
      </c>
      <c r="AY166" s="3">
        <v>373</v>
      </c>
      <c r="AZ166" s="79" t="str">
        <f>VLOOKUP(B166,Classification!A:D,2,0)</f>
        <v>A</v>
      </c>
      <c r="BA166" s="97" t="str">
        <f>VLOOKUP(B166,Classification!A:D,4,0)</f>
        <v>Orexin</v>
      </c>
      <c r="BB166" s="27" t="b">
        <f t="shared" si="864"/>
        <v>1</v>
      </c>
      <c r="BC166" s="23">
        <f t="shared" si="837"/>
        <v>250</v>
      </c>
      <c r="BD166" s="4" t="s">
        <v>1383</v>
      </c>
      <c r="BE166" s="3" t="s">
        <v>1381</v>
      </c>
      <c r="BF166" s="124">
        <v>2.75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838"/>
        <v>46</v>
      </c>
      <c r="BW166" s="73">
        <f t="shared" si="839"/>
        <v>75</v>
      </c>
      <c r="BX166" s="74">
        <f t="shared" si="840"/>
        <v>79</v>
      </c>
      <c r="BY166" s="73">
        <f t="shared" si="841"/>
        <v>111</v>
      </c>
      <c r="BZ166" s="74">
        <f t="shared" si="842"/>
        <v>115</v>
      </c>
      <c r="CA166" s="73">
        <f t="shared" si="843"/>
        <v>151</v>
      </c>
      <c r="CB166" s="74">
        <f t="shared" si="844"/>
        <v>157</v>
      </c>
      <c r="CC166" s="73">
        <f t="shared" si="845"/>
        <v>202</v>
      </c>
      <c r="CD166" s="74">
        <f t="shared" si="846"/>
        <v>209</v>
      </c>
      <c r="CE166" s="73">
        <f t="shared" si="847"/>
        <v>288</v>
      </c>
      <c r="CF166" s="74">
        <f t="shared" si="848"/>
        <v>333</v>
      </c>
      <c r="CG166" s="73">
        <f t="shared" si="849"/>
        <v>362</v>
      </c>
      <c r="CH166" s="72">
        <f t="shared" si="850"/>
        <v>74</v>
      </c>
      <c r="CI166" s="73">
        <f t="shared" si="851"/>
        <v>78</v>
      </c>
      <c r="CJ166" s="74">
        <f t="shared" si="852"/>
        <v>109</v>
      </c>
      <c r="CK166" s="74">
        <f t="shared" si="853"/>
        <v>114</v>
      </c>
      <c r="CL166" s="74">
        <f t="shared" si="854"/>
        <v>150</v>
      </c>
      <c r="CM166" s="74">
        <f t="shared" si="855"/>
        <v>154</v>
      </c>
      <c r="CN166" s="74">
        <f t="shared" si="856"/>
        <v>183</v>
      </c>
      <c r="CO166" s="74">
        <f t="shared" si="857"/>
        <v>204</v>
      </c>
      <c r="CP166" s="74">
        <f t="shared" si="858"/>
        <v>242</v>
      </c>
      <c r="CQ166" s="74">
        <f t="shared" si="859"/>
        <v>324</v>
      </c>
      <c r="CR166" s="74">
        <f t="shared" si="860"/>
        <v>361</v>
      </c>
      <c r="CS166" s="74">
        <f t="shared" si="861"/>
        <v>373</v>
      </c>
      <c r="CT166" s="23">
        <f t="shared" si="862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2"/>
    </row>
    <row r="167" spans="1:1030" x14ac:dyDescent="0.2">
      <c r="A167" s="3" t="str">
        <f t="shared" si="863"/>
        <v>ox1r_human_4ZJC</v>
      </c>
      <c r="B167" s="3" t="s">
        <v>1175</v>
      </c>
      <c r="C167" s="3" t="s">
        <v>91</v>
      </c>
      <c r="D167" s="3" t="str">
        <f>IFERROR(MID(VLOOKUP($B167,Seqs!$A:$B,2,0),E167,1),"")</f>
        <v>E</v>
      </c>
      <c r="E167" s="3">
        <v>46</v>
      </c>
      <c r="F167" s="3" t="str">
        <f>IFERROR(MID(VLOOKUP($B167,Seqs!$A:$B,2,0),G167,1),"")</f>
        <v>N</v>
      </c>
      <c r="G167" s="3">
        <v>74</v>
      </c>
      <c r="H167" s="3" t="str">
        <f>IFERROR(MID(VLOOKUP($B167,Seqs!$A:$B,2,0),I167,1),"")</f>
        <v>H</v>
      </c>
      <c r="I167" s="23">
        <v>75</v>
      </c>
      <c r="J167" s="3" t="str">
        <f>IFERROR(MID(VLOOKUP($B167,Seqs!$A:$B,2,0),K167,1),"")</f>
        <v>R</v>
      </c>
      <c r="K167" s="23">
        <v>78</v>
      </c>
      <c r="L167" s="3" t="str">
        <f>IFERROR(MID(VLOOKUP($B167,Seqs!$A:$B,2,0),M167,1),"")</f>
        <v>T</v>
      </c>
      <c r="M167" s="3">
        <v>79</v>
      </c>
      <c r="N167" s="3" t="str">
        <f>IFERROR(MID(VLOOKUP($B167,Seqs!$A:$B,2,0),O167,1),"")</f>
        <v>T</v>
      </c>
      <c r="O167" s="3">
        <v>109</v>
      </c>
      <c r="P167" s="3" t="str">
        <f>IFERROR(MID(VLOOKUP($B167,Seqs!$A:$B,2,0),Q167,1),"")</f>
        <v>S</v>
      </c>
      <c r="Q167" s="3">
        <v>111</v>
      </c>
      <c r="R167" s="3" t="str">
        <f>IFERROR(MID(VLOOKUP($B167,Seqs!$A:$B,2,0),S167,1),"")</f>
        <v>F</v>
      </c>
      <c r="S167" s="3">
        <v>114</v>
      </c>
      <c r="T167" s="3" t="str">
        <f>IFERROR(MID(VLOOKUP($B167,Seqs!$A:$B,2,0),U167,1),"")</f>
        <v>G</v>
      </c>
      <c r="U167" s="3">
        <v>115</v>
      </c>
      <c r="V167" s="3" t="str">
        <f>IFERROR(MID(VLOOKUP($B167,Seqs!$A:$B,2,0),W167,1),"")</f>
        <v>H</v>
      </c>
      <c r="W167" s="3">
        <v>150</v>
      </c>
      <c r="X167" s="3" t="str">
        <f>IFERROR(MID(VLOOKUP($B167,Seqs!$A:$B,2,0),Y167,1),"")</f>
        <v>P</v>
      </c>
      <c r="Y167" s="3">
        <v>151</v>
      </c>
      <c r="Z167" s="3" t="str">
        <f>IFERROR(MID(VLOOKUP($B167,Seqs!$A:$B,2,0),AA167,1),"")</f>
        <v>F</v>
      </c>
      <c r="AA167" s="3">
        <v>154</v>
      </c>
      <c r="AB167" s="3" t="str">
        <f>IFERROR(MID(VLOOKUP($B167,Seqs!$A:$B,2,0),AC167,1),"")</f>
        <v>T</v>
      </c>
      <c r="AC167" s="9">
        <v>157</v>
      </c>
      <c r="AD167" s="3" t="str">
        <f>IFERROR(MID(VLOOKUP($B167,Seqs!$A:$B,2,0),AE167,1),"")</f>
        <v>M</v>
      </c>
      <c r="AE167" s="3">
        <v>183</v>
      </c>
      <c r="AF167" s="3" t="str">
        <f>IFERROR(MID(VLOOKUP($B167,Seqs!$A:$B,2,0),AG167,1),"")</f>
        <v>C</v>
      </c>
      <c r="AG167" s="3">
        <v>202</v>
      </c>
      <c r="AH167" s="3" t="str">
        <f>IFERROR(MID(VLOOKUP($B167,Seqs!$A:$B,2,0),AI167,1),"")</f>
        <v>E</v>
      </c>
      <c r="AI167" s="3">
        <v>204</v>
      </c>
      <c r="AJ167" s="3" t="str">
        <f>IFERROR(MID(VLOOKUP($B167,Seqs!$A:$B,2,0),AK167,1),"")</f>
        <v>D</v>
      </c>
      <c r="AK167" s="3">
        <v>209</v>
      </c>
      <c r="AL167" s="3" t="str">
        <f>IFERROR(MID(VLOOKUP($B167,Seqs!$A:$B,2,0),AM167,1),"")</f>
        <v>L</v>
      </c>
      <c r="AM167" s="3">
        <v>242</v>
      </c>
      <c r="AN167" s="3" t="str">
        <f>IFERROR(MID(VLOOKUP($B167,Seqs!$A:$B,2,0),AO167,1),"")</f>
        <v>K</v>
      </c>
      <c r="AO167" s="3">
        <v>288</v>
      </c>
      <c r="AP167" s="3" t="str">
        <f>IFERROR(MID(VLOOKUP($B167,Seqs!$A:$B,2,0),AQ167,1),"")</f>
        <v>F</v>
      </c>
      <c r="AQ167" s="3">
        <v>324</v>
      </c>
      <c r="AR167" s="3" t="str">
        <f>IFERROR(MID(VLOOKUP($B167,Seqs!$A:$B,2,0),AS167,1),"")</f>
        <v>R</v>
      </c>
      <c r="AS167" s="3">
        <v>333</v>
      </c>
      <c r="AT167" s="3" t="str">
        <f>IFERROR(MID(VLOOKUP($B167,Seqs!$A:$B,2,0),AU167,1),"")</f>
        <v>L</v>
      </c>
      <c r="AU167" s="3">
        <v>361</v>
      </c>
      <c r="AV167" s="3" t="str">
        <f>IFERROR(MID(VLOOKUP($B167,Seqs!$A:$B,2,0),AW167,1),"")</f>
        <v>S</v>
      </c>
      <c r="AW167" s="3">
        <v>362</v>
      </c>
      <c r="AX167" s="3" t="str">
        <f>IFERROR(MID(VLOOKUP($B167,Seqs!$A:$B,2,0),AY167,1),"")</f>
        <v>F</v>
      </c>
      <c r="AY167" s="3">
        <v>373</v>
      </c>
      <c r="AZ167" s="79" t="str">
        <f>VLOOKUP(B167,Classification!A:D,2,0)</f>
        <v>A</v>
      </c>
      <c r="BA167" s="97" t="str">
        <f>VLOOKUP(B167,Classification!A:D,4,0)</f>
        <v>Orexin</v>
      </c>
      <c r="BB167" s="27" t="b">
        <f t="shared" si="864"/>
        <v>1</v>
      </c>
      <c r="BC167" s="23">
        <f t="shared" si="837"/>
        <v>250</v>
      </c>
      <c r="BD167" s="2" t="s">
        <v>23</v>
      </c>
      <c r="BE167" s="3" t="s">
        <v>1381</v>
      </c>
      <c r="BF167" s="124">
        <v>2.83</v>
      </c>
      <c r="BG167" s="50" t="s">
        <v>1384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838"/>
        <v>46</v>
      </c>
      <c r="BW167" s="73">
        <f t="shared" si="839"/>
        <v>75</v>
      </c>
      <c r="BX167" s="74">
        <f t="shared" si="840"/>
        <v>79</v>
      </c>
      <c r="BY167" s="73">
        <f t="shared" si="841"/>
        <v>111</v>
      </c>
      <c r="BZ167" s="74">
        <f t="shared" si="842"/>
        <v>115</v>
      </c>
      <c r="CA167" s="73">
        <f t="shared" si="843"/>
        <v>151</v>
      </c>
      <c r="CB167" s="74">
        <f t="shared" si="844"/>
        <v>157</v>
      </c>
      <c r="CC167" s="73">
        <f t="shared" si="845"/>
        <v>202</v>
      </c>
      <c r="CD167" s="74">
        <f t="shared" si="846"/>
        <v>209</v>
      </c>
      <c r="CE167" s="73">
        <f t="shared" si="847"/>
        <v>288</v>
      </c>
      <c r="CF167" s="74">
        <f t="shared" si="848"/>
        <v>333</v>
      </c>
      <c r="CG167" s="73">
        <f t="shared" si="849"/>
        <v>362</v>
      </c>
      <c r="CH167" s="72">
        <f t="shared" si="850"/>
        <v>74</v>
      </c>
      <c r="CI167" s="73">
        <f t="shared" si="851"/>
        <v>78</v>
      </c>
      <c r="CJ167" s="74">
        <f t="shared" si="852"/>
        <v>109</v>
      </c>
      <c r="CK167" s="74">
        <f t="shared" si="853"/>
        <v>114</v>
      </c>
      <c r="CL167" s="74">
        <f t="shared" si="854"/>
        <v>150</v>
      </c>
      <c r="CM167" s="74">
        <f t="shared" si="855"/>
        <v>154</v>
      </c>
      <c r="CN167" s="74">
        <f t="shared" si="856"/>
        <v>183</v>
      </c>
      <c r="CO167" s="74">
        <f t="shared" si="857"/>
        <v>204</v>
      </c>
      <c r="CP167" s="74">
        <f t="shared" si="858"/>
        <v>242</v>
      </c>
      <c r="CQ167" s="74">
        <f t="shared" si="859"/>
        <v>324</v>
      </c>
      <c r="CR167" s="74">
        <f t="shared" si="860"/>
        <v>361</v>
      </c>
      <c r="CS167" s="74">
        <f t="shared" si="861"/>
        <v>373</v>
      </c>
      <c r="CT167" s="23">
        <f t="shared" si="862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2"/>
    </row>
    <row r="168" spans="1:1030" x14ac:dyDescent="0.2">
      <c r="A168" s="3" t="str">
        <f t="shared" si="863"/>
        <v>ox2r_human__wt</v>
      </c>
      <c r="B168" s="3" t="s">
        <v>1176</v>
      </c>
      <c r="C168" s="3" t="s">
        <v>100</v>
      </c>
      <c r="D168" s="3" t="str">
        <f>IFERROR(MID(VLOOKUP($B168,Seqs!$A:$B,2,0),E168,1),"")</f>
        <v>Y</v>
      </c>
      <c r="E168" s="3">
        <v>53</v>
      </c>
      <c r="F168" s="3" t="str">
        <f>IFERROR(MID(VLOOKUP($B168,Seqs!$A:$B,2,0),G168,1),"")</f>
        <v>N</v>
      </c>
      <c r="G168" s="3">
        <v>82</v>
      </c>
      <c r="H168" s="3" t="str">
        <f>IFERROR(MID(VLOOKUP($B168,Seqs!$A:$B,2,0),I168,1),"")</f>
        <v>H</v>
      </c>
      <c r="I168" s="23">
        <v>83</v>
      </c>
      <c r="J168" s="3" t="str">
        <f>IFERROR(MID(VLOOKUP($B168,Seqs!$A:$B,2,0),K168,1),"")</f>
        <v>R</v>
      </c>
      <c r="K168" s="23">
        <v>86</v>
      </c>
      <c r="L168" s="3" t="str">
        <f>IFERROR(MID(VLOOKUP($B168,Seqs!$A:$B,2,0),M168,1),"")</f>
        <v>T</v>
      </c>
      <c r="M168" s="3">
        <v>87</v>
      </c>
      <c r="N168" s="3" t="str">
        <f>IFERROR(MID(VLOOKUP($B168,Seqs!$A:$B,2,0),O168,1),"")</f>
        <v>T</v>
      </c>
      <c r="O168" s="3">
        <v>117</v>
      </c>
      <c r="P168" s="3" t="str">
        <f>IFERROR(MID(VLOOKUP($B168,Seqs!$A:$B,2,0),Q168,1),"")</f>
        <v>T</v>
      </c>
      <c r="Q168" s="3">
        <v>119</v>
      </c>
      <c r="R168" s="3" t="str">
        <f>IFERROR(MID(VLOOKUP($B168,Seqs!$A:$B,2,0),S168,1),"")</f>
        <v>F</v>
      </c>
      <c r="S168" s="3">
        <v>122</v>
      </c>
      <c r="T168" s="3" t="str">
        <f>IFERROR(MID(VLOOKUP($B168,Seqs!$A:$B,2,0),U168,1),"")</f>
        <v>G</v>
      </c>
      <c r="U168" s="3">
        <v>123</v>
      </c>
      <c r="V168" s="3" t="str">
        <f>IFERROR(MID(VLOOKUP($B168,Seqs!$A:$B,2,0),W168,1),"")</f>
        <v>H</v>
      </c>
      <c r="W168" s="3">
        <v>158</v>
      </c>
      <c r="X168" s="3" t="str">
        <f>IFERROR(MID(VLOOKUP($B168,Seqs!$A:$B,2,0),Y168,1),"")</f>
        <v>P</v>
      </c>
      <c r="Y168" s="3">
        <v>159</v>
      </c>
      <c r="Z168" s="3" t="str">
        <f>IFERROR(MID(VLOOKUP($B168,Seqs!$A:$B,2,0),AA168,1),"")</f>
        <v>F</v>
      </c>
      <c r="AA168" s="75">
        <v>162</v>
      </c>
      <c r="AB168" s="3" t="str">
        <f>IFERROR(MID(VLOOKUP($B168,Seqs!$A:$B,2,0),AC168,1),"")</f>
        <v>T</v>
      </c>
      <c r="AC168" s="9">
        <v>165</v>
      </c>
      <c r="AD168" s="3" t="str">
        <f>IFERROR(MID(VLOOKUP($B168,Seqs!$A:$B,2,0),AE168,1),"")</f>
        <v>M</v>
      </c>
      <c r="AE168" s="3">
        <v>191</v>
      </c>
      <c r="AF168" s="3" t="str">
        <f>IFERROR(MID(VLOOKUP($B168,Seqs!$A:$B,2,0),AG168,1),"")</f>
        <v>C</v>
      </c>
      <c r="AG168" s="3">
        <v>210</v>
      </c>
      <c r="AH168" s="3" t="str">
        <f>IFERROR(MID(VLOOKUP($B168,Seqs!$A:$B,2,0),AI168,1),"")</f>
        <v>E</v>
      </c>
      <c r="AI168" s="3">
        <v>212</v>
      </c>
      <c r="AJ168" s="3" t="str">
        <f>IFERROR(MID(VLOOKUP($B168,Seqs!$A:$B,2,0),AK168,1),"")</f>
        <v>E</v>
      </c>
      <c r="AK168" s="3">
        <v>217</v>
      </c>
      <c r="AL168" s="3" t="str">
        <f>IFERROR(MID(VLOOKUP($B168,Seqs!$A:$B,2,0),AM168,1),"")</f>
        <v>P</v>
      </c>
      <c r="AM168" s="3">
        <v>256</v>
      </c>
      <c r="AN168" s="3" t="str">
        <f>IFERROR(MID(VLOOKUP($B168,Seqs!$A:$B,2,0),AO168,1),"")</f>
        <v>V</v>
      </c>
      <c r="AO168" s="3">
        <v>289</v>
      </c>
      <c r="AP168" s="3" t="str">
        <f>IFERROR(MID(VLOOKUP($B168,Seqs!$A:$B,2,0),AQ168,1),"")</f>
        <v>F</v>
      </c>
      <c r="AQ168" s="3">
        <v>330</v>
      </c>
      <c r="AR168" s="3" t="str">
        <f>IFERROR(MID(VLOOKUP($B168,Seqs!$A:$B,2,0),AS168,1),"")</f>
        <v>R</v>
      </c>
      <c r="AS168" s="3">
        <v>339</v>
      </c>
      <c r="AT168" s="3" t="str">
        <f>IFERROR(MID(VLOOKUP($B168,Seqs!$A:$B,2,0),AU168,1),"")</f>
        <v>L</v>
      </c>
      <c r="AU168" s="3">
        <v>367</v>
      </c>
      <c r="AV168" s="3" t="str">
        <f>IFERROR(MID(VLOOKUP($B168,Seqs!$A:$B,2,0),AW168,1),"")</f>
        <v>S</v>
      </c>
      <c r="AW168" s="3">
        <v>368</v>
      </c>
      <c r="AX168" s="3" t="str">
        <f>IFERROR(MID(VLOOKUP($B168,Seqs!$A:$B,2,0),AY168,1),"")</f>
        <v>F</v>
      </c>
      <c r="AY168" s="3">
        <v>379</v>
      </c>
      <c r="AZ168" s="79" t="str">
        <f>VLOOKUP(B168,Classification!A:D,2,0)</f>
        <v>A</v>
      </c>
      <c r="BA168" s="97" t="str">
        <f>VLOOKUP(B168,Classification!A:D,4,0)</f>
        <v>Orexin</v>
      </c>
      <c r="BB168" s="27" t="b">
        <f t="shared" si="864"/>
        <v>1</v>
      </c>
      <c r="BC168" s="23">
        <f t="shared" si="837"/>
        <v>262</v>
      </c>
      <c r="BD168" s="57" t="s">
        <v>1379</v>
      </c>
      <c r="BE168" s="3" t="s">
        <v>23</v>
      </c>
      <c r="BF168" s="124" t="s">
        <v>23</v>
      </c>
      <c r="BG168" s="50" t="s">
        <v>1379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838"/>
        <v>53</v>
      </c>
      <c r="BW168" s="73">
        <f t="shared" si="839"/>
        <v>83</v>
      </c>
      <c r="BX168" s="74">
        <f t="shared" si="840"/>
        <v>87</v>
      </c>
      <c r="BY168" s="73">
        <f t="shared" si="841"/>
        <v>119</v>
      </c>
      <c r="BZ168" s="74">
        <f t="shared" si="842"/>
        <v>123</v>
      </c>
      <c r="CA168" s="73">
        <f t="shared" si="843"/>
        <v>159</v>
      </c>
      <c r="CB168" s="74">
        <f t="shared" si="844"/>
        <v>165</v>
      </c>
      <c r="CC168" s="73">
        <f t="shared" si="845"/>
        <v>210</v>
      </c>
      <c r="CD168" s="74">
        <f t="shared" si="846"/>
        <v>217</v>
      </c>
      <c r="CE168" s="73">
        <f t="shared" si="847"/>
        <v>289</v>
      </c>
      <c r="CF168" s="74">
        <f t="shared" si="848"/>
        <v>339</v>
      </c>
      <c r="CG168" s="73">
        <f t="shared" si="849"/>
        <v>368</v>
      </c>
      <c r="CH168" s="72">
        <f t="shared" si="850"/>
        <v>82</v>
      </c>
      <c r="CI168" s="73">
        <f t="shared" si="851"/>
        <v>86</v>
      </c>
      <c r="CJ168" s="74">
        <f t="shared" si="852"/>
        <v>117</v>
      </c>
      <c r="CK168" s="74">
        <f t="shared" si="853"/>
        <v>122</v>
      </c>
      <c r="CL168" s="74">
        <f t="shared" si="854"/>
        <v>158</v>
      </c>
      <c r="CM168" s="74">
        <f t="shared" si="855"/>
        <v>162</v>
      </c>
      <c r="CN168" s="74">
        <f t="shared" si="856"/>
        <v>191</v>
      </c>
      <c r="CO168" s="74">
        <f t="shared" si="857"/>
        <v>212</v>
      </c>
      <c r="CP168" s="74">
        <f t="shared" si="858"/>
        <v>256</v>
      </c>
      <c r="CQ168" s="74">
        <f t="shared" si="859"/>
        <v>330</v>
      </c>
      <c r="CR168" s="74">
        <f t="shared" si="860"/>
        <v>367</v>
      </c>
      <c r="CS168" s="74">
        <f t="shared" si="861"/>
        <v>379</v>
      </c>
      <c r="CT168" s="23">
        <f t="shared" si="862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863"/>
        <v>ox2r_human_4S0V</v>
      </c>
      <c r="B169" s="3" t="s">
        <v>1176</v>
      </c>
      <c r="C169" s="3" t="s">
        <v>92</v>
      </c>
      <c r="D169" s="3" t="str">
        <f>IFERROR(MID(VLOOKUP($B169,Seqs!$A:$B,2,0),E169,1),"")</f>
        <v>Y</v>
      </c>
      <c r="E169" s="3">
        <v>53</v>
      </c>
      <c r="F169" s="3" t="str">
        <f>IFERROR(MID(VLOOKUP($B169,Seqs!$A:$B,2,0),G169,1),"")</f>
        <v>N</v>
      </c>
      <c r="G169" s="3">
        <v>82</v>
      </c>
      <c r="H169" s="3" t="str">
        <f>IFERROR(MID(VLOOKUP($B169,Seqs!$A:$B,2,0),I169,1),"")</f>
        <v>H</v>
      </c>
      <c r="I169" s="23">
        <v>83</v>
      </c>
      <c r="J169" s="3" t="str">
        <f>IFERROR(MID(VLOOKUP($B169,Seqs!$A:$B,2,0),K169,1),"")</f>
        <v>R</v>
      </c>
      <c r="K169" s="23">
        <v>86</v>
      </c>
      <c r="L169" s="3" t="str">
        <f>IFERROR(MID(VLOOKUP($B169,Seqs!$A:$B,2,0),M169,1),"")</f>
        <v>T</v>
      </c>
      <c r="M169" s="3">
        <v>87</v>
      </c>
      <c r="N169" s="3" t="str">
        <f>IFERROR(MID(VLOOKUP($B169,Seqs!$A:$B,2,0),O169,1),"")</f>
        <v>T</v>
      </c>
      <c r="O169" s="3">
        <v>117</v>
      </c>
      <c r="P169" s="3" t="str">
        <f>IFERROR(MID(VLOOKUP($B169,Seqs!$A:$B,2,0),Q169,1),"")</f>
        <v>T</v>
      </c>
      <c r="Q169" s="3">
        <v>119</v>
      </c>
      <c r="R169" s="3" t="str">
        <f>IFERROR(MID(VLOOKUP($B169,Seqs!$A:$B,2,0),S169,1),"")</f>
        <v>F</v>
      </c>
      <c r="S169" s="3">
        <v>122</v>
      </c>
      <c r="T169" s="3" t="str">
        <f>IFERROR(MID(VLOOKUP($B169,Seqs!$A:$B,2,0),U169,1),"")</f>
        <v>G</v>
      </c>
      <c r="U169" s="3">
        <v>123</v>
      </c>
      <c r="V169" s="3" t="str">
        <f>IFERROR(MID(VLOOKUP($B169,Seqs!$A:$B,2,0),W169,1),"")</f>
        <v>H</v>
      </c>
      <c r="W169" s="3">
        <v>158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165</v>
      </c>
      <c r="AD169" s="3" t="str">
        <f>IFERROR(MID(VLOOKUP($B169,Seqs!$A:$B,2,0),AE169,1),"")</f>
        <v>M</v>
      </c>
      <c r="AE169" s="3">
        <v>191</v>
      </c>
      <c r="AF169" s="3" t="str">
        <f>IFERROR(MID(VLOOKUP($B169,Seqs!$A:$B,2,0),AG169,1),"")</f>
        <v>C</v>
      </c>
      <c r="AG169" s="3">
        <v>210</v>
      </c>
      <c r="AH169" s="3" t="str">
        <f>IFERROR(MID(VLOOKUP($B169,Seqs!$A:$B,2,0),AI169,1),"")</f>
        <v>E</v>
      </c>
      <c r="AI169" s="3">
        <v>212</v>
      </c>
      <c r="AJ169" s="3" t="str">
        <f>IFERROR(MID(VLOOKUP($B169,Seqs!$A:$B,2,0),AK169,1),"")</f>
        <v>E</v>
      </c>
      <c r="AK169" s="3">
        <v>217</v>
      </c>
      <c r="AL169" s="3" t="str">
        <f>IFERROR(MID(VLOOKUP($B169,Seqs!$A:$B,2,0),AM169,1),"")</f>
        <v>Q</v>
      </c>
      <c r="AM169" s="3">
        <v>254</v>
      </c>
      <c r="AN169" s="3" t="str">
        <f>IFERROR(MID(VLOOKUP($B169,Seqs!$A:$B,2,0),AO169,1),"")</f>
        <v>K</v>
      </c>
      <c r="AO169" s="3">
        <v>294</v>
      </c>
      <c r="AP169" s="3" t="str">
        <f>IFERROR(MID(VLOOKUP($B169,Seqs!$A:$B,2,0),AQ169,1),"")</f>
        <v>F</v>
      </c>
      <c r="AQ169" s="3">
        <v>330</v>
      </c>
      <c r="AR169" s="3" t="str">
        <f>IFERROR(MID(VLOOKUP($B169,Seqs!$A:$B,2,0),AS169,1),"")</f>
        <v>R</v>
      </c>
      <c r="AS169" s="3">
        <v>339</v>
      </c>
      <c r="AT169" s="3" t="str">
        <f>IFERROR(MID(VLOOKUP($B169,Seqs!$A:$B,2,0),AU169,1),"")</f>
        <v>L</v>
      </c>
      <c r="AU169" s="3">
        <v>367</v>
      </c>
      <c r="AV169" s="3" t="str">
        <f>IFERROR(MID(VLOOKUP($B169,Seqs!$A:$B,2,0),AW169,1),"")</f>
        <v>S</v>
      </c>
      <c r="AW169" s="3">
        <v>368</v>
      </c>
      <c r="AX169" s="3" t="str">
        <f>IFERROR(MID(VLOOKUP($B169,Seqs!$A:$B,2,0),AY169,1),"")</f>
        <v>F</v>
      </c>
      <c r="AY169" s="3">
        <v>379</v>
      </c>
      <c r="AZ169" s="79" t="str">
        <f>VLOOKUP(B169,Classification!A:D,2,0)</f>
        <v>A</v>
      </c>
      <c r="BA169" s="97" t="str">
        <f>VLOOKUP(B169,Classification!A:D,4,0)</f>
        <v>Orexin</v>
      </c>
      <c r="BB169" s="27" t="b">
        <f t="shared" si="864"/>
        <v>1</v>
      </c>
      <c r="BC169" s="23">
        <f t="shared" si="837"/>
        <v>252</v>
      </c>
      <c r="BD169" s="2" t="s">
        <v>1383</v>
      </c>
      <c r="BE169" s="3" t="s">
        <v>1381</v>
      </c>
      <c r="BF169" s="124">
        <v>2.5</v>
      </c>
      <c r="BG169" s="50" t="s">
        <v>1384</v>
      </c>
      <c r="BH169" s="50" t="s">
        <v>1384</v>
      </c>
      <c r="BI169" s="1"/>
      <c r="BJ169" s="72" t="s">
        <v>1293</v>
      </c>
      <c r="BK169" s="58" t="s">
        <v>1293</v>
      </c>
      <c r="BL169" s="58" t="s">
        <v>1293</v>
      </c>
      <c r="BM169" s="58" t="s">
        <v>1293</v>
      </c>
      <c r="BN169" s="58" t="s">
        <v>1293</v>
      </c>
      <c r="BO169" s="58" t="s">
        <v>1293</v>
      </c>
      <c r="BP169" s="58" t="s">
        <v>1293</v>
      </c>
      <c r="BQ169" s="58" t="s">
        <v>1293</v>
      </c>
      <c r="BR169" s="58" t="s">
        <v>1293</v>
      </c>
      <c r="BS169" s="58" t="s">
        <v>1293</v>
      </c>
      <c r="BT169" s="58" t="s">
        <v>1293</v>
      </c>
      <c r="BU169" s="58" t="s">
        <v>1293</v>
      </c>
      <c r="BV169" s="72">
        <f t="shared" si="838"/>
        <v>53</v>
      </c>
      <c r="BW169" s="73">
        <f t="shared" si="839"/>
        <v>83</v>
      </c>
      <c r="BX169" s="74">
        <f t="shared" si="840"/>
        <v>87</v>
      </c>
      <c r="BY169" s="73">
        <f t="shared" si="841"/>
        <v>119</v>
      </c>
      <c r="BZ169" s="74">
        <f t="shared" si="842"/>
        <v>123</v>
      </c>
      <c r="CA169" s="73" t="str">
        <f t="shared" si="843"/>
        <v>-</v>
      </c>
      <c r="CB169" s="74">
        <f t="shared" si="844"/>
        <v>165</v>
      </c>
      <c r="CC169" s="73">
        <f t="shared" si="845"/>
        <v>210</v>
      </c>
      <c r="CD169" s="74">
        <f t="shared" si="846"/>
        <v>217</v>
      </c>
      <c r="CE169" s="73">
        <f t="shared" si="847"/>
        <v>294</v>
      </c>
      <c r="CF169" s="74">
        <f t="shared" si="848"/>
        <v>339</v>
      </c>
      <c r="CG169" s="73">
        <f t="shared" si="849"/>
        <v>368</v>
      </c>
      <c r="CH169" s="72">
        <f t="shared" si="850"/>
        <v>82</v>
      </c>
      <c r="CI169" s="73">
        <f t="shared" si="851"/>
        <v>86</v>
      </c>
      <c r="CJ169" s="74">
        <f t="shared" si="852"/>
        <v>117</v>
      </c>
      <c r="CK169" s="74">
        <f t="shared" si="853"/>
        <v>122</v>
      </c>
      <c r="CL169" s="74">
        <f t="shared" si="854"/>
        <v>158</v>
      </c>
      <c r="CM169" s="74" t="str">
        <f t="shared" si="855"/>
        <v>-</v>
      </c>
      <c r="CN169" s="74">
        <f t="shared" si="856"/>
        <v>191</v>
      </c>
      <c r="CO169" s="74">
        <f t="shared" si="857"/>
        <v>212</v>
      </c>
      <c r="CP169" s="74">
        <f t="shared" si="858"/>
        <v>254</v>
      </c>
      <c r="CQ169" s="74">
        <f t="shared" si="859"/>
        <v>330</v>
      </c>
      <c r="CR169" s="74">
        <f t="shared" si="860"/>
        <v>367</v>
      </c>
      <c r="CS169" s="74">
        <f t="shared" si="861"/>
        <v>379</v>
      </c>
      <c r="CT169" s="23">
        <f t="shared" si="862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863"/>
        <v>p2ry1_human__wt</v>
      </c>
      <c r="B170" s="3" t="s">
        <v>345</v>
      </c>
      <c r="C170" s="3" t="s">
        <v>100</v>
      </c>
      <c r="D170" s="3" t="str">
        <f>IFERROR(MID(VLOOKUP($B170,Seqs!$A:$B,2,0),E170,1),"")</f>
        <v>F</v>
      </c>
      <c r="E170" s="3">
        <v>49</v>
      </c>
      <c r="F170" s="3" t="str">
        <f>IFERROR(MID(VLOOKUP($B170,Seqs!$A:$B,2,0),G170,1),"")</f>
        <v>H</v>
      </c>
      <c r="G170" s="3">
        <v>79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84</v>
      </c>
      <c r="N170" s="3" t="str">
        <f>IFERROR(MID(VLOOKUP($B170,Seqs!$A:$B,2,0),O170,1),"")</f>
        <v>N</v>
      </c>
      <c r="O170" s="3">
        <v>113</v>
      </c>
      <c r="P170" s="3" t="str">
        <f>IFERROR(MID(VLOOKUP($B170,Seqs!$A:$B,2,0),Q170,1),"")</f>
        <v>D</v>
      </c>
      <c r="Q170" s="3">
        <v>116</v>
      </c>
      <c r="R170" s="3" t="str">
        <f>IFERROR(MID(VLOOKUP($B170,Seqs!$A:$B,2,0),S170,1),"")</f>
        <v>F</v>
      </c>
      <c r="S170" s="3">
        <v>119</v>
      </c>
      <c r="T170" s="3" t="str">
        <f>IFERROR(MID(VLOOKUP($B170,Seqs!$A:$B,2,0),U170,1),"")</f>
        <v>G</v>
      </c>
      <c r="U170" s="3">
        <v>120</v>
      </c>
      <c r="V170" s="3" t="str">
        <f>IFERROR(MID(VLOOKUP($B170,Seqs!$A:$B,2,0),W170,1),"")</f>
        <v>Y</v>
      </c>
      <c r="W170" s="3">
        <v>155</v>
      </c>
      <c r="X170" s="3" t="str">
        <f>IFERROR(MID(VLOOKUP($B170,Seqs!$A:$B,2,0),Y170,1),"")</f>
        <v>P</v>
      </c>
      <c r="Y170" s="3">
        <v>156</v>
      </c>
      <c r="Z170" s="3" t="str">
        <f>IFERROR(MID(VLOOKUP($B170,Seqs!$A:$B,2,0),AA170,1),"")</f>
        <v>L</v>
      </c>
      <c r="AA170" s="3">
        <v>163</v>
      </c>
      <c r="AB170" s="3" t="str">
        <f>IFERROR(MID(VLOOKUP($B170,Seqs!$A:$B,2,0),AC170,1),"")</f>
        <v>K</v>
      </c>
      <c r="AC170" s="9">
        <v>164</v>
      </c>
      <c r="AD170" s="3" t="str">
        <f>IFERROR(MID(VLOOKUP($B170,Seqs!$A:$B,2,0),AE170,1),"")</f>
        <v>S</v>
      </c>
      <c r="AE170" s="3">
        <v>190</v>
      </c>
      <c r="AF170" s="3" t="str">
        <f>IFERROR(MID(VLOOKUP($B170,Seqs!$A:$B,2,0),AG170,1),"")</f>
        <v>C</v>
      </c>
      <c r="AG170" s="3">
        <v>202</v>
      </c>
      <c r="AH170" s="3" t="str">
        <f>IFERROR(MID(VLOOKUP($B170,Seqs!$A:$B,2,0),AI170,1),"")</f>
        <v>D</v>
      </c>
      <c r="AI170" s="3">
        <v>204</v>
      </c>
      <c r="AJ170" s="3" t="str">
        <f>IFERROR(MID(VLOOKUP($B170,Seqs!$A:$B,2,0),AK170,1),"")</f>
        <v>L</v>
      </c>
      <c r="AK170" s="3">
        <v>211</v>
      </c>
      <c r="AL170" s="3" t="str">
        <f>IFERROR(MID(VLOOKUP($B170,Seqs!$A:$B,2,0),AM170,1),"")</f>
        <v>K</v>
      </c>
      <c r="AM170" s="3">
        <v>247</v>
      </c>
      <c r="AN170" s="3" t="str">
        <f>IFERROR(MID(VLOOKUP($B170,Seqs!$A:$B,2,0),AO170,1),"")</f>
        <v>P</v>
      </c>
      <c r="AO170" s="3">
        <v>253</v>
      </c>
      <c r="AP170" s="3" t="str">
        <f>IFERROR(MID(VLOOKUP($B170,Seqs!$A:$B,2,0),AQ170,1),"")</f>
        <v>D</v>
      </c>
      <c r="AQ170" s="3">
        <v>289</v>
      </c>
      <c r="AR170" s="3" t="str">
        <f>IFERROR(MID(VLOOKUP($B170,Seqs!$A:$B,2,0),AS170,1),"")</f>
        <v>M</v>
      </c>
      <c r="AS170" s="3">
        <v>295</v>
      </c>
      <c r="AT170" s="3" t="str">
        <f>IFERROR(MID(VLOOKUP($B170,Seqs!$A:$B,2,0),AU170,1),"")</f>
        <v>A</v>
      </c>
      <c r="AU170" s="3">
        <v>327</v>
      </c>
      <c r="AV170" s="3" t="str">
        <f>IFERROR(MID(VLOOKUP($B170,Seqs!$A:$B,2,0),AW170,1),"")</f>
        <v>G</v>
      </c>
      <c r="AW170" s="3">
        <v>328</v>
      </c>
      <c r="AX170" s="3" t="str">
        <f>IFERROR(MID(VLOOKUP($B170,Seqs!$A:$B,2,0),AY170,1),"")</f>
        <v>R</v>
      </c>
      <c r="AY170" s="3">
        <v>340</v>
      </c>
      <c r="AZ170" s="79" t="str">
        <f>VLOOKUP(B170,Classification!A:D,2,0)</f>
        <v>A</v>
      </c>
      <c r="BA170" s="97" t="str">
        <f>VLOOKUP(B170,Classification!A:D,4,0)</f>
        <v>P2Y</v>
      </c>
      <c r="BB170" s="27" t="b">
        <f t="shared" si="864"/>
        <v>1</v>
      </c>
      <c r="BC170" s="23">
        <f t="shared" si="837"/>
        <v>260</v>
      </c>
      <c r="BD170" s="57" t="s">
        <v>1379</v>
      </c>
      <c r="BE170" s="3" t="s">
        <v>23</v>
      </c>
      <c r="BF170" s="124" t="s">
        <v>23</v>
      </c>
      <c r="BG170" s="50" t="s">
        <v>1379</v>
      </c>
      <c r="BH170" s="50" t="s">
        <v>1384</v>
      </c>
      <c r="BI170" s="1"/>
      <c r="BJ170" s="72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58" t="s">
        <v>1293</v>
      </c>
      <c r="BV170" s="72">
        <f t="shared" si="838"/>
        <v>49</v>
      </c>
      <c r="BW170" s="73" t="str">
        <f t="shared" si="839"/>
        <v>-</v>
      </c>
      <c r="BX170" s="74">
        <f t="shared" si="840"/>
        <v>84</v>
      </c>
      <c r="BY170" s="73">
        <f t="shared" si="841"/>
        <v>116</v>
      </c>
      <c r="BZ170" s="74">
        <f t="shared" si="842"/>
        <v>120</v>
      </c>
      <c r="CA170" s="73">
        <f t="shared" si="843"/>
        <v>156</v>
      </c>
      <c r="CB170" s="74">
        <f t="shared" si="844"/>
        <v>164</v>
      </c>
      <c r="CC170" s="73">
        <f t="shared" si="845"/>
        <v>202</v>
      </c>
      <c r="CD170" s="74">
        <f t="shared" si="846"/>
        <v>211</v>
      </c>
      <c r="CE170" s="73">
        <f t="shared" si="847"/>
        <v>253</v>
      </c>
      <c r="CF170" s="74">
        <f t="shared" si="848"/>
        <v>295</v>
      </c>
      <c r="CG170" s="73">
        <f t="shared" si="849"/>
        <v>328</v>
      </c>
      <c r="CH170" s="72">
        <f t="shared" si="850"/>
        <v>79</v>
      </c>
      <c r="CI170" s="73" t="str">
        <f t="shared" si="851"/>
        <v>-</v>
      </c>
      <c r="CJ170" s="74">
        <f t="shared" si="852"/>
        <v>113</v>
      </c>
      <c r="CK170" s="74">
        <f t="shared" si="853"/>
        <v>119</v>
      </c>
      <c r="CL170" s="74">
        <f t="shared" si="854"/>
        <v>155</v>
      </c>
      <c r="CM170" s="74">
        <f t="shared" si="855"/>
        <v>163</v>
      </c>
      <c r="CN170" s="74">
        <f t="shared" si="856"/>
        <v>190</v>
      </c>
      <c r="CO170" s="74">
        <f t="shared" si="857"/>
        <v>204</v>
      </c>
      <c r="CP170" s="74">
        <f t="shared" si="858"/>
        <v>247</v>
      </c>
      <c r="CQ170" s="74">
        <f t="shared" si="859"/>
        <v>289</v>
      </c>
      <c r="CR170" s="74">
        <f t="shared" si="860"/>
        <v>327</v>
      </c>
      <c r="CS170" s="74">
        <f t="shared" si="861"/>
        <v>340</v>
      </c>
      <c r="CT170" s="23" t="e">
        <f t="shared" si="862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863"/>
        <v>p2ry1_human_4XNV</v>
      </c>
      <c r="B171" s="3" t="s">
        <v>345</v>
      </c>
      <c r="C171" s="3" t="s">
        <v>1152</v>
      </c>
      <c r="D171" s="3" t="str">
        <f>IFERROR(MID(VLOOKUP($B171,Seqs!$A:$B,2,0),E171,1),"")</f>
        <v>F</v>
      </c>
      <c r="E171" s="3">
        <v>49</v>
      </c>
      <c r="F171" s="3" t="str">
        <f>IFERROR(MID(VLOOKUP($B171,Seqs!$A:$B,2,0),G171,1),"")</f>
        <v>H</v>
      </c>
      <c r="G171" s="3">
        <v>79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84</v>
      </c>
      <c r="N171" s="3" t="str">
        <f>IFERROR(MID(VLOOKUP($B171,Seqs!$A:$B,2,0),O171,1),"")</f>
        <v>N</v>
      </c>
      <c r="O171" s="3">
        <v>113</v>
      </c>
      <c r="P171" s="3" t="str">
        <f>IFERROR(MID(VLOOKUP($B171,Seqs!$A:$B,2,0),Q171,1),"")</f>
        <v>D</v>
      </c>
      <c r="Q171" s="3">
        <v>116</v>
      </c>
      <c r="R171" s="3" t="str">
        <f>IFERROR(MID(VLOOKUP($B171,Seqs!$A:$B,2,0),S171,1),"")</f>
        <v>F</v>
      </c>
      <c r="S171" s="3">
        <v>119</v>
      </c>
      <c r="T171" s="3" t="str">
        <f>IFERROR(MID(VLOOKUP($B171,Seqs!$A:$B,2,0),U171,1),"")</f>
        <v>G</v>
      </c>
      <c r="U171" s="3">
        <v>120</v>
      </c>
      <c r="V171" s="3" t="str">
        <f>IFERROR(MID(VLOOKUP($B171,Seqs!$A:$B,2,0),W171,1),"")</f>
        <v>Y</v>
      </c>
      <c r="W171" s="3">
        <v>155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G</v>
      </c>
      <c r="AC171" s="9">
        <v>161</v>
      </c>
      <c r="AD171" s="3" t="str">
        <f>IFERROR(MID(VLOOKUP($B171,Seqs!$A:$B,2,0),AE171,1),"")</f>
        <v>S</v>
      </c>
      <c r="AE171" s="3">
        <v>190</v>
      </c>
      <c r="AF171" s="3" t="str">
        <f>IFERROR(MID(VLOOKUP($B171,Seqs!$A:$B,2,0),AG171,1),"")</f>
        <v>C</v>
      </c>
      <c r="AG171" s="3">
        <v>202</v>
      </c>
      <c r="AH171" s="3" t="str">
        <f>IFERROR(MID(VLOOKUP($B171,Seqs!$A:$B,2,0),AI171,1),"")</f>
        <v>D</v>
      </c>
      <c r="AI171" s="3">
        <v>204</v>
      </c>
      <c r="AJ171" s="3" t="str">
        <f>IFERROR(MID(VLOOKUP($B171,Seqs!$A:$B,2,0),AK171,1),"")</f>
        <v>L</v>
      </c>
      <c r="AK171" s="3">
        <v>211</v>
      </c>
      <c r="AL171" s="3" t="str">
        <f>IFERROR(MID(VLOOKUP($B171,Seqs!$A:$B,2,0),AM171,1),"")</f>
        <v>K</v>
      </c>
      <c r="AM171" s="3">
        <v>247</v>
      </c>
      <c r="AN171" s="3" t="str">
        <f>IFERROR(MID(VLOOKUP($B171,Seqs!$A:$B,2,0),AO171,1),"")</f>
        <v>P</v>
      </c>
      <c r="AO171" s="3">
        <v>253</v>
      </c>
      <c r="AP171" s="3" t="str">
        <f>IFERROR(MID(VLOOKUP($B171,Seqs!$A:$B,2,0),AQ171,1),"")</f>
        <v>D</v>
      </c>
      <c r="AQ171" s="3">
        <v>289</v>
      </c>
      <c r="AR171" s="3" t="str">
        <f>IFERROR(MID(VLOOKUP($B171,Seqs!$A:$B,2,0),AS171,1),"")</f>
        <v>M</v>
      </c>
      <c r="AS171" s="3">
        <v>295</v>
      </c>
      <c r="AT171" s="3" t="str">
        <f>IFERROR(MID(VLOOKUP($B171,Seqs!$A:$B,2,0),AU171,1),"")</f>
        <v>L</v>
      </c>
      <c r="AU171" s="3">
        <v>326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9" t="str">
        <f>VLOOKUP(B171,Classification!A:D,2,0)</f>
        <v>A</v>
      </c>
      <c r="BA171" s="97" t="str">
        <f>VLOOKUP(B171,Classification!A:D,4,0)</f>
        <v>P2Y</v>
      </c>
      <c r="BB171" s="27" t="b">
        <f t="shared" si="864"/>
        <v>1</v>
      </c>
      <c r="BC171" s="23">
        <f t="shared" si="837"/>
        <v>243</v>
      </c>
      <c r="BD171" s="4" t="s">
        <v>23</v>
      </c>
      <c r="BE171" s="3" t="s">
        <v>1439</v>
      </c>
      <c r="BF171" s="124">
        <v>2.2000000000000002</v>
      </c>
      <c r="BG171" s="50" t="s">
        <v>1384</v>
      </c>
      <c r="BH171" s="50" t="s">
        <v>1384</v>
      </c>
      <c r="BI171" s="3" t="s">
        <v>1169</v>
      </c>
      <c r="BJ171" s="72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58" t="s">
        <v>1293</v>
      </c>
      <c r="BV171" s="72">
        <f t="shared" si="838"/>
        <v>49</v>
      </c>
      <c r="BW171" s="73" t="str">
        <f t="shared" si="839"/>
        <v>-</v>
      </c>
      <c r="BX171" s="74">
        <f t="shared" si="840"/>
        <v>84</v>
      </c>
      <c r="BY171" s="73">
        <f t="shared" si="841"/>
        <v>116</v>
      </c>
      <c r="BZ171" s="74">
        <f t="shared" si="842"/>
        <v>120</v>
      </c>
      <c r="CA171" s="73" t="str">
        <f t="shared" si="843"/>
        <v>-</v>
      </c>
      <c r="CB171" s="74">
        <f t="shared" si="844"/>
        <v>161</v>
      </c>
      <c r="CC171" s="73">
        <f t="shared" si="845"/>
        <v>202</v>
      </c>
      <c r="CD171" s="74">
        <f t="shared" si="846"/>
        <v>211</v>
      </c>
      <c r="CE171" s="73">
        <f t="shared" si="847"/>
        <v>253</v>
      </c>
      <c r="CF171" s="74">
        <f t="shared" si="848"/>
        <v>295</v>
      </c>
      <c r="CG171" s="73" t="str">
        <f t="shared" si="849"/>
        <v>-</v>
      </c>
      <c r="CH171" s="72">
        <f t="shared" si="850"/>
        <v>79</v>
      </c>
      <c r="CI171" s="73" t="str">
        <f t="shared" si="851"/>
        <v>-</v>
      </c>
      <c r="CJ171" s="74">
        <f t="shared" si="852"/>
        <v>113</v>
      </c>
      <c r="CK171" s="74">
        <f t="shared" si="853"/>
        <v>119</v>
      </c>
      <c r="CL171" s="74">
        <f t="shared" si="854"/>
        <v>155</v>
      </c>
      <c r="CM171" s="74" t="str">
        <f t="shared" si="855"/>
        <v>-</v>
      </c>
      <c r="CN171" s="74">
        <f t="shared" si="856"/>
        <v>190</v>
      </c>
      <c r="CO171" s="74">
        <f t="shared" si="857"/>
        <v>204</v>
      </c>
      <c r="CP171" s="74">
        <f t="shared" si="858"/>
        <v>247</v>
      </c>
      <c r="CQ171" s="74">
        <f t="shared" si="859"/>
        <v>289</v>
      </c>
      <c r="CR171" s="74">
        <f t="shared" si="860"/>
        <v>326</v>
      </c>
      <c r="CS171" s="74" t="str">
        <f t="shared" si="861"/>
        <v>-</v>
      </c>
      <c r="CT171" s="23" t="e">
        <f t="shared" si="862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 t="shared" si="863"/>
        <v>p2ry1_human_4XNW</v>
      </c>
      <c r="B172" s="3" t="s">
        <v>345</v>
      </c>
      <c r="C172" s="3" t="s">
        <v>1056</v>
      </c>
      <c r="D172" s="3" t="str">
        <f>IFERROR(MID(VLOOKUP($B172,Seqs!$A:$B,2,0),E172,1),"")</f>
        <v>F</v>
      </c>
      <c r="E172" s="3">
        <v>49</v>
      </c>
      <c r="F172" s="3" t="str">
        <f>IFERROR(MID(VLOOKUP($B172,Seqs!$A:$B,2,0),G172,1),"")</f>
        <v>H</v>
      </c>
      <c r="G172" s="3">
        <v>79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84</v>
      </c>
      <c r="N172" s="3" t="str">
        <f>IFERROR(MID(VLOOKUP($B172,Seqs!$A:$B,2,0),O172,1),"")</f>
        <v>N</v>
      </c>
      <c r="O172" s="3">
        <v>113</v>
      </c>
      <c r="P172" s="3" t="str">
        <f>IFERROR(MID(VLOOKUP($B172,Seqs!$A:$B,2,0),Q172,1),"")</f>
        <v>D</v>
      </c>
      <c r="Q172" s="3">
        <v>116</v>
      </c>
      <c r="R172" s="3" t="str">
        <f>IFERROR(MID(VLOOKUP($B172,Seqs!$A:$B,2,0),S172,1),"")</f>
        <v>F</v>
      </c>
      <c r="S172" s="3">
        <v>119</v>
      </c>
      <c r="T172" s="3" t="str">
        <f>IFERROR(MID(VLOOKUP($B172,Seqs!$A:$B,2,0),U172,1),"")</f>
        <v>G</v>
      </c>
      <c r="U172" s="3">
        <v>120</v>
      </c>
      <c r="V172" s="3" t="str">
        <f>IFERROR(MID(VLOOKUP($B172,Seqs!$A:$B,2,0),W172,1),"")</f>
        <v>Y</v>
      </c>
      <c r="W172" s="3">
        <v>155</v>
      </c>
      <c r="X172" s="3" t="str">
        <f>IFERROR(MID(VLOOKUP($B172,Seqs!$A:$B,2,0),Y172,1),"")</f>
        <v>P</v>
      </c>
      <c r="Y172" s="3">
        <v>156</v>
      </c>
      <c r="Z172" s="3" t="str">
        <f>IFERROR(MID(VLOOKUP($B172,Seqs!$A:$B,2,0),AA172,1),"")</f>
        <v>L</v>
      </c>
      <c r="AA172" s="3">
        <v>163</v>
      </c>
      <c r="AB172" s="3" t="str">
        <f>IFERROR(MID(VLOOKUP($B172,Seqs!$A:$B,2,0),AC172,1),"")</f>
        <v>K</v>
      </c>
      <c r="AC172" s="9">
        <v>164</v>
      </c>
      <c r="AD172" s="3" t="str">
        <f>IFERROR(MID(VLOOKUP($B172,Seqs!$A:$B,2,0),AE172,1),"")</f>
        <v>S</v>
      </c>
      <c r="AE172" s="3">
        <v>190</v>
      </c>
      <c r="AF172" s="3" t="str">
        <f>IFERROR(MID(VLOOKUP($B172,Seqs!$A:$B,2,0),AG172,1),"")</f>
        <v>C</v>
      </c>
      <c r="AG172" s="3">
        <v>202</v>
      </c>
      <c r="AH172" s="3" t="str">
        <f>IFERROR(MID(VLOOKUP($B172,Seqs!$A:$B,2,0),AI172,1),"")</f>
        <v>D</v>
      </c>
      <c r="AI172" s="3">
        <v>204</v>
      </c>
      <c r="AJ172" s="3" t="str">
        <f>IFERROR(MID(VLOOKUP($B172,Seqs!$A:$B,2,0),AK172,1),"")</f>
        <v>L</v>
      </c>
      <c r="AK172" s="3">
        <v>211</v>
      </c>
      <c r="AL172" s="3" t="str">
        <f>IFERROR(MID(VLOOKUP($B172,Seqs!$A:$B,2,0),AM172,1),"")</f>
        <v>K</v>
      </c>
      <c r="AM172" s="3">
        <v>247</v>
      </c>
      <c r="AN172" s="3" t="str">
        <f>IFERROR(MID(VLOOKUP($B172,Seqs!$A:$B,2,0),AO172,1),"")</f>
        <v>P</v>
      </c>
      <c r="AO172" s="3">
        <v>253</v>
      </c>
      <c r="AP172" s="3" t="str">
        <f>IFERROR(MID(VLOOKUP($B172,Seqs!$A:$B,2,0),AQ172,1),"")</f>
        <v>D</v>
      </c>
      <c r="AQ172" s="3">
        <v>289</v>
      </c>
      <c r="AR172" s="3" t="str">
        <f>IFERROR(MID(VLOOKUP($B172,Seqs!$A:$B,2,0),AS172,1),"")</f>
        <v>M</v>
      </c>
      <c r="AS172" s="3">
        <v>295</v>
      </c>
      <c r="AT172" s="3" t="str">
        <f>IFERROR(MID(VLOOKUP($B172,Seqs!$A:$B,2,0),AU172,1),"")</f>
        <v>L</v>
      </c>
      <c r="AU172" s="3">
        <v>326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9" t="str">
        <f>VLOOKUP(B172,Classification!A:D,2,0)</f>
        <v>A</v>
      </c>
      <c r="BA172" s="97" t="str">
        <f>VLOOKUP(B172,Classification!A:D,4,0)</f>
        <v>P2Y</v>
      </c>
      <c r="BB172" s="27" t="b">
        <f t="shared" si="864"/>
        <v>1</v>
      </c>
      <c r="BC172" s="23">
        <f t="shared" si="837"/>
        <v>247</v>
      </c>
      <c r="BD172" s="2" t="s">
        <v>1440</v>
      </c>
      <c r="BE172" s="3" t="s">
        <v>1439</v>
      </c>
      <c r="BF172" s="124">
        <v>2.7</v>
      </c>
      <c r="BG172" s="50" t="s">
        <v>1384</v>
      </c>
      <c r="BH172" s="50" t="s">
        <v>1384</v>
      </c>
      <c r="BI172" s="1"/>
      <c r="BJ172" s="72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58" t="s">
        <v>1293</v>
      </c>
      <c r="BV172" s="72">
        <f t="shared" si="838"/>
        <v>49</v>
      </c>
      <c r="BW172" s="73" t="str">
        <f t="shared" si="839"/>
        <v>-</v>
      </c>
      <c r="BX172" s="74">
        <f t="shared" si="840"/>
        <v>84</v>
      </c>
      <c r="BY172" s="73">
        <f t="shared" si="841"/>
        <v>116</v>
      </c>
      <c r="BZ172" s="74">
        <f t="shared" si="842"/>
        <v>120</v>
      </c>
      <c r="CA172" s="73">
        <f t="shared" si="843"/>
        <v>156</v>
      </c>
      <c r="CB172" s="74">
        <f t="shared" si="844"/>
        <v>164</v>
      </c>
      <c r="CC172" s="73">
        <f t="shared" si="845"/>
        <v>202</v>
      </c>
      <c r="CD172" s="74">
        <f t="shared" si="846"/>
        <v>211</v>
      </c>
      <c r="CE172" s="73">
        <f t="shared" si="847"/>
        <v>253</v>
      </c>
      <c r="CF172" s="74">
        <f t="shared" si="848"/>
        <v>295</v>
      </c>
      <c r="CG172" s="73" t="str">
        <f t="shared" si="849"/>
        <v>-</v>
      </c>
      <c r="CH172" s="72">
        <f t="shared" si="850"/>
        <v>79</v>
      </c>
      <c r="CI172" s="73" t="str">
        <f t="shared" si="851"/>
        <v>-</v>
      </c>
      <c r="CJ172" s="74">
        <f t="shared" si="852"/>
        <v>113</v>
      </c>
      <c r="CK172" s="74">
        <f t="shared" si="853"/>
        <v>119</v>
      </c>
      <c r="CL172" s="74">
        <f t="shared" si="854"/>
        <v>155</v>
      </c>
      <c r="CM172" s="74">
        <f t="shared" si="855"/>
        <v>163</v>
      </c>
      <c r="CN172" s="74">
        <f t="shared" si="856"/>
        <v>190</v>
      </c>
      <c r="CO172" s="74">
        <f t="shared" si="857"/>
        <v>204</v>
      </c>
      <c r="CP172" s="74">
        <f t="shared" si="858"/>
        <v>247</v>
      </c>
      <c r="CQ172" s="74">
        <f t="shared" si="859"/>
        <v>289</v>
      </c>
      <c r="CR172" s="74">
        <f t="shared" si="860"/>
        <v>326</v>
      </c>
      <c r="CS172" s="74" t="str">
        <f t="shared" si="861"/>
        <v>-</v>
      </c>
      <c r="CT172" s="23" t="e">
        <f t="shared" si="862"/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863"/>
        <v>p2y12_human__wt</v>
      </c>
      <c r="B173" s="3" t="s">
        <v>352</v>
      </c>
      <c r="C173" s="3" t="s">
        <v>100</v>
      </c>
      <c r="D173" s="3" t="str">
        <f>IFERROR(MID(VLOOKUP($B173,Seqs!$A:$B,2,0),E173,1),"")</f>
        <v>Y</v>
      </c>
      <c r="E173" s="3">
        <v>21</v>
      </c>
      <c r="F173" s="3" t="str">
        <f>IFERROR(MID(VLOOKUP($B173,Seqs!$A:$B,2,0),G173,1),"")</f>
        <v>I</v>
      </c>
      <c r="G173" s="3">
        <v>53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S</v>
      </c>
      <c r="M173" s="3">
        <v>57</v>
      </c>
      <c r="N173" s="3" t="str">
        <f>IFERROR(MID(VLOOKUP($B173,Seqs!$A:$B,2,0),O173,1),"")</f>
        <v>K</v>
      </c>
      <c r="O173" s="3">
        <v>86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G</v>
      </c>
      <c r="U173" s="3">
        <v>90</v>
      </c>
      <c r="V173" s="3" t="str">
        <f>IFERROR(MID(VLOOKUP($B173,Seqs!$A:$B,2,0),W173,1),"")</f>
        <v>R</v>
      </c>
      <c r="W173" s="3">
        <v>128</v>
      </c>
      <c r="X173" s="3" t="str">
        <f>IFERROR(MID(VLOOKUP($B173,Seqs!$A:$B,2,0),Y173,1),"")</f>
        <v>P</v>
      </c>
      <c r="Y173" s="3">
        <v>129</v>
      </c>
      <c r="Z173" s="3" t="str">
        <f>IFERROR(MID(VLOOKUP($B173,Seqs!$A:$B,2,0),AA173,1),"")</f>
        <v>K</v>
      </c>
      <c r="AA173" s="75">
        <v>136</v>
      </c>
      <c r="AB173" s="3" t="str">
        <f>IFERROR(MID(VLOOKUP($B173,Seqs!$A:$B,2,0),AC173,1),"")</f>
        <v>N</v>
      </c>
      <c r="AC173" s="9">
        <v>137</v>
      </c>
      <c r="AD173" s="3" t="str">
        <f>IFERROR(MID(VLOOKUP($B173,Seqs!$A:$B,2,0),AE173,1),"")</f>
        <v>T</v>
      </c>
      <c r="AE173" s="3">
        <v>163</v>
      </c>
      <c r="AF173" s="3" t="str">
        <f>IFERROR(MID(VLOOKUP($B173,Seqs!$A:$B,2,0),AG173,1),"")</f>
        <v>C</v>
      </c>
      <c r="AG173" s="3">
        <v>175</v>
      </c>
      <c r="AH173" s="3" t="str">
        <f>IFERROR(MID(VLOOKUP($B173,Seqs!$A:$B,2,0),AI173,1),"")</f>
        <v>F</v>
      </c>
      <c r="AI173" s="3">
        <v>177</v>
      </c>
      <c r="AJ173" s="3" t="str">
        <f>IFERROR(MID(VLOOKUP($B173,Seqs!$A:$B,2,0),AK173,1),"")</f>
        <v>E</v>
      </c>
      <c r="AK173" s="3">
        <v>181</v>
      </c>
      <c r="AL173" s="3" t="str">
        <f>IFERROR(MID(VLOOKUP($B173,Seqs!$A:$B,2,0),AM173,1),"")</f>
        <v>T</v>
      </c>
      <c r="AM173" s="3">
        <v>223</v>
      </c>
      <c r="AN173" s="3" t="str">
        <f>IFERROR(MID(VLOOKUP($B173,Seqs!$A:$B,2,0),AO173,1),"")</f>
        <v>P</v>
      </c>
      <c r="AO173" s="3">
        <v>230</v>
      </c>
      <c r="AP173" s="3" t="str">
        <f>IFERROR(MID(VLOOKUP($B173,Seqs!$A:$B,2,0),AQ173,1),"")</f>
        <v>R</v>
      </c>
      <c r="AQ173" s="3">
        <v>265</v>
      </c>
      <c r="AR173" s="3" t="str">
        <f>IFERROR(MID(VLOOKUP($B173,Seqs!$A:$B,2,0),AS173,1),"")</f>
        <v>D</v>
      </c>
      <c r="AS173" s="3">
        <v>269</v>
      </c>
      <c r="AT173" s="3" t="str">
        <f>IFERROR(MID(VLOOKUP($B173,Seqs!$A:$B,2,0),AU173,1),"")</f>
        <v>L</v>
      </c>
      <c r="AU173" s="3">
        <v>301</v>
      </c>
      <c r="AV173" s="3" t="str">
        <f>IFERROR(MID(VLOOKUP($B173,Seqs!$A:$B,2,0),AW173,1),"")</f>
        <v>C</v>
      </c>
      <c r="AW173" s="3">
        <v>302</v>
      </c>
      <c r="AX173" s="3" t="str">
        <f>IFERROR(MID(VLOOKUP($B173,Seqs!$A:$B,2,0),AY173,1),"")</f>
        <v>M</v>
      </c>
      <c r="AY173" s="3">
        <v>312</v>
      </c>
      <c r="AZ173" s="79" t="str">
        <f>VLOOKUP(B173,Classification!A:D,2,0)</f>
        <v>A</v>
      </c>
      <c r="BA173" s="97" t="str">
        <f>VLOOKUP(B173,Classification!A:D,4,0)</f>
        <v>P2Y</v>
      </c>
      <c r="BB173" s="27" t="b">
        <f t="shared" si="864"/>
        <v>1</v>
      </c>
      <c r="BC173" s="23">
        <f t="shared" si="837"/>
        <v>265</v>
      </c>
      <c r="BD173" s="57" t="s">
        <v>1379</v>
      </c>
      <c r="BE173" s="3" t="s">
        <v>23</v>
      </c>
      <c r="BF173" s="124" t="s">
        <v>23</v>
      </c>
      <c r="BG173" s="50" t="s">
        <v>1379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838"/>
        <v>21</v>
      </c>
      <c r="BW173" s="73" t="str">
        <f t="shared" si="839"/>
        <v>-</v>
      </c>
      <c r="BX173" s="74">
        <f t="shared" si="840"/>
        <v>57</v>
      </c>
      <c r="BY173" s="73" t="str">
        <f t="shared" si="841"/>
        <v>-</v>
      </c>
      <c r="BZ173" s="74">
        <f t="shared" si="842"/>
        <v>90</v>
      </c>
      <c r="CA173" s="73">
        <f t="shared" si="843"/>
        <v>129</v>
      </c>
      <c r="CB173" s="74">
        <f t="shared" si="844"/>
        <v>137</v>
      </c>
      <c r="CC173" s="73">
        <f t="shared" si="845"/>
        <v>175</v>
      </c>
      <c r="CD173" s="74">
        <f t="shared" si="846"/>
        <v>181</v>
      </c>
      <c r="CE173" s="73">
        <f t="shared" si="847"/>
        <v>230</v>
      </c>
      <c r="CF173" s="74">
        <f t="shared" si="848"/>
        <v>269</v>
      </c>
      <c r="CG173" s="73">
        <f t="shared" si="849"/>
        <v>302</v>
      </c>
      <c r="CH173" s="72">
        <f t="shared" si="850"/>
        <v>53</v>
      </c>
      <c r="CI173" s="73" t="str">
        <f t="shared" si="851"/>
        <v>-</v>
      </c>
      <c r="CJ173" s="74">
        <f t="shared" si="852"/>
        <v>86</v>
      </c>
      <c r="CK173" s="74" t="str">
        <f t="shared" si="853"/>
        <v>-</v>
      </c>
      <c r="CL173" s="74">
        <f t="shared" si="854"/>
        <v>128</v>
      </c>
      <c r="CM173" s="74">
        <f t="shared" si="855"/>
        <v>136</v>
      </c>
      <c r="CN173" s="74">
        <f t="shared" si="856"/>
        <v>163</v>
      </c>
      <c r="CO173" s="74">
        <f t="shared" si="857"/>
        <v>177</v>
      </c>
      <c r="CP173" s="74">
        <f t="shared" si="858"/>
        <v>223</v>
      </c>
      <c r="CQ173" s="74">
        <f t="shared" si="859"/>
        <v>265</v>
      </c>
      <c r="CR173" s="74">
        <f t="shared" si="860"/>
        <v>301</v>
      </c>
      <c r="CS173" s="74">
        <f t="shared" si="861"/>
        <v>312</v>
      </c>
      <c r="CT173" s="23" t="e">
        <f t="shared" si="862"/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863"/>
        <v>p2y12_human_4NTJ</v>
      </c>
      <c r="B174" s="3" t="s">
        <v>352</v>
      </c>
      <c r="C174" s="3" t="s">
        <v>1049</v>
      </c>
      <c r="D174" s="3" t="str">
        <f>IFERROR(MID(VLOOKUP($B174,Seqs!$A:$B,2,0),E174,1),"")</f>
        <v>Y</v>
      </c>
      <c r="E174" s="3">
        <v>21</v>
      </c>
      <c r="F174" s="3" t="str">
        <f>IFERROR(MID(VLOOKUP($B174,Seqs!$A:$B,2,0),G174,1),"")</f>
        <v>I</v>
      </c>
      <c r="G174" s="3">
        <v>53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57</v>
      </c>
      <c r="N174" s="3" t="str">
        <f>IFERROR(MID(VLOOKUP($B174,Seqs!$A:$B,2,0),O174,1),"")</f>
        <v>K</v>
      </c>
      <c r="O174" s="3">
        <v>86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L</v>
      </c>
      <c r="U174" s="3">
        <v>92</v>
      </c>
      <c r="V174" s="3" t="str">
        <f>IFERROR(MID(VLOOKUP($B174,Seqs!$A:$B,2,0),W174,1),"")</f>
        <v>R</v>
      </c>
      <c r="W174" s="3">
        <v>128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9">
        <v>137</v>
      </c>
      <c r="AD174" s="3" t="str">
        <f>IFERROR(MID(VLOOKUP($B174,Seqs!$A:$B,2,0),AE174,1),"")</f>
        <v>L</v>
      </c>
      <c r="AE174" s="3">
        <v>162</v>
      </c>
      <c r="AF174" s="3" t="str">
        <f>IFERROR(MID(VLOOKUP($B174,Seqs!$A:$B,2,0),AG174,1),"")</f>
        <v>C</v>
      </c>
      <c r="AG174" s="3">
        <v>175</v>
      </c>
      <c r="AH174" s="3" t="str">
        <f>IFERROR(MID(VLOOKUP($B174,Seqs!$A:$B,2,0),AI174,1),"")</f>
        <v>F</v>
      </c>
      <c r="AI174" s="3">
        <v>177</v>
      </c>
      <c r="AJ174" s="3" t="str">
        <f>IFERROR(MID(VLOOKUP($B174,Seqs!$A:$B,2,0),AK174,1),"")</f>
        <v>E</v>
      </c>
      <c r="AK174" s="3">
        <v>181</v>
      </c>
      <c r="AL174" s="3" t="str">
        <f>IFERROR(MID(VLOOKUP($B174,Seqs!$A:$B,2,0),AM174,1),"")</f>
        <v>T</v>
      </c>
      <c r="AM174" s="3">
        <v>223</v>
      </c>
      <c r="AN174" s="3" t="str">
        <f>IFERROR(MID(VLOOKUP($B174,Seqs!$A:$B,2,0),AO174,1),"")</f>
        <v>I</v>
      </c>
      <c r="AO174" s="3">
        <v>240</v>
      </c>
      <c r="AP174" s="3" t="str">
        <f>IFERROR(MID(VLOOKUP($B174,Seqs!$A:$B,2,0),AQ174,1),"")</f>
        <v>L</v>
      </c>
      <c r="AQ174" s="3">
        <v>261</v>
      </c>
      <c r="AR174" s="3" t="str">
        <f>IFERROR(MID(VLOOKUP($B174,Seqs!$A:$B,2,0),AS174,1),"")</f>
        <v>D</v>
      </c>
      <c r="AS174" s="3">
        <v>269</v>
      </c>
      <c r="AT174" s="3" t="str">
        <f>IFERROR(MID(VLOOKUP($B174,Seqs!$A:$B,2,0),AU174,1),"")</f>
        <v>L</v>
      </c>
      <c r="AU174" s="3">
        <v>301</v>
      </c>
      <c r="AV174" s="3" t="str">
        <f>IFERROR(MID(VLOOKUP($B174,Seqs!$A:$B,2,0),AW174,1),"")</f>
        <v>C</v>
      </c>
      <c r="AW174" s="3">
        <v>302</v>
      </c>
      <c r="AX174" s="3" t="str">
        <f>IFERROR(MID(VLOOKUP($B174,Seqs!$A:$B,2,0),AY174,1),"")</f>
        <v>M</v>
      </c>
      <c r="AY174" s="3">
        <v>312</v>
      </c>
      <c r="AZ174" s="79" t="str">
        <f>VLOOKUP(B174,Classification!A:D,2,0)</f>
        <v>A</v>
      </c>
      <c r="BA174" s="97" t="str">
        <f>VLOOKUP(B174,Classification!A:D,4,0)</f>
        <v>P2Y</v>
      </c>
      <c r="BB174" s="27" t="b">
        <f t="shared" si="864"/>
        <v>1</v>
      </c>
      <c r="BC174" s="23">
        <f t="shared" si="837"/>
        <v>241</v>
      </c>
      <c r="BD174" s="2" t="s">
        <v>1440</v>
      </c>
      <c r="BE174" s="3" t="s">
        <v>1439</v>
      </c>
      <c r="BF174" s="124">
        <v>2.62</v>
      </c>
      <c r="BG174" s="50" t="s">
        <v>1384</v>
      </c>
      <c r="BH174" s="50" t="s">
        <v>1384</v>
      </c>
      <c r="BI174" s="3" t="s">
        <v>1171</v>
      </c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838"/>
        <v>21</v>
      </c>
      <c r="BW174" s="73" t="str">
        <f t="shared" si="839"/>
        <v>-</v>
      </c>
      <c r="BX174" s="74">
        <f t="shared" si="840"/>
        <v>57</v>
      </c>
      <c r="BY174" s="73" t="str">
        <f t="shared" si="841"/>
        <v>-</v>
      </c>
      <c r="BZ174" s="74">
        <f t="shared" si="842"/>
        <v>92</v>
      </c>
      <c r="CA174" s="73" t="str">
        <f t="shared" si="843"/>
        <v>-</v>
      </c>
      <c r="CB174" s="74">
        <f t="shared" si="844"/>
        <v>137</v>
      </c>
      <c r="CC174" s="73">
        <f t="shared" si="845"/>
        <v>175</v>
      </c>
      <c r="CD174" s="74">
        <f t="shared" si="846"/>
        <v>181</v>
      </c>
      <c r="CE174" s="73">
        <f t="shared" si="847"/>
        <v>240</v>
      </c>
      <c r="CF174" s="74">
        <f t="shared" si="848"/>
        <v>269</v>
      </c>
      <c r="CG174" s="73">
        <f t="shared" si="849"/>
        <v>302</v>
      </c>
      <c r="CH174" s="72">
        <f t="shared" si="850"/>
        <v>53</v>
      </c>
      <c r="CI174" s="73" t="str">
        <f t="shared" si="851"/>
        <v>-</v>
      </c>
      <c r="CJ174" s="74">
        <f t="shared" si="852"/>
        <v>86</v>
      </c>
      <c r="CK174" s="74" t="str">
        <f t="shared" si="853"/>
        <v>-</v>
      </c>
      <c r="CL174" s="74">
        <f t="shared" si="854"/>
        <v>128</v>
      </c>
      <c r="CM174" s="74" t="str">
        <f t="shared" si="855"/>
        <v>-</v>
      </c>
      <c r="CN174" s="74">
        <f t="shared" si="856"/>
        <v>162</v>
      </c>
      <c r="CO174" s="74">
        <f t="shared" si="857"/>
        <v>177</v>
      </c>
      <c r="CP174" s="74">
        <f t="shared" si="858"/>
        <v>223</v>
      </c>
      <c r="CQ174" s="74">
        <f t="shared" si="859"/>
        <v>261</v>
      </c>
      <c r="CR174" s="74">
        <f t="shared" si="860"/>
        <v>301</v>
      </c>
      <c r="CS174" s="74">
        <f t="shared" si="861"/>
        <v>312</v>
      </c>
      <c r="CT174" s="23" t="e">
        <f t="shared" si="862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863"/>
        <v>p2y12_human_4PXZ</v>
      </c>
      <c r="B175" s="3" t="s">
        <v>352</v>
      </c>
      <c r="C175" s="3" t="s">
        <v>1153</v>
      </c>
      <c r="D175" s="3" t="str">
        <f>IFERROR(MID(VLOOKUP($B175,Seqs!$A:$B,2,0),E175,1),"")</f>
        <v>I</v>
      </c>
      <c r="E175" s="3">
        <v>23</v>
      </c>
      <c r="F175" s="3" t="str">
        <f>IFERROR(MID(VLOOKUP($B175,Seqs!$A:$B,2,0),G175,1),"")</f>
        <v>I</v>
      </c>
      <c r="G175" s="3">
        <v>53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57</v>
      </c>
      <c r="N175" s="3" t="str">
        <f>IFERROR(MID(VLOOKUP($B175,Seqs!$A:$B,2,0),O175,1),"")</f>
        <v>K</v>
      </c>
      <c r="O175" s="3">
        <v>86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G</v>
      </c>
      <c r="U175" s="3">
        <v>90</v>
      </c>
      <c r="V175" s="3" t="str">
        <f>IFERROR(MID(VLOOKUP($B175,Seqs!$A:$B,2,0),W175,1),"")</f>
        <v>R</v>
      </c>
      <c r="W175" s="3">
        <v>128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N</v>
      </c>
      <c r="AC175" s="9">
        <v>137</v>
      </c>
      <c r="AD175" s="3" t="str">
        <f>IFERROR(MID(VLOOKUP($B175,Seqs!$A:$B,2,0),AE175,1),"")</f>
        <v>T</v>
      </c>
      <c r="AE175" s="3">
        <v>163</v>
      </c>
      <c r="AF175" s="3" t="str">
        <f>IFERROR(MID(VLOOKUP($B175,Seqs!$A:$B,2,0),AG175,1),"")</f>
        <v>C</v>
      </c>
      <c r="AG175" s="3">
        <v>175</v>
      </c>
      <c r="AH175" s="3" t="str">
        <f>IFERROR(MID(VLOOKUP($B175,Seqs!$A:$B,2,0),AI175,1),"")</f>
        <v>F</v>
      </c>
      <c r="AI175" s="3">
        <v>177</v>
      </c>
      <c r="AJ175" s="3" t="str">
        <f>IFERROR(MID(VLOOKUP($B175,Seqs!$A:$B,2,0),AK175,1),"")</f>
        <v>E</v>
      </c>
      <c r="AK175" s="3">
        <v>181</v>
      </c>
      <c r="AL175" s="3" t="str">
        <f>IFERROR(MID(VLOOKUP($B175,Seqs!$A:$B,2,0),AM175,1),"")</f>
        <v>S</v>
      </c>
      <c r="AM175" s="3">
        <v>219</v>
      </c>
      <c r="AN175" s="3" t="str">
        <f>IFERROR(MID(VLOOKUP($B175,Seqs!$A:$B,2,0),AO175,1),"")</f>
        <v>V</v>
      </c>
      <c r="AO175" s="3">
        <v>236</v>
      </c>
      <c r="AP175" s="3" t="str">
        <f>IFERROR(MID(VLOOKUP($B175,Seqs!$A:$B,2,0),AQ175,1),"")</f>
        <v>R</v>
      </c>
      <c r="AQ175" s="3">
        <v>265</v>
      </c>
      <c r="AR175" s="3" t="str">
        <f>IFERROR(MID(VLOOKUP($B175,Seqs!$A:$B,2,0),AS175,1),"")</f>
        <v>D</v>
      </c>
      <c r="AS175" s="3">
        <v>269</v>
      </c>
      <c r="AT175" s="3" t="str">
        <f>IFERROR(MID(VLOOKUP($B175,Seqs!$A:$B,2,0),AU175,1),"")</f>
        <v>C</v>
      </c>
      <c r="AU175" s="3">
        <v>292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A</v>
      </c>
      <c r="BA175" s="97" t="str">
        <f>VLOOKUP(B175,Classification!A:D,4,0)</f>
        <v>P2Y</v>
      </c>
      <c r="BB175" s="27" t="b">
        <f t="shared" si="864"/>
        <v>1</v>
      </c>
      <c r="BC175" s="23">
        <f t="shared" si="837"/>
        <v>227</v>
      </c>
      <c r="BD175" s="4" t="s">
        <v>23</v>
      </c>
      <c r="BE175" s="3" t="s">
        <v>1439</v>
      </c>
      <c r="BF175" s="124">
        <v>2.5</v>
      </c>
      <c r="BG175" s="50" t="s">
        <v>1384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838"/>
        <v>23</v>
      </c>
      <c r="BW175" s="73" t="str">
        <f t="shared" si="839"/>
        <v>-</v>
      </c>
      <c r="BX175" s="74">
        <f t="shared" si="840"/>
        <v>57</v>
      </c>
      <c r="BY175" s="73" t="str">
        <f t="shared" si="841"/>
        <v>-</v>
      </c>
      <c r="BZ175" s="74">
        <f t="shared" si="842"/>
        <v>90</v>
      </c>
      <c r="CA175" s="73" t="str">
        <f t="shared" si="843"/>
        <v>-</v>
      </c>
      <c r="CB175" s="74">
        <f t="shared" si="844"/>
        <v>137</v>
      </c>
      <c r="CC175" s="73">
        <f t="shared" si="845"/>
        <v>175</v>
      </c>
      <c r="CD175" s="74">
        <f t="shared" si="846"/>
        <v>181</v>
      </c>
      <c r="CE175" s="73">
        <f t="shared" si="847"/>
        <v>236</v>
      </c>
      <c r="CF175" s="74">
        <f t="shared" si="848"/>
        <v>269</v>
      </c>
      <c r="CG175" s="73" t="str">
        <f t="shared" si="849"/>
        <v>-</v>
      </c>
      <c r="CH175" s="72">
        <f t="shared" si="850"/>
        <v>53</v>
      </c>
      <c r="CI175" s="73" t="str">
        <f t="shared" si="851"/>
        <v>-</v>
      </c>
      <c r="CJ175" s="74">
        <f t="shared" si="852"/>
        <v>86</v>
      </c>
      <c r="CK175" s="74" t="str">
        <f t="shared" si="853"/>
        <v>-</v>
      </c>
      <c r="CL175" s="74">
        <f t="shared" si="854"/>
        <v>128</v>
      </c>
      <c r="CM175" s="74" t="str">
        <f t="shared" si="855"/>
        <v>-</v>
      </c>
      <c r="CN175" s="74">
        <f t="shared" si="856"/>
        <v>163</v>
      </c>
      <c r="CO175" s="74">
        <f t="shared" si="857"/>
        <v>177</v>
      </c>
      <c r="CP175" s="74">
        <f t="shared" si="858"/>
        <v>219</v>
      </c>
      <c r="CQ175" s="74">
        <f t="shared" si="859"/>
        <v>265</v>
      </c>
      <c r="CR175" s="74">
        <f t="shared" si="860"/>
        <v>292</v>
      </c>
      <c r="CS175" s="74" t="str">
        <f t="shared" si="861"/>
        <v>-</v>
      </c>
      <c r="CT175" s="23" t="e">
        <f t="shared" si="862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863"/>
        <v>p2y12_human_4PY0</v>
      </c>
      <c r="B176" s="3" t="s">
        <v>352</v>
      </c>
      <c r="C176" s="3" t="s">
        <v>1051</v>
      </c>
      <c r="D176" s="3" t="str">
        <f>IFERROR(MID(VLOOKUP($B176,Seqs!$A:$B,2,0),E176,1),"")</f>
        <v>I</v>
      </c>
      <c r="E176" s="3">
        <v>23</v>
      </c>
      <c r="F176" s="3" t="str">
        <f>IFERROR(MID(VLOOKUP($B176,Seqs!$A:$B,2,0),G176,1),"")</f>
        <v>I</v>
      </c>
      <c r="G176" s="3">
        <v>53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57</v>
      </c>
      <c r="N176" s="3" t="str">
        <f>IFERROR(MID(VLOOKUP($B176,Seqs!$A:$B,2,0),O176,1),"")</f>
        <v>K</v>
      </c>
      <c r="O176" s="3">
        <v>86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G</v>
      </c>
      <c r="U176" s="3">
        <v>90</v>
      </c>
      <c r="V176" s="3" t="str">
        <f>IFERROR(MID(VLOOKUP($B176,Seqs!$A:$B,2,0),W176,1),"")</f>
        <v>R</v>
      </c>
      <c r="W176" s="3">
        <v>128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N</v>
      </c>
      <c r="AC176" s="9">
        <v>137</v>
      </c>
      <c r="AD176" s="3" t="str">
        <f>IFERROR(MID(VLOOKUP($B176,Seqs!$A:$B,2,0),AE176,1),"")</f>
        <v>T</v>
      </c>
      <c r="AE176" s="3">
        <v>163</v>
      </c>
      <c r="AF176" s="3" t="str">
        <f>IFERROR(MID(VLOOKUP($B176,Seqs!$A:$B,2,0),AG176,1),"")</f>
        <v>C</v>
      </c>
      <c r="AG176" s="3">
        <v>175</v>
      </c>
      <c r="AH176" s="3" t="str">
        <f>IFERROR(MID(VLOOKUP($B176,Seqs!$A:$B,2,0),AI176,1),"")</f>
        <v>F</v>
      </c>
      <c r="AI176" s="3">
        <v>177</v>
      </c>
      <c r="AJ176" s="3" t="str">
        <f>IFERROR(MID(VLOOKUP($B176,Seqs!$A:$B,2,0),AK176,1),"")</f>
        <v>E</v>
      </c>
      <c r="AK176" s="3">
        <v>181</v>
      </c>
      <c r="AL176" s="3" t="str">
        <f>IFERROR(MID(VLOOKUP($B176,Seqs!$A:$B,2,0),AM176,1),"")</f>
        <v>S</v>
      </c>
      <c r="AM176" s="3">
        <v>219</v>
      </c>
      <c r="AN176" s="3" t="str">
        <f>IFERROR(MID(VLOOKUP($B176,Seqs!$A:$B,2,0),AO176,1),"")</f>
        <v>V</v>
      </c>
      <c r="AO176" s="3">
        <v>236</v>
      </c>
      <c r="AP176" s="3" t="str">
        <f>IFERROR(MID(VLOOKUP($B176,Seqs!$A:$B,2,0),AQ176,1),"")</f>
        <v>R</v>
      </c>
      <c r="AQ176" s="3">
        <v>265</v>
      </c>
      <c r="AR176" s="3" t="str">
        <f>IFERROR(MID(VLOOKUP($B176,Seqs!$A:$B,2,0),AS176,1),"")</f>
        <v>D</v>
      </c>
      <c r="AS176" s="3">
        <v>269</v>
      </c>
      <c r="AT176" s="3" t="str">
        <f>IFERROR(MID(VLOOKUP($B176,Seqs!$A:$B,2,0),AU176,1),"")</f>
        <v>C</v>
      </c>
      <c r="AU176" s="3">
        <v>292</v>
      </c>
      <c r="AV176" s="3" t="str">
        <f>IFERROR(MID(VLOOKUP($B176,Seqs!$A:$B,2,0),AW176,1),"")</f>
        <v/>
      </c>
      <c r="AW176" s="3" t="s">
        <v>23</v>
      </c>
      <c r="AX176" s="3" t="str">
        <f>IFERROR(MID(VLOOKUP($B176,Seqs!$A:$B,2,0),AY176,1),"")</f>
        <v/>
      </c>
      <c r="AY176" s="3" t="s">
        <v>23</v>
      </c>
      <c r="AZ176" s="79" t="str">
        <f>VLOOKUP(B176,Classification!A:D,2,0)</f>
        <v>A</v>
      </c>
      <c r="BA176" s="97" t="str">
        <f>VLOOKUP(B176,Classification!A:D,4,0)</f>
        <v>P2Y</v>
      </c>
      <c r="BB176" s="27" t="b">
        <f t="shared" si="864"/>
        <v>1</v>
      </c>
      <c r="BC176" s="23">
        <f t="shared" si="837"/>
        <v>227</v>
      </c>
      <c r="BD176" s="4" t="s">
        <v>23</v>
      </c>
      <c r="BE176" s="3" t="s">
        <v>1439</v>
      </c>
      <c r="BF176" s="124">
        <v>3.1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838"/>
        <v>23</v>
      </c>
      <c r="BW176" s="73" t="str">
        <f t="shared" si="839"/>
        <v>-</v>
      </c>
      <c r="BX176" s="74">
        <f t="shared" si="840"/>
        <v>57</v>
      </c>
      <c r="BY176" s="73" t="str">
        <f t="shared" si="841"/>
        <v>-</v>
      </c>
      <c r="BZ176" s="74">
        <f t="shared" si="842"/>
        <v>90</v>
      </c>
      <c r="CA176" s="73" t="str">
        <f t="shared" si="843"/>
        <v>-</v>
      </c>
      <c r="CB176" s="74">
        <f t="shared" si="844"/>
        <v>137</v>
      </c>
      <c r="CC176" s="73">
        <f t="shared" si="845"/>
        <v>175</v>
      </c>
      <c r="CD176" s="74">
        <f t="shared" si="846"/>
        <v>181</v>
      </c>
      <c r="CE176" s="73">
        <f t="shared" si="847"/>
        <v>236</v>
      </c>
      <c r="CF176" s="74">
        <f t="shared" si="848"/>
        <v>269</v>
      </c>
      <c r="CG176" s="73" t="str">
        <f t="shared" si="849"/>
        <v>-</v>
      </c>
      <c r="CH176" s="72">
        <f t="shared" si="850"/>
        <v>53</v>
      </c>
      <c r="CI176" s="73" t="str">
        <f t="shared" si="851"/>
        <v>-</v>
      </c>
      <c r="CJ176" s="74">
        <f t="shared" si="852"/>
        <v>86</v>
      </c>
      <c r="CK176" s="74" t="str">
        <f t="shared" si="853"/>
        <v>-</v>
      </c>
      <c r="CL176" s="74">
        <f t="shared" si="854"/>
        <v>128</v>
      </c>
      <c r="CM176" s="74" t="str">
        <f t="shared" si="855"/>
        <v>-</v>
      </c>
      <c r="CN176" s="74">
        <f t="shared" si="856"/>
        <v>163</v>
      </c>
      <c r="CO176" s="74">
        <f t="shared" si="857"/>
        <v>177</v>
      </c>
      <c r="CP176" s="74">
        <f t="shared" si="858"/>
        <v>219</v>
      </c>
      <c r="CQ176" s="74">
        <f t="shared" si="859"/>
        <v>265</v>
      </c>
      <c r="CR176" s="74">
        <f t="shared" si="860"/>
        <v>292</v>
      </c>
      <c r="CS176" s="74" t="str">
        <f t="shared" si="861"/>
        <v>-</v>
      </c>
      <c r="CT176" s="23" t="e">
        <f t="shared" si="862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863"/>
        <v>par1_human__wt</v>
      </c>
      <c r="B177" s="3" t="s">
        <v>355</v>
      </c>
      <c r="C177" s="3" t="s">
        <v>100</v>
      </c>
      <c r="D177" s="3" t="str">
        <f>IFERROR(MID(VLOOKUP($B177,Seqs!$A:$B,2,0),E177,1),"")</f>
        <v>S</v>
      </c>
      <c r="E177" s="3">
        <v>99</v>
      </c>
      <c r="F177" s="3" t="str">
        <f>IFERROR(MID(VLOOKUP($B177,Seqs!$A:$B,2,0),G177,1),"")</f>
        <v>K</v>
      </c>
      <c r="G177" s="3">
        <v>130</v>
      </c>
      <c r="H177" s="3" t="str">
        <f>IFERROR(MID(VLOOKUP($B177,Seqs!$A:$B,2,0),I177,1),"")</f>
        <v>M</v>
      </c>
      <c r="I177" s="23">
        <v>131</v>
      </c>
      <c r="J177" s="3" t="str">
        <f>IFERROR(MID(VLOOKUP($B177,Seqs!$A:$B,2,0),K177,1),"")</f>
        <v>K</v>
      </c>
      <c r="K177" s="23">
        <v>134</v>
      </c>
      <c r="L177" s="3" t="str">
        <f>IFERROR(MID(VLOOKUP($B177,Seqs!$A:$B,2,0),M177,1),"")</f>
        <v>K</v>
      </c>
      <c r="M177" s="3">
        <v>135</v>
      </c>
      <c r="N177" s="3" t="str">
        <f>IFERROR(MID(VLOOKUP($B177,Seqs!$A:$B,2,0),O177,1),"")</f>
        <v>S</v>
      </c>
      <c r="O177" s="3">
        <v>164</v>
      </c>
      <c r="P177" s="3" t="str">
        <f>IFERROR(MID(VLOOKUP($B177,Seqs!$A:$B,2,0),Q177,1),"")</f>
        <v>D</v>
      </c>
      <c r="Q177" s="3">
        <v>167</v>
      </c>
      <c r="R177" s="3" t="str">
        <f>IFERROR(MID(VLOOKUP($B177,Seqs!$A:$B,2,0),S177,1),"")</f>
        <v>F</v>
      </c>
      <c r="S177" s="3">
        <v>170</v>
      </c>
      <c r="T177" s="3" t="str">
        <f>IFERROR(MID(VLOOKUP($B177,Seqs!$A:$B,2,0),U177,1),"")</f>
        <v>G</v>
      </c>
      <c r="U177" s="3">
        <v>171</v>
      </c>
      <c r="V177" s="3" t="str">
        <f>IFERROR(MID(VLOOKUP($B177,Seqs!$A:$B,2,0),W177,1),"")</f>
        <v>Y</v>
      </c>
      <c r="W177" s="3">
        <v>206</v>
      </c>
      <c r="X177" s="3" t="str">
        <f>IFERROR(MID(VLOOKUP($B177,Seqs!$A:$B,2,0),Y177,1),"")</f>
        <v>P</v>
      </c>
      <c r="Y177" s="3">
        <v>207</v>
      </c>
      <c r="Z177" s="3" t="str">
        <f>IFERROR(MID(VLOOKUP($B177,Seqs!$A:$B,2,0),AA177,1),"")</f>
        <v>R</v>
      </c>
      <c r="AA177" s="3">
        <v>214</v>
      </c>
      <c r="AB177" s="3" t="str">
        <f>IFERROR(MID(VLOOKUP($B177,Seqs!$A:$B,2,0),AC177,1),"")</f>
        <v>T</v>
      </c>
      <c r="AC177" s="9">
        <v>215</v>
      </c>
      <c r="AD177" s="3" t="str">
        <f>IFERROR(MID(VLOOKUP($B177,Seqs!$A:$B,2,0),AE177,1),"")</f>
        <v>K</v>
      </c>
      <c r="AE177" s="3">
        <v>240</v>
      </c>
      <c r="AF177" s="3" t="str">
        <f>IFERROR(MID(VLOOKUP($B177,Seqs!$A:$B,2,0),AG177,1),"")</f>
        <v>C</v>
      </c>
      <c r="AG177" s="3">
        <v>254</v>
      </c>
      <c r="AH177" s="3" t="str">
        <f>IFERROR(MID(VLOOKUP($B177,Seqs!$A:$B,2,0),AI177,1),"")</f>
        <v>D</v>
      </c>
      <c r="AI177" s="3">
        <v>256</v>
      </c>
      <c r="AJ177" s="3" t="str">
        <f>IFERROR(MID(VLOOKUP($B177,Seqs!$A:$B,2,0),AK177,1),"")</f>
        <v>E</v>
      </c>
      <c r="AK177" s="3">
        <v>264</v>
      </c>
      <c r="AL177" s="3" t="str">
        <f>IFERROR(MID(VLOOKUP($B177,Seqs!$A:$B,2,0),AM177,1),"")</f>
        <v>S</v>
      </c>
      <c r="AM177" s="3">
        <v>299</v>
      </c>
      <c r="AN177" s="3" t="str">
        <f>IFERROR(MID(VLOOKUP($B177,Seqs!$A:$B,2,0),AO177,1),"")</f>
        <v>N</v>
      </c>
      <c r="AO177" s="3">
        <v>304</v>
      </c>
      <c r="AP177" s="3" t="str">
        <f>IFERROR(MID(VLOOKUP($B177,Seqs!$A:$B,2,0),AQ177,1),"")</f>
        <v>L</v>
      </c>
      <c r="AQ177" s="3">
        <v>340</v>
      </c>
      <c r="AR177" s="3" t="str">
        <f>IFERROR(MID(VLOOKUP($B177,Seqs!$A:$B,2,0),AS177,1),"")</f>
        <v>T</v>
      </c>
      <c r="AS177" s="3">
        <v>346</v>
      </c>
      <c r="AT177" s="3" t="str">
        <f>IFERROR(MID(VLOOKUP($B177,Seqs!$A:$B,2,0),AU177,1),"")</f>
        <v>A</v>
      </c>
      <c r="AU177" s="3">
        <v>374</v>
      </c>
      <c r="AV177" s="3" t="str">
        <f>IFERROR(MID(VLOOKUP($B177,Seqs!$A:$B,2,0),AW177,1),"")</f>
        <v>S</v>
      </c>
      <c r="AW177" s="3">
        <v>375</v>
      </c>
      <c r="AX177" s="3" t="str">
        <f>IFERROR(MID(VLOOKUP($B177,Seqs!$A:$B,2,0),AY177,1),"")</f>
        <v>K</v>
      </c>
      <c r="AY177" s="3">
        <v>389</v>
      </c>
      <c r="AZ177" s="79" t="str">
        <f>VLOOKUP(B177,Classification!A:D,2,0)</f>
        <v>A</v>
      </c>
      <c r="BA177" s="97" t="str">
        <f>VLOOKUP(B177,Classification!A:D,4,0)</f>
        <v>Proteinase-activated</v>
      </c>
      <c r="BB177" s="27" t="b">
        <f t="shared" si="864"/>
        <v>1</v>
      </c>
      <c r="BC177" s="23">
        <f t="shared" si="837"/>
        <v>260</v>
      </c>
      <c r="BD177" s="57" t="s">
        <v>1379</v>
      </c>
      <c r="BE177" s="3" t="s">
        <v>23</v>
      </c>
      <c r="BF177" s="124" t="s">
        <v>23</v>
      </c>
      <c r="BG177" s="50" t="s">
        <v>1379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si="838"/>
        <v>99</v>
      </c>
      <c r="BW177" s="73">
        <f t="shared" si="839"/>
        <v>131</v>
      </c>
      <c r="BX177" s="74">
        <f t="shared" si="840"/>
        <v>135</v>
      </c>
      <c r="BY177" s="73">
        <f t="shared" si="841"/>
        <v>167</v>
      </c>
      <c r="BZ177" s="74">
        <f t="shared" si="842"/>
        <v>171</v>
      </c>
      <c r="CA177" s="73">
        <f t="shared" si="843"/>
        <v>207</v>
      </c>
      <c r="CB177" s="74">
        <f t="shared" si="844"/>
        <v>215</v>
      </c>
      <c r="CC177" s="73">
        <f t="shared" si="845"/>
        <v>254</v>
      </c>
      <c r="CD177" s="74">
        <f t="shared" si="846"/>
        <v>264</v>
      </c>
      <c r="CE177" s="73">
        <f t="shared" si="847"/>
        <v>304</v>
      </c>
      <c r="CF177" s="74">
        <f t="shared" si="848"/>
        <v>346</v>
      </c>
      <c r="CG177" s="73">
        <f t="shared" si="849"/>
        <v>375</v>
      </c>
      <c r="CH177" s="72">
        <f t="shared" si="850"/>
        <v>130</v>
      </c>
      <c r="CI177" s="73">
        <f t="shared" si="851"/>
        <v>134</v>
      </c>
      <c r="CJ177" s="74">
        <f t="shared" si="852"/>
        <v>164</v>
      </c>
      <c r="CK177" s="74">
        <f t="shared" si="853"/>
        <v>170</v>
      </c>
      <c r="CL177" s="74">
        <f t="shared" si="854"/>
        <v>206</v>
      </c>
      <c r="CM177" s="74">
        <f t="shared" si="855"/>
        <v>214</v>
      </c>
      <c r="CN177" s="74">
        <f t="shared" si="856"/>
        <v>240</v>
      </c>
      <c r="CO177" s="74">
        <f t="shared" si="857"/>
        <v>256</v>
      </c>
      <c r="CP177" s="74">
        <f t="shared" si="858"/>
        <v>299</v>
      </c>
      <c r="CQ177" s="74">
        <f t="shared" si="859"/>
        <v>340</v>
      </c>
      <c r="CR177" s="74">
        <f t="shared" si="860"/>
        <v>374</v>
      </c>
      <c r="CS177" s="74">
        <f t="shared" si="861"/>
        <v>389</v>
      </c>
      <c r="CT177" s="23">
        <f t="shared" si="862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863"/>
        <v>par1_human_3VW7</v>
      </c>
      <c r="B178" s="3" t="s">
        <v>355</v>
      </c>
      <c r="C178" s="3" t="s">
        <v>93</v>
      </c>
      <c r="D178" s="3" t="str">
        <f>IFERROR(MID(VLOOKUP($B178,Seqs!$A:$B,2,0),E178,1),"")</f>
        <v>S</v>
      </c>
      <c r="E178" s="3">
        <v>99</v>
      </c>
      <c r="F178" s="3" t="str">
        <f>IFERROR(MID(VLOOKUP($B178,Seqs!$A:$B,2,0),G178,1),"")</f>
        <v>K</v>
      </c>
      <c r="G178" s="3">
        <v>130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K</v>
      </c>
      <c r="M178" s="3">
        <v>135</v>
      </c>
      <c r="N178" s="3" t="str">
        <f>IFERROR(MID(VLOOKUP($B178,Seqs!$A:$B,2,0),O178,1),"")</f>
        <v>S</v>
      </c>
      <c r="O178" s="3">
        <v>164</v>
      </c>
      <c r="P178" s="3" t="str">
        <f>IFERROR(MID(VLOOKUP($B178,Seqs!$A:$B,2,0),Q178,1),"")</f>
        <v>D</v>
      </c>
      <c r="Q178" s="3">
        <v>167</v>
      </c>
      <c r="R178" s="3" t="str">
        <f>IFERROR(MID(VLOOKUP($B178,Seqs!$A:$B,2,0),S178,1),"")</f>
        <v>F</v>
      </c>
      <c r="S178" s="3">
        <v>170</v>
      </c>
      <c r="T178" s="3" t="str">
        <f>IFERROR(MID(VLOOKUP($B178,Seqs!$A:$B,2,0),U178,1),"")</f>
        <v>G</v>
      </c>
      <c r="U178" s="3">
        <v>171</v>
      </c>
      <c r="V178" s="3" t="str">
        <f>IFERROR(MID(VLOOKUP($B178,Seqs!$A:$B,2,0),W178,1),"")</f>
        <v>Y</v>
      </c>
      <c r="W178" s="3">
        <v>206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T</v>
      </c>
      <c r="AC178" s="9">
        <v>215</v>
      </c>
      <c r="AD178" s="3" t="str">
        <f>IFERROR(MID(VLOOKUP($B178,Seqs!$A:$B,2,0),AE178,1),"")</f>
        <v>K</v>
      </c>
      <c r="AE178" s="3">
        <v>240</v>
      </c>
      <c r="AF178" s="3" t="str">
        <f>IFERROR(MID(VLOOKUP($B178,Seqs!$A:$B,2,0),AG178,1),"")</f>
        <v>C</v>
      </c>
      <c r="AG178" s="3">
        <v>254</v>
      </c>
      <c r="AH178" s="3" t="str">
        <f>IFERROR(MID(VLOOKUP($B178,Seqs!$A:$B,2,0),AI178,1),"")</f>
        <v>D</v>
      </c>
      <c r="AI178" s="3">
        <v>256</v>
      </c>
      <c r="AJ178" s="3" t="str">
        <f>IFERROR(MID(VLOOKUP($B178,Seqs!$A:$B,2,0),AK178,1),"")</f>
        <v>E</v>
      </c>
      <c r="AK178" s="3">
        <v>264</v>
      </c>
      <c r="AL178" s="3" t="str">
        <f>IFERROR(MID(VLOOKUP($B178,Seqs!$A:$B,2,0),AM178,1),"")</f>
        <v>S</v>
      </c>
      <c r="AM178" s="3">
        <v>300</v>
      </c>
      <c r="AN178" s="3" t="str">
        <f>IFERROR(MID(VLOOKUP($B178,Seqs!$A:$B,2,0),AO178,1),"")</f>
        <v>N</v>
      </c>
      <c r="AO178" s="3">
        <v>304</v>
      </c>
      <c r="AP178" s="3" t="str">
        <f>IFERROR(MID(VLOOKUP($B178,Seqs!$A:$B,2,0),AQ178,1),"")</f>
        <v>L</v>
      </c>
      <c r="AQ178" s="3">
        <v>340</v>
      </c>
      <c r="AR178" s="3" t="str">
        <f>IFERROR(MID(VLOOKUP($B178,Seqs!$A:$B,2,0),AS178,1),"")</f>
        <v>T</v>
      </c>
      <c r="AS178" s="3">
        <v>346</v>
      </c>
      <c r="AT178" s="3" t="str">
        <f>IFERROR(MID(VLOOKUP($B178,Seqs!$A:$B,2,0),AU178,1),"")</f>
        <v>Y</v>
      </c>
      <c r="AU178" s="3">
        <v>372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9" t="str">
        <f>VLOOKUP(B178,Classification!A:D,2,0)</f>
        <v>A</v>
      </c>
      <c r="BA178" s="97" t="str">
        <f>VLOOKUP(B178,Classification!A:D,4,0)</f>
        <v>Proteinase-activated</v>
      </c>
      <c r="BB178" s="27" t="b">
        <f t="shared" si="864"/>
        <v>1</v>
      </c>
      <c r="BC178" s="23">
        <f t="shared" si="837"/>
        <v>235</v>
      </c>
      <c r="BD178" s="2" t="s">
        <v>1440</v>
      </c>
      <c r="BE178" s="3" t="s">
        <v>1439</v>
      </c>
      <c r="BF178" s="124">
        <v>2.2000000000000002</v>
      </c>
      <c r="BG178" s="50" t="s">
        <v>1384</v>
      </c>
      <c r="BH178" s="50" t="s">
        <v>1384</v>
      </c>
      <c r="BI178" s="1"/>
      <c r="BJ178" s="72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58" t="s">
        <v>1293</v>
      </c>
      <c r="BV178" s="72">
        <f t="shared" si="838"/>
        <v>99</v>
      </c>
      <c r="BW178" s="73" t="str">
        <f t="shared" si="839"/>
        <v>-</v>
      </c>
      <c r="BX178" s="74">
        <f t="shared" si="840"/>
        <v>135</v>
      </c>
      <c r="BY178" s="73">
        <f t="shared" si="841"/>
        <v>167</v>
      </c>
      <c r="BZ178" s="74">
        <f t="shared" si="842"/>
        <v>171</v>
      </c>
      <c r="CA178" s="73" t="str">
        <f t="shared" si="843"/>
        <v>-</v>
      </c>
      <c r="CB178" s="74">
        <f t="shared" si="844"/>
        <v>215</v>
      </c>
      <c r="CC178" s="73">
        <f t="shared" si="845"/>
        <v>254</v>
      </c>
      <c r="CD178" s="74">
        <f t="shared" si="846"/>
        <v>264</v>
      </c>
      <c r="CE178" s="73">
        <f t="shared" si="847"/>
        <v>304</v>
      </c>
      <c r="CF178" s="74">
        <f t="shared" si="848"/>
        <v>346</v>
      </c>
      <c r="CG178" s="73" t="str">
        <f t="shared" si="849"/>
        <v>-</v>
      </c>
      <c r="CH178" s="72">
        <f t="shared" si="850"/>
        <v>130</v>
      </c>
      <c r="CI178" s="73" t="str">
        <f t="shared" si="851"/>
        <v>-</v>
      </c>
      <c r="CJ178" s="74">
        <f t="shared" si="852"/>
        <v>164</v>
      </c>
      <c r="CK178" s="74">
        <f t="shared" si="853"/>
        <v>170</v>
      </c>
      <c r="CL178" s="74">
        <f t="shared" si="854"/>
        <v>206</v>
      </c>
      <c r="CM178" s="74" t="str">
        <f t="shared" si="855"/>
        <v>-</v>
      </c>
      <c r="CN178" s="74">
        <f t="shared" si="856"/>
        <v>240</v>
      </c>
      <c r="CO178" s="74">
        <f t="shared" si="857"/>
        <v>256</v>
      </c>
      <c r="CP178" s="74">
        <f t="shared" si="858"/>
        <v>300</v>
      </c>
      <c r="CQ178" s="74">
        <f t="shared" si="859"/>
        <v>340</v>
      </c>
      <c r="CR178" s="74">
        <f t="shared" si="860"/>
        <v>372</v>
      </c>
      <c r="CS178" s="74" t="str">
        <f t="shared" si="861"/>
        <v>-</v>
      </c>
      <c r="CT178" s="23" t="e">
        <f t="shared" si="862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s="12" customFormat="1" x14ac:dyDescent="0.2">
      <c r="A179" s="9" t="str">
        <f t="shared" ref="A179:A180" si="949">CONCATENATE(B179,"_",C179)</f>
        <v>par2_human__wt</v>
      </c>
      <c r="B179" s="9" t="s">
        <v>356</v>
      </c>
      <c r="C179" s="9" t="s">
        <v>100</v>
      </c>
      <c r="D179" s="9" t="str">
        <f>IFERROR(MID(VLOOKUP($B179,Seqs!$A:$B,2,0),E179,1),"")</f>
        <v>G</v>
      </c>
      <c r="E179" s="9">
        <v>71</v>
      </c>
      <c r="F179" s="9" t="str">
        <f>IFERROR(MID(VLOOKUP($B179,Seqs!$A:$B,2,0),G179,1),"")</f>
        <v>R</v>
      </c>
      <c r="G179" s="9">
        <v>103</v>
      </c>
      <c r="H179" s="9" t="str">
        <f>IFERROR(MID(VLOOKUP($B179,Seqs!$A:$B,2,0),I179,1),"")</f>
        <v/>
      </c>
      <c r="I179" s="112" t="s">
        <v>23</v>
      </c>
      <c r="J179" s="9" t="str">
        <f>IFERROR(MID(VLOOKUP($B179,Seqs!$A:$B,2,0),K179,1),"")</f>
        <v/>
      </c>
      <c r="K179" s="112" t="s">
        <v>23</v>
      </c>
      <c r="L179" s="9" t="str">
        <f>IFERROR(MID(VLOOKUP($B179,Seqs!$A:$B,2,0),M179,1),"")</f>
        <v>H</v>
      </c>
      <c r="M179" s="9">
        <v>108</v>
      </c>
      <c r="N179" s="9" t="str">
        <f>IFERROR(MID(VLOOKUP($B179,Seqs!$A:$B,2,0),O179,1),"")</f>
        <v>H</v>
      </c>
      <c r="O179" s="9">
        <v>137</v>
      </c>
      <c r="P179" s="9" t="str">
        <f>IFERROR(MID(VLOOKUP($B179,Seqs!$A:$B,2,0),Q179,1),"")</f>
        <v>G</v>
      </c>
      <c r="Q179" s="9">
        <v>138</v>
      </c>
      <c r="R179" s="9" t="str">
        <f>IFERROR(MID(VLOOKUP($B179,Seqs!$A:$B,2,0),S179,1),"")</f>
        <v>Y</v>
      </c>
      <c r="S179" s="9">
        <v>143</v>
      </c>
      <c r="T179" s="9" t="str">
        <f>IFERROR(MID(VLOOKUP($B179,Seqs!$A:$B,2,0),U179,1),"")</f>
        <v>G</v>
      </c>
      <c r="U179" s="9">
        <v>144</v>
      </c>
      <c r="V179" s="9" t="str">
        <f>IFERROR(MID(VLOOKUP($B179,Seqs!$A:$B,2,0),W179,1),"")</f>
        <v>N</v>
      </c>
      <c r="W179" s="9">
        <v>179</v>
      </c>
      <c r="X179" s="9" t="str">
        <f>IFERROR(MID(VLOOKUP($B179,Seqs!$A:$B,2,0),Y179,1),"")</f>
        <v>P</v>
      </c>
      <c r="Y179" s="9">
        <v>180</v>
      </c>
      <c r="Z179" s="9" t="str">
        <f>IFERROR(MID(VLOOKUP($B179,Seqs!$A:$B,2,0),AA179,1),"")</f>
        <v>K</v>
      </c>
      <c r="AA179" s="9">
        <v>186</v>
      </c>
      <c r="AB179" s="9" t="str">
        <f>IFERROR(MID(VLOOKUP($B179,Seqs!$A:$B,2,0),AC179,1),"")</f>
        <v>K</v>
      </c>
      <c r="AC179" s="9">
        <v>187</v>
      </c>
      <c r="AD179" s="9" t="str">
        <f>IFERROR(MID(VLOOKUP($B179,Seqs!$A:$B,2,0),AE179,1),"")</f>
        <v>V</v>
      </c>
      <c r="AE179" s="9">
        <v>211</v>
      </c>
      <c r="AF179" s="9" t="str">
        <f>IFERROR(MID(VLOOKUP($B179,Seqs!$A:$B,2,0),AG179,1),"")</f>
        <v>C</v>
      </c>
      <c r="AG179" s="9">
        <v>226</v>
      </c>
      <c r="AH179" s="9" t="str">
        <f>IFERROR(MID(VLOOKUP($B179,Seqs!$A:$B,2,0),AI179,1),"")</f>
        <v>D</v>
      </c>
      <c r="AI179" s="9">
        <v>228</v>
      </c>
      <c r="AJ179" s="9" t="str">
        <f>IFERROR(MID(VLOOKUP($B179,Seqs!$A:$B,2,0),AK179,1),"")</f>
        <v>L</v>
      </c>
      <c r="AK179" s="9">
        <v>235</v>
      </c>
      <c r="AL179" s="9" t="str">
        <f>IFERROR(MID(VLOOKUP($B179,Seqs!$A:$B,2,0),AM179,1),"")</f>
        <v>S</v>
      </c>
      <c r="AM179" s="9">
        <v>272</v>
      </c>
      <c r="AN179" s="9" t="str">
        <f>IFERROR(MID(VLOOKUP($B179,Seqs!$A:$B,2,0),AO179,1),"")</f>
        <v>S</v>
      </c>
      <c r="AO179" s="9">
        <v>278</v>
      </c>
      <c r="AP179" s="9" t="str">
        <f>IFERROR(MID(VLOOKUP($B179,Seqs!$A:$B,2,0),AQ179,1),"")</f>
        <v>Q</v>
      </c>
      <c r="AQ179" s="9">
        <v>317</v>
      </c>
      <c r="AR179" s="9" t="str">
        <f>IFERROR(MID(VLOOKUP($B179,Seqs!$A:$B,2,0),AS179,1),"")</f>
        <v>V</v>
      </c>
      <c r="AS179" s="9">
        <v>322</v>
      </c>
      <c r="AT179" s="9" t="str">
        <f>IFERROR(MID(VLOOKUP($B179,Seqs!$A:$B,2,0),AU179,1),"")</f>
        <v>V</v>
      </c>
      <c r="AU179" s="9">
        <v>347</v>
      </c>
      <c r="AV179" s="9" t="str">
        <f>IFERROR(MID(VLOOKUP($B179,Seqs!$A:$B,2,0),AW179,1),"")</f>
        <v>S</v>
      </c>
      <c r="AW179" s="9">
        <v>348</v>
      </c>
      <c r="AX179" s="9" t="str">
        <f>IFERROR(MID(VLOOKUP($B179,Seqs!$A:$B,2,0),AY179,1),"")</f>
        <v>R</v>
      </c>
      <c r="AY179" s="9">
        <v>362</v>
      </c>
      <c r="AZ179" s="113" t="str">
        <f>VLOOKUP(B179,Classification!A:D,2,0)</f>
        <v>A</v>
      </c>
      <c r="BA179" s="101" t="str">
        <f>VLOOKUP(B179,Classification!A:D,4,0)</f>
        <v>Proteinase-activated</v>
      </c>
      <c r="BB179" s="37" t="b">
        <f t="shared" ref="BB179:BB180" si="950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12">
        <f t="shared" ref="BC179:BC180" si="951">_xlfn.AGGREGATE(9,6,CH179:CS179)-_xlfn.AGGREGATE(9,6,BV179:CG179)+12</f>
        <v>260</v>
      </c>
      <c r="BD179" s="41" t="s">
        <v>23</v>
      </c>
      <c r="BE179" s="9" t="s">
        <v>23</v>
      </c>
      <c r="BF179" s="125" t="s">
        <v>23</v>
      </c>
      <c r="BG179" s="52" t="s">
        <v>1384</v>
      </c>
      <c r="BH179" s="52" t="s">
        <v>1384</v>
      </c>
      <c r="BJ179" s="114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5" t="s">
        <v>1293</v>
      </c>
      <c r="BV179" s="114">
        <f t="shared" ref="BV179:BV180" si="952">E179</f>
        <v>71</v>
      </c>
      <c r="BW179" s="116" t="str">
        <f t="shared" ref="BW179:BW180" si="953">I179</f>
        <v>-</v>
      </c>
      <c r="BX179" s="117">
        <f t="shared" ref="BX179:BX180" si="954">M179</f>
        <v>108</v>
      </c>
      <c r="BY179" s="116">
        <f t="shared" ref="BY179:BY180" si="955">Q179</f>
        <v>138</v>
      </c>
      <c r="BZ179" s="117">
        <f t="shared" ref="BZ179:BZ180" si="956">U179</f>
        <v>144</v>
      </c>
      <c r="CA179" s="116">
        <f t="shared" ref="CA179:CA180" si="957">Y179</f>
        <v>180</v>
      </c>
      <c r="CB179" s="117">
        <f t="shared" ref="CB179:CB180" si="958">AC179</f>
        <v>187</v>
      </c>
      <c r="CC179" s="116">
        <f t="shared" ref="CC179:CC180" si="959">AG179</f>
        <v>226</v>
      </c>
      <c r="CD179" s="117">
        <f t="shared" ref="CD179:CD180" si="960">AK179</f>
        <v>235</v>
      </c>
      <c r="CE179" s="116">
        <f t="shared" ref="CE179:CE180" si="961">AO179</f>
        <v>278</v>
      </c>
      <c r="CF179" s="117">
        <f t="shared" ref="CF179:CF180" si="962">AS179</f>
        <v>322</v>
      </c>
      <c r="CG179" s="116">
        <f t="shared" ref="CG179:CG180" si="963">AW179</f>
        <v>348</v>
      </c>
      <c r="CH179" s="114">
        <f t="shared" ref="CH179:CH180" si="964">G179</f>
        <v>103</v>
      </c>
      <c r="CI179" s="116" t="str">
        <f t="shared" ref="CI179:CI180" si="965">K179</f>
        <v>-</v>
      </c>
      <c r="CJ179" s="117">
        <f t="shared" ref="CJ179:CJ180" si="966">O179</f>
        <v>137</v>
      </c>
      <c r="CK179" s="117">
        <f t="shared" ref="CK179:CK180" si="967">S179</f>
        <v>143</v>
      </c>
      <c r="CL179" s="117">
        <f t="shared" ref="CL179:CL180" si="968">W179</f>
        <v>179</v>
      </c>
      <c r="CM179" s="117">
        <f t="shared" ref="CM179:CM180" si="969">AA179</f>
        <v>186</v>
      </c>
      <c r="CN179" s="117">
        <f t="shared" ref="CN179:CN180" si="970">AE179</f>
        <v>211</v>
      </c>
      <c r="CO179" s="117">
        <f t="shared" ref="CO179:CO180" si="971">AI179</f>
        <v>228</v>
      </c>
      <c r="CP179" s="117">
        <f t="shared" ref="CP179:CP180" si="972">AM179</f>
        <v>272</v>
      </c>
      <c r="CQ179" s="117">
        <f t="shared" ref="CQ179:CQ180" si="973">AQ179</f>
        <v>317</v>
      </c>
      <c r="CR179" s="117">
        <f t="shared" ref="CR179:CR180" si="974">AU179</f>
        <v>347</v>
      </c>
      <c r="CS179" s="117">
        <f t="shared" ref="CS179:CS180" si="975">AY179</f>
        <v>362</v>
      </c>
      <c r="CT179" s="112" t="e">
        <f t="shared" ref="CT179:CT180" si="976">M179-K179</f>
        <v>#VALUE!</v>
      </c>
    </row>
    <row r="180" spans="1:1030" s="12" customFormat="1" x14ac:dyDescent="0.2">
      <c r="A180" s="9" t="str">
        <f t="shared" si="949"/>
        <v>par2_human_5NDD</v>
      </c>
      <c r="B180" s="9" t="s">
        <v>356</v>
      </c>
      <c r="C180" s="9" t="s">
        <v>1403</v>
      </c>
      <c r="D180" s="9" t="str">
        <f>IFERROR(MID(VLOOKUP($B180,Seqs!$A:$B,2,0),E180,1),"")</f>
        <v>G</v>
      </c>
      <c r="E180" s="9">
        <v>71</v>
      </c>
      <c r="F180" s="9" t="str">
        <f>IFERROR(MID(VLOOKUP($B180,Seqs!$A:$B,2,0),G180,1),"")</f>
        <v>R</v>
      </c>
      <c r="G180" s="9">
        <v>103</v>
      </c>
      <c r="H180" s="9" t="str">
        <f>IFERROR(MID(VLOOKUP($B180,Seqs!$A:$B,2,0),I180,1),"")</f>
        <v/>
      </c>
      <c r="I180" s="112" t="s">
        <v>23</v>
      </c>
      <c r="J180" s="9" t="str">
        <f>IFERROR(MID(VLOOKUP($B180,Seqs!$A:$B,2,0),K180,1),"")</f>
        <v/>
      </c>
      <c r="K180" s="112" t="s">
        <v>23</v>
      </c>
      <c r="L180" s="9" t="str">
        <f>IFERROR(MID(VLOOKUP($B180,Seqs!$A:$B,2,0),M180,1),"")</f>
        <v>H</v>
      </c>
      <c r="M180" s="9">
        <v>108</v>
      </c>
      <c r="N180" s="9" t="str">
        <f>IFERROR(MID(VLOOKUP($B180,Seqs!$A:$B,2,0),O180,1),"")</f>
        <v>H</v>
      </c>
      <c r="O180" s="9">
        <v>137</v>
      </c>
      <c r="P180" s="9" t="str">
        <f>IFERROR(MID(VLOOKUP($B180,Seqs!$A:$B,2,0),Q180,1),"")</f>
        <v>G</v>
      </c>
      <c r="Q180" s="9">
        <v>138</v>
      </c>
      <c r="R180" s="9" t="str">
        <f>IFERROR(MID(VLOOKUP($B180,Seqs!$A:$B,2,0),S180,1),"")</f>
        <v>Y</v>
      </c>
      <c r="S180" s="9">
        <v>143</v>
      </c>
      <c r="T180" s="9" t="str">
        <f>IFERROR(MID(VLOOKUP($B180,Seqs!$A:$B,2,0),U180,1),"")</f>
        <v>G</v>
      </c>
      <c r="U180" s="9">
        <v>144</v>
      </c>
      <c r="V180" s="9" t="str">
        <f>IFERROR(MID(VLOOKUP($B180,Seqs!$A:$B,2,0),W180,1),"")</f>
        <v>N</v>
      </c>
      <c r="W180" s="9">
        <v>179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H</v>
      </c>
      <c r="AC180" s="9">
        <v>183</v>
      </c>
      <c r="AD180" s="9" t="str">
        <f>IFERROR(MID(VLOOKUP($B180,Seqs!$A:$B,2,0),AE180,1),"")</f>
        <v>V</v>
      </c>
      <c r="AE180" s="9">
        <v>211</v>
      </c>
      <c r="AF180" s="9" t="str">
        <f>IFERROR(MID(VLOOKUP($B180,Seqs!$A:$B,2,0),AG180,1),"")</f>
        <v>C</v>
      </c>
      <c r="AG180" s="9">
        <v>226</v>
      </c>
      <c r="AH180" s="9" t="str">
        <f>IFERROR(MID(VLOOKUP($B180,Seqs!$A:$B,2,0),AI180,1),"")</f>
        <v>D</v>
      </c>
      <c r="AI180" s="9">
        <v>228</v>
      </c>
      <c r="AJ180" s="9" t="str">
        <f>IFERROR(MID(VLOOKUP($B180,Seqs!$A:$B,2,0),AK180,1),"")</f>
        <v>L</v>
      </c>
      <c r="AK180" s="9">
        <v>235</v>
      </c>
      <c r="AL180" s="9" t="str">
        <f>IFERROR(MID(VLOOKUP($B180,Seqs!$A:$B,2,0),AM180,1),"")</f>
        <v>L</v>
      </c>
      <c r="AM180" s="9">
        <v>269</v>
      </c>
      <c r="AN180" s="9" t="str">
        <f>IFERROR(MID(VLOOKUP($B180,Seqs!$A:$B,2,0),AO180,1),"")</f>
        <v>S</v>
      </c>
      <c r="AO180" s="9">
        <v>278</v>
      </c>
      <c r="AP180" s="9" t="str">
        <f>IFERROR(MID(VLOOKUP($B180,Seqs!$A:$B,2,0),AQ180,1),"")</f>
        <v>Q</v>
      </c>
      <c r="AQ180" s="9">
        <v>317</v>
      </c>
      <c r="AR180" s="9" t="str">
        <f>IFERROR(MID(VLOOKUP($B180,Seqs!$A:$B,2,0),AS180,1),"")</f>
        <v>V</v>
      </c>
      <c r="AS180" s="9">
        <v>322</v>
      </c>
      <c r="AT180" s="9" t="str">
        <f>IFERROR(MID(VLOOKUP($B180,Seqs!$A:$B,2,0),AU180,1),"")</f>
        <v>V</v>
      </c>
      <c r="AU180" s="9">
        <v>347</v>
      </c>
      <c r="AV180" s="9" t="str">
        <f>IFERROR(MID(VLOOKUP($B180,Seqs!$A:$B,2,0),AW180,1),"")</f>
        <v>S</v>
      </c>
      <c r="AW180" s="9">
        <v>348</v>
      </c>
      <c r="AX180" s="9" t="str">
        <f>IFERROR(MID(VLOOKUP($B180,Seqs!$A:$B,2,0),AY180,1),"")</f>
        <v>L</v>
      </c>
      <c r="AY180" s="9">
        <v>359</v>
      </c>
      <c r="AZ180" s="113" t="str">
        <f>VLOOKUP(B180,Classification!A:D,2,0)</f>
        <v>A</v>
      </c>
      <c r="BA180" s="101" t="str">
        <f>VLOOKUP(B180,Classification!A:D,4,0)</f>
        <v>Proteinase-activated</v>
      </c>
      <c r="BB180" s="37" t="b">
        <f t="shared" si="950"/>
        <v>1</v>
      </c>
      <c r="BC180" s="112">
        <f t="shared" si="951"/>
        <v>252</v>
      </c>
      <c r="BD180" s="41" t="s">
        <v>1440</v>
      </c>
      <c r="BE180" s="9" t="s">
        <v>1439</v>
      </c>
      <c r="BF180" s="125">
        <v>2.8</v>
      </c>
      <c r="BG180" s="52" t="s">
        <v>1</v>
      </c>
      <c r="BH180" s="52" t="s">
        <v>1384</v>
      </c>
      <c r="BJ180" s="114" t="s">
        <v>1293</v>
      </c>
      <c r="BK180" s="115" t="s">
        <v>1293</v>
      </c>
      <c r="BL180" s="115" t="s">
        <v>1293</v>
      </c>
      <c r="BM180" s="115" t="s">
        <v>1293</v>
      </c>
      <c r="BN180" s="115" t="s">
        <v>1293</v>
      </c>
      <c r="BO180" s="115" t="s">
        <v>1293</v>
      </c>
      <c r="BP180" s="115" t="s">
        <v>1293</v>
      </c>
      <c r="BQ180" s="115" t="s">
        <v>1293</v>
      </c>
      <c r="BR180" s="115" t="s">
        <v>1293</v>
      </c>
      <c r="BS180" s="115" t="s">
        <v>1293</v>
      </c>
      <c r="BT180" s="115" t="s">
        <v>1293</v>
      </c>
      <c r="BU180" s="115" t="s">
        <v>1293</v>
      </c>
      <c r="BV180" s="114">
        <f t="shared" si="952"/>
        <v>71</v>
      </c>
      <c r="BW180" s="116" t="str">
        <f t="shared" si="953"/>
        <v>-</v>
      </c>
      <c r="BX180" s="117">
        <f t="shared" si="954"/>
        <v>108</v>
      </c>
      <c r="BY180" s="116">
        <f t="shared" si="955"/>
        <v>138</v>
      </c>
      <c r="BZ180" s="117">
        <f t="shared" si="956"/>
        <v>144</v>
      </c>
      <c r="CA180" s="116" t="str">
        <f t="shared" si="957"/>
        <v>-</v>
      </c>
      <c r="CB180" s="117">
        <f t="shared" si="958"/>
        <v>183</v>
      </c>
      <c r="CC180" s="116">
        <f t="shared" si="959"/>
        <v>226</v>
      </c>
      <c r="CD180" s="117">
        <f t="shared" si="960"/>
        <v>235</v>
      </c>
      <c r="CE180" s="116">
        <f t="shared" si="961"/>
        <v>278</v>
      </c>
      <c r="CF180" s="117">
        <f t="shared" si="962"/>
        <v>322</v>
      </c>
      <c r="CG180" s="116">
        <f t="shared" si="963"/>
        <v>348</v>
      </c>
      <c r="CH180" s="114">
        <f t="shared" si="964"/>
        <v>103</v>
      </c>
      <c r="CI180" s="116" t="str">
        <f t="shared" si="965"/>
        <v>-</v>
      </c>
      <c r="CJ180" s="117">
        <f t="shared" si="966"/>
        <v>137</v>
      </c>
      <c r="CK180" s="117">
        <f t="shared" si="967"/>
        <v>143</v>
      </c>
      <c r="CL180" s="117">
        <f t="shared" si="968"/>
        <v>179</v>
      </c>
      <c r="CM180" s="117" t="str">
        <f t="shared" si="969"/>
        <v>-</v>
      </c>
      <c r="CN180" s="117">
        <f t="shared" si="970"/>
        <v>211</v>
      </c>
      <c r="CO180" s="117">
        <f t="shared" si="971"/>
        <v>228</v>
      </c>
      <c r="CP180" s="117">
        <f t="shared" si="972"/>
        <v>269</v>
      </c>
      <c r="CQ180" s="117">
        <f t="shared" si="973"/>
        <v>317</v>
      </c>
      <c r="CR180" s="117">
        <f t="shared" si="974"/>
        <v>347</v>
      </c>
      <c r="CS180" s="117">
        <f t="shared" si="975"/>
        <v>359</v>
      </c>
      <c r="CT180" s="112" t="e">
        <f t="shared" si="976"/>
        <v>#VALUE!</v>
      </c>
    </row>
    <row r="181" spans="1:1030" s="12" customFormat="1" x14ac:dyDescent="0.2">
      <c r="A181" s="9" t="str">
        <f t="shared" ref="A181" si="977">CONCATENATE(B181,"_",C181)</f>
        <v>par2_human_5NDZ</v>
      </c>
      <c r="B181" s="9" t="s">
        <v>356</v>
      </c>
      <c r="C181" s="9" t="s">
        <v>1404</v>
      </c>
      <c r="D181" s="9" t="str">
        <f>IFERROR(MID(VLOOKUP($B181,Seqs!$A:$B,2,0),E181,1),"")</f>
        <v>G</v>
      </c>
      <c r="E181" s="9">
        <v>71</v>
      </c>
      <c r="F181" s="9" t="str">
        <f>IFERROR(MID(VLOOKUP($B181,Seqs!$A:$B,2,0),G181,1),"")</f>
        <v>R</v>
      </c>
      <c r="G181" s="9">
        <v>103</v>
      </c>
      <c r="H181" s="9" t="str">
        <f>IFERROR(MID(VLOOKUP($B181,Seqs!$A:$B,2,0),I181,1),"")</f>
        <v/>
      </c>
      <c r="I181" s="112" t="s">
        <v>23</v>
      </c>
      <c r="J181" s="9" t="str">
        <f>IFERROR(MID(VLOOKUP($B181,Seqs!$A:$B,2,0),K181,1),"")</f>
        <v/>
      </c>
      <c r="K181" s="112" t="s">
        <v>23</v>
      </c>
      <c r="L181" s="9" t="str">
        <f>IFERROR(MID(VLOOKUP($B181,Seqs!$A:$B,2,0),M181,1),"")</f>
        <v>H</v>
      </c>
      <c r="M181" s="9">
        <v>108</v>
      </c>
      <c r="N181" s="9" t="str">
        <f>IFERROR(MID(VLOOKUP($B181,Seqs!$A:$B,2,0),O181,1),"")</f>
        <v>H</v>
      </c>
      <c r="O181" s="9">
        <v>137</v>
      </c>
      <c r="P181" s="9" t="str">
        <f>IFERROR(MID(VLOOKUP($B181,Seqs!$A:$B,2,0),Q181,1),"")</f>
        <v>G</v>
      </c>
      <c r="Q181" s="9">
        <v>138</v>
      </c>
      <c r="R181" s="9" t="str">
        <f>IFERROR(MID(VLOOKUP($B181,Seqs!$A:$B,2,0),S181,1),"")</f>
        <v>Y</v>
      </c>
      <c r="S181" s="9">
        <v>143</v>
      </c>
      <c r="T181" s="9" t="str">
        <f>IFERROR(MID(VLOOKUP($B181,Seqs!$A:$B,2,0),U181,1),"")</f>
        <v>G</v>
      </c>
      <c r="U181" s="9">
        <v>144</v>
      </c>
      <c r="V181" s="9" t="str">
        <f>IFERROR(MID(VLOOKUP($B181,Seqs!$A:$B,2,0),W181,1),"")</f>
        <v>N</v>
      </c>
      <c r="W181" s="9">
        <v>179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H</v>
      </c>
      <c r="AC181" s="9">
        <v>183</v>
      </c>
      <c r="AD181" s="9" t="str">
        <f>IFERROR(MID(VLOOKUP($B181,Seqs!$A:$B,2,0),AE181,1),"")</f>
        <v>V</v>
      </c>
      <c r="AE181" s="9">
        <v>211</v>
      </c>
      <c r="AF181" s="9" t="str">
        <f>IFERROR(MID(VLOOKUP($B181,Seqs!$A:$B,2,0),AG181,1),"")</f>
        <v>C</v>
      </c>
      <c r="AG181" s="9">
        <v>226</v>
      </c>
      <c r="AH181" s="9" t="str">
        <f>IFERROR(MID(VLOOKUP($B181,Seqs!$A:$B,2,0),AI181,1),"")</f>
        <v>D</v>
      </c>
      <c r="AI181" s="9">
        <v>228</v>
      </c>
      <c r="AJ181" s="9" t="str">
        <f>IFERROR(MID(VLOOKUP($B181,Seqs!$A:$B,2,0),AK181,1),"")</f>
        <v>L</v>
      </c>
      <c r="AK181" s="9">
        <v>235</v>
      </c>
      <c r="AL181" s="9" t="str">
        <f>IFERROR(MID(VLOOKUP($B181,Seqs!$A:$B,2,0),AM181,1),"")</f>
        <v>L</v>
      </c>
      <c r="AM181" s="9">
        <v>269</v>
      </c>
      <c r="AN181" s="9" t="str">
        <f>IFERROR(MID(VLOOKUP($B181,Seqs!$A:$B,2,0),AO181,1),"")</f>
        <v>S</v>
      </c>
      <c r="AO181" s="9">
        <v>278</v>
      </c>
      <c r="AP181" s="9" t="str">
        <f>IFERROR(MID(VLOOKUP($B181,Seqs!$A:$B,2,0),AQ181,1),"")</f>
        <v>Q</v>
      </c>
      <c r="AQ181" s="9">
        <v>317</v>
      </c>
      <c r="AR181" s="9" t="str">
        <f>IFERROR(MID(VLOOKUP($B181,Seqs!$A:$B,2,0),AS181,1),"")</f>
        <v>V</v>
      </c>
      <c r="AS181" s="9">
        <v>322</v>
      </c>
      <c r="AT181" s="9" t="str">
        <f>IFERROR(MID(VLOOKUP($B181,Seqs!$A:$B,2,0),AU181,1),"")</f>
        <v>S</v>
      </c>
      <c r="AU181" s="9">
        <v>348</v>
      </c>
      <c r="AV181" s="9" t="str">
        <f>IFERROR(MID(VLOOKUP($B181,Seqs!$A:$B,2,0),AW181,1),"")</f>
        <v>H</v>
      </c>
      <c r="AW181" s="9">
        <v>349</v>
      </c>
      <c r="AX181" s="9" t="str">
        <f>IFERROR(MID(VLOOKUP($B181,Seqs!$A:$B,2,0),AY181,1),"")</f>
        <v>L</v>
      </c>
      <c r="AY181" s="9">
        <v>359</v>
      </c>
      <c r="AZ181" s="113" t="str">
        <f>VLOOKUP(B181,Classification!A:D,2,0)</f>
        <v>A</v>
      </c>
      <c r="BA181" s="101" t="str">
        <f>VLOOKUP(B181,Classification!A:D,4,0)</f>
        <v>Proteinase-activated</v>
      </c>
      <c r="BB181" s="37" t="b">
        <f t="shared" ref="BB181" si="978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12">
        <f t="shared" ref="BC181" si="979">_xlfn.AGGREGATE(9,6,CH181:CS181)-_xlfn.AGGREGATE(9,6,BV181:CG181)+12</f>
        <v>252</v>
      </c>
      <c r="BD181" s="41" t="s">
        <v>23</v>
      </c>
      <c r="BE181" s="9" t="s">
        <v>1439</v>
      </c>
      <c r="BF181" s="125">
        <v>3.6</v>
      </c>
      <c r="BG181" s="52" t="s">
        <v>1</v>
      </c>
      <c r="BH181" s="52" t="s">
        <v>1384</v>
      </c>
      <c r="BJ181" s="114" t="s">
        <v>1293</v>
      </c>
      <c r="BK181" s="115" t="s">
        <v>1293</v>
      </c>
      <c r="BL181" s="115" t="s">
        <v>1293</v>
      </c>
      <c r="BM181" s="115" t="s">
        <v>1293</v>
      </c>
      <c r="BN181" s="115" t="s">
        <v>1293</v>
      </c>
      <c r="BO181" s="115" t="s">
        <v>1293</v>
      </c>
      <c r="BP181" s="115" t="s">
        <v>1293</v>
      </c>
      <c r="BQ181" s="115" t="s">
        <v>1293</v>
      </c>
      <c r="BR181" s="115" t="s">
        <v>1293</v>
      </c>
      <c r="BS181" s="115" t="s">
        <v>1293</v>
      </c>
      <c r="BT181" s="115" t="s">
        <v>1293</v>
      </c>
      <c r="BU181" s="115" t="s">
        <v>1293</v>
      </c>
      <c r="BV181" s="114">
        <f t="shared" ref="BV181" si="980">E181</f>
        <v>71</v>
      </c>
      <c r="BW181" s="116" t="str">
        <f t="shared" ref="BW181" si="981">I181</f>
        <v>-</v>
      </c>
      <c r="BX181" s="117">
        <f t="shared" ref="BX181" si="982">M181</f>
        <v>108</v>
      </c>
      <c r="BY181" s="116">
        <f t="shared" ref="BY181" si="983">Q181</f>
        <v>138</v>
      </c>
      <c r="BZ181" s="117">
        <f t="shared" ref="BZ181" si="984">U181</f>
        <v>144</v>
      </c>
      <c r="CA181" s="116" t="str">
        <f t="shared" ref="CA181" si="985">Y181</f>
        <v>-</v>
      </c>
      <c r="CB181" s="117">
        <f t="shared" ref="CB181" si="986">AC181</f>
        <v>183</v>
      </c>
      <c r="CC181" s="116">
        <f t="shared" ref="CC181" si="987">AG181</f>
        <v>226</v>
      </c>
      <c r="CD181" s="117">
        <f t="shared" ref="CD181" si="988">AK181</f>
        <v>235</v>
      </c>
      <c r="CE181" s="116">
        <f t="shared" ref="CE181" si="989">AO181</f>
        <v>278</v>
      </c>
      <c r="CF181" s="117">
        <f t="shared" ref="CF181" si="990">AS181</f>
        <v>322</v>
      </c>
      <c r="CG181" s="116">
        <f t="shared" ref="CG181" si="991">AW181</f>
        <v>349</v>
      </c>
      <c r="CH181" s="114">
        <f t="shared" ref="CH181" si="992">G181</f>
        <v>103</v>
      </c>
      <c r="CI181" s="116" t="str">
        <f t="shared" ref="CI181" si="993">K181</f>
        <v>-</v>
      </c>
      <c r="CJ181" s="117">
        <f t="shared" ref="CJ181" si="994">O181</f>
        <v>137</v>
      </c>
      <c r="CK181" s="117">
        <f t="shared" ref="CK181" si="995">S181</f>
        <v>143</v>
      </c>
      <c r="CL181" s="117">
        <f t="shared" ref="CL181" si="996">W181</f>
        <v>179</v>
      </c>
      <c r="CM181" s="117" t="str">
        <f t="shared" ref="CM181" si="997">AA181</f>
        <v>-</v>
      </c>
      <c r="CN181" s="117">
        <f t="shared" ref="CN181" si="998">AE181</f>
        <v>211</v>
      </c>
      <c r="CO181" s="117">
        <f t="shared" ref="CO181" si="999">AI181</f>
        <v>228</v>
      </c>
      <c r="CP181" s="117">
        <f t="shared" ref="CP181" si="1000">AM181</f>
        <v>269</v>
      </c>
      <c r="CQ181" s="117">
        <f t="shared" ref="CQ181" si="1001">AQ181</f>
        <v>317</v>
      </c>
      <c r="CR181" s="117">
        <f t="shared" ref="CR181" si="1002">AU181</f>
        <v>348</v>
      </c>
      <c r="CS181" s="117">
        <f t="shared" ref="CS181" si="1003">AY181</f>
        <v>359</v>
      </c>
      <c r="CT181" s="112" t="e">
        <f t="shared" ref="CT181" si="1004">M181-K181</f>
        <v>#VALUE!</v>
      </c>
    </row>
    <row r="182" spans="1:1030" s="12" customFormat="1" x14ac:dyDescent="0.2">
      <c r="A182" s="9" t="str">
        <f t="shared" ref="A182" si="1005">CONCATENATE(B182,"_",C182)</f>
        <v>par2_human_5NJ6</v>
      </c>
      <c r="B182" s="9" t="s">
        <v>356</v>
      </c>
      <c r="C182" s="9" t="s">
        <v>1406</v>
      </c>
      <c r="D182" s="9" t="str">
        <f>IFERROR(MID(VLOOKUP($B182,Seqs!$A:$B,2,0),E182,1),"")</f>
        <v>G</v>
      </c>
      <c r="E182" s="9">
        <v>71</v>
      </c>
      <c r="F182" s="9" t="str">
        <f>IFERROR(MID(VLOOKUP($B182,Seqs!$A:$B,2,0),G182,1),"")</f>
        <v>R</v>
      </c>
      <c r="G182" s="9">
        <v>103</v>
      </c>
      <c r="H182" s="9" t="str">
        <f>IFERROR(MID(VLOOKUP($B182,Seqs!$A:$B,2,0),I182,1),"")</f>
        <v/>
      </c>
      <c r="I182" s="112" t="s">
        <v>23</v>
      </c>
      <c r="J182" s="9" t="str">
        <f>IFERROR(MID(VLOOKUP($B182,Seqs!$A:$B,2,0),K182,1),"")</f>
        <v/>
      </c>
      <c r="K182" s="112" t="s">
        <v>23</v>
      </c>
      <c r="L182" s="9" t="str">
        <f>IFERROR(MID(VLOOKUP($B182,Seqs!$A:$B,2,0),M182,1),"")</f>
        <v>H</v>
      </c>
      <c r="M182" s="9">
        <v>108</v>
      </c>
      <c r="N182" s="9" t="str">
        <f>IFERROR(MID(VLOOKUP($B182,Seqs!$A:$B,2,0),O182,1),"")</f>
        <v>H</v>
      </c>
      <c r="O182" s="9">
        <v>137</v>
      </c>
      <c r="P182" s="9" t="str">
        <f>IFERROR(MID(VLOOKUP($B182,Seqs!$A:$B,2,0),Q182,1),"")</f>
        <v>G</v>
      </c>
      <c r="Q182" s="9">
        <v>138</v>
      </c>
      <c r="R182" s="9" t="str">
        <f>IFERROR(MID(VLOOKUP($B182,Seqs!$A:$B,2,0),S182,1),"")</f>
        <v>Y</v>
      </c>
      <c r="S182" s="9">
        <v>143</v>
      </c>
      <c r="T182" s="9" t="str">
        <f>IFERROR(MID(VLOOKUP($B182,Seqs!$A:$B,2,0),U182,1),"")</f>
        <v>G</v>
      </c>
      <c r="U182" s="9">
        <v>144</v>
      </c>
      <c r="V182" s="9" t="str">
        <f>IFERROR(MID(VLOOKUP($B182,Seqs!$A:$B,2,0),W182,1),"")</f>
        <v>N</v>
      </c>
      <c r="W182" s="9">
        <v>179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H</v>
      </c>
      <c r="AC182" s="9">
        <v>183</v>
      </c>
      <c r="AD182" s="9" t="str">
        <f>IFERROR(MID(VLOOKUP($B182,Seqs!$A:$B,2,0),AE182,1),"")</f>
        <v>V</v>
      </c>
      <c r="AE182" s="9">
        <v>211</v>
      </c>
      <c r="AF182" s="9" t="str">
        <f>IFERROR(MID(VLOOKUP($B182,Seqs!$A:$B,2,0),AG182,1),"")</f>
        <v>C</v>
      </c>
      <c r="AG182" s="9">
        <v>226</v>
      </c>
      <c r="AH182" s="9" t="str">
        <f>IFERROR(MID(VLOOKUP($B182,Seqs!$A:$B,2,0),AI182,1),"")</f>
        <v>D</v>
      </c>
      <c r="AI182" s="9">
        <v>228</v>
      </c>
      <c r="AJ182" s="9" t="str">
        <f>IFERROR(MID(VLOOKUP($B182,Seqs!$A:$B,2,0),AK182,1),"")</f>
        <v>L</v>
      </c>
      <c r="AK182" s="9">
        <v>235</v>
      </c>
      <c r="AL182" s="9" t="str">
        <f>IFERROR(MID(VLOOKUP($B182,Seqs!$A:$B,2,0),AM182,1),"")</f>
        <v>L</v>
      </c>
      <c r="AM182" s="9">
        <v>269</v>
      </c>
      <c r="AN182" s="9" t="str">
        <f>IFERROR(MID(VLOOKUP($B182,Seqs!$A:$B,2,0),AO182,1),"")</f>
        <v>S</v>
      </c>
      <c r="AO182" s="9">
        <v>278</v>
      </c>
      <c r="AP182" s="9" t="str">
        <f>IFERROR(MID(VLOOKUP($B182,Seqs!$A:$B,2,0),AQ182,1),"")</f>
        <v>Q</v>
      </c>
      <c r="AQ182" s="9">
        <v>317</v>
      </c>
      <c r="AR182" s="9" t="str">
        <f>IFERROR(MID(VLOOKUP($B182,Seqs!$A:$B,2,0),AS182,1),"")</f>
        <v>V</v>
      </c>
      <c r="AS182" s="9">
        <v>322</v>
      </c>
      <c r="AT182" s="9" t="str">
        <f>IFERROR(MID(VLOOKUP($B182,Seqs!$A:$B,2,0),AU182,1),"")</f>
        <v>S</v>
      </c>
      <c r="AU182" s="9">
        <v>348</v>
      </c>
      <c r="AV182" s="9" t="str">
        <f>IFERROR(MID(VLOOKUP($B182,Seqs!$A:$B,2,0),AW182,1),"")</f>
        <v>H</v>
      </c>
      <c r="AW182" s="9">
        <v>349</v>
      </c>
      <c r="AX182" s="9" t="str">
        <f>IFERROR(MID(VLOOKUP($B182,Seqs!$A:$B,2,0),AY182,1),"")</f>
        <v>L</v>
      </c>
      <c r="AY182" s="9">
        <v>359</v>
      </c>
      <c r="AZ182" s="113" t="str">
        <f>VLOOKUP(B182,Classification!A:D,2,0)</f>
        <v>A</v>
      </c>
      <c r="BA182" s="101" t="str">
        <f>VLOOKUP(B182,Classification!A:D,4,0)</f>
        <v>Proteinase-activated</v>
      </c>
      <c r="BB182" s="37" t="b">
        <f t="shared" ref="BB182" si="1006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12">
        <f t="shared" ref="BC182" si="1007">_xlfn.AGGREGATE(9,6,CH182:CS182)-_xlfn.AGGREGATE(9,6,BV182:CG182)+12</f>
        <v>252</v>
      </c>
      <c r="BD182" s="41" t="s">
        <v>23</v>
      </c>
      <c r="BE182" s="9" t="s">
        <v>1439</v>
      </c>
      <c r="BF182" s="125">
        <v>4</v>
      </c>
      <c r="BG182" s="52" t="s">
        <v>1</v>
      </c>
      <c r="BH182" s="52" t="s">
        <v>1384</v>
      </c>
      <c r="BJ182" s="114" t="s">
        <v>1293</v>
      </c>
      <c r="BK182" s="115" t="s">
        <v>1293</v>
      </c>
      <c r="BL182" s="115" t="s">
        <v>1293</v>
      </c>
      <c r="BM182" s="115" t="s">
        <v>1293</v>
      </c>
      <c r="BN182" s="115" t="s">
        <v>1293</v>
      </c>
      <c r="BO182" s="115" t="s">
        <v>1293</v>
      </c>
      <c r="BP182" s="115" t="s">
        <v>1293</v>
      </c>
      <c r="BQ182" s="115" t="s">
        <v>1293</v>
      </c>
      <c r="BR182" s="115" t="s">
        <v>1293</v>
      </c>
      <c r="BS182" s="115" t="s">
        <v>1293</v>
      </c>
      <c r="BT182" s="115" t="s">
        <v>1293</v>
      </c>
      <c r="BU182" s="115" t="s">
        <v>1293</v>
      </c>
      <c r="BV182" s="114">
        <f t="shared" ref="BV182" si="1008">E182</f>
        <v>71</v>
      </c>
      <c r="BW182" s="116" t="str">
        <f t="shared" ref="BW182" si="1009">I182</f>
        <v>-</v>
      </c>
      <c r="BX182" s="117">
        <f t="shared" ref="BX182" si="1010">M182</f>
        <v>108</v>
      </c>
      <c r="BY182" s="116">
        <f t="shared" ref="BY182" si="1011">Q182</f>
        <v>138</v>
      </c>
      <c r="BZ182" s="117">
        <f t="shared" ref="BZ182" si="1012">U182</f>
        <v>144</v>
      </c>
      <c r="CA182" s="116" t="str">
        <f t="shared" ref="CA182" si="1013">Y182</f>
        <v>-</v>
      </c>
      <c r="CB182" s="117">
        <f t="shared" ref="CB182" si="1014">AC182</f>
        <v>183</v>
      </c>
      <c r="CC182" s="116">
        <f t="shared" ref="CC182" si="1015">AG182</f>
        <v>226</v>
      </c>
      <c r="CD182" s="117">
        <f t="shared" ref="CD182" si="1016">AK182</f>
        <v>235</v>
      </c>
      <c r="CE182" s="116">
        <f t="shared" ref="CE182" si="1017">AO182</f>
        <v>278</v>
      </c>
      <c r="CF182" s="117">
        <f t="shared" ref="CF182" si="1018">AS182</f>
        <v>322</v>
      </c>
      <c r="CG182" s="116">
        <f t="shared" ref="CG182" si="1019">AW182</f>
        <v>349</v>
      </c>
      <c r="CH182" s="114">
        <f t="shared" ref="CH182" si="1020">G182</f>
        <v>103</v>
      </c>
      <c r="CI182" s="116" t="str">
        <f t="shared" ref="CI182" si="1021">K182</f>
        <v>-</v>
      </c>
      <c r="CJ182" s="117">
        <f t="shared" ref="CJ182" si="1022">O182</f>
        <v>137</v>
      </c>
      <c r="CK182" s="117">
        <f t="shared" ref="CK182" si="1023">S182</f>
        <v>143</v>
      </c>
      <c r="CL182" s="117">
        <f t="shared" ref="CL182" si="1024">W182</f>
        <v>179</v>
      </c>
      <c r="CM182" s="117" t="str">
        <f t="shared" ref="CM182" si="1025">AA182</f>
        <v>-</v>
      </c>
      <c r="CN182" s="117">
        <f t="shared" ref="CN182" si="1026">AE182</f>
        <v>211</v>
      </c>
      <c r="CO182" s="117">
        <f t="shared" ref="CO182" si="1027">AI182</f>
        <v>228</v>
      </c>
      <c r="CP182" s="117">
        <f t="shared" ref="CP182" si="1028">AM182</f>
        <v>269</v>
      </c>
      <c r="CQ182" s="117">
        <f t="shared" ref="CQ182" si="1029">AQ182</f>
        <v>317</v>
      </c>
      <c r="CR182" s="117">
        <f t="shared" ref="CR182" si="1030">AU182</f>
        <v>348</v>
      </c>
      <c r="CS182" s="117">
        <f t="shared" ref="CS182" si="1031">AY182</f>
        <v>359</v>
      </c>
      <c r="CT182" s="112" t="e">
        <f t="shared" ref="CT182" si="1032">M182-K182</f>
        <v>#VALUE!</v>
      </c>
    </row>
    <row r="183" spans="1:1030" x14ac:dyDescent="0.2">
      <c r="A183" s="3" t="str">
        <f t="shared" si="863"/>
        <v>s1pr1_human__wt</v>
      </c>
      <c r="B183" s="3" t="s">
        <v>104</v>
      </c>
      <c r="C183" s="3" t="s">
        <v>100</v>
      </c>
      <c r="D183" s="3" t="str">
        <f>IFERROR(MID(VLOOKUP($B183,Seqs!$A:$B,2,0),E183,1),"")</f>
        <v>E</v>
      </c>
      <c r="E183" s="3">
        <v>42</v>
      </c>
      <c r="F183" s="3" t="str">
        <f>IFERROR(MID(VLOOKUP($B183,Seqs!$A:$B,2,0),G183,1),"")</f>
        <v>T</v>
      </c>
      <c r="G183" s="3">
        <v>73</v>
      </c>
      <c r="H183" s="3" t="str">
        <f>IFERROR(MID(VLOOKUP($B183,Seqs!$A:$B,2,0),I183,1),"")</f>
        <v>K</v>
      </c>
      <c r="I183" s="23">
        <v>74</v>
      </c>
      <c r="J183" s="3" t="str">
        <f>IFERROR(MID(VLOOKUP($B183,Seqs!$A:$B,2,0),K183,1),"")</f>
        <v>H</v>
      </c>
      <c r="K183" s="23">
        <v>77</v>
      </c>
      <c r="L183" s="3" t="str">
        <f>IFERROR(MID(VLOOKUP($B183,Seqs!$A:$B,2,0),M183,1),"")</f>
        <v>R</v>
      </c>
      <c r="M183" s="3">
        <v>78</v>
      </c>
      <c r="N183" s="3" t="str">
        <f>IFERROR(MID(VLOOKUP($B183,Seqs!$A:$B,2,0),O183,1),"")</f>
        <v>L</v>
      </c>
      <c r="O183" s="3">
        <v>104</v>
      </c>
      <c r="P183" s="3" t="str">
        <f>IFERROR(MID(VLOOKUP($B183,Seqs!$A:$B,2,0),Q183,1),"")</f>
        <v>G</v>
      </c>
      <c r="Q183" s="3">
        <v>106</v>
      </c>
      <c r="R183" s="3" t="str">
        <f>IFERROR(MID(VLOOKUP($B183,Seqs!$A:$B,2,0),S183,1),"")</f>
        <v>L</v>
      </c>
      <c r="S183" s="3">
        <v>112</v>
      </c>
      <c r="T183" s="3" t="str">
        <f>IFERROR(MID(VLOOKUP($B183,Seqs!$A:$B,2,0),U183,1),"")</f>
        <v>T</v>
      </c>
      <c r="U183" s="3">
        <v>113</v>
      </c>
      <c r="V183" s="3" t="str">
        <f>IFERROR(MID(VLOOKUP($B183,Seqs!$A:$B,2,0),W183,1),"")</f>
        <v>K</v>
      </c>
      <c r="W183" s="108">
        <v>148</v>
      </c>
      <c r="X183" s="3" t="str">
        <f>IFERROR(MID(VLOOKUP($B183,Seqs!$A:$B,2,0),Y183,1),"")</f>
        <v>M</v>
      </c>
      <c r="Y183" s="108">
        <v>149</v>
      </c>
      <c r="Z183" s="3" t="str">
        <f>IFERROR(MID(VLOOKUP($B183,Seqs!$A:$B,2,0),AA183,1),"")</f>
        <v>S</v>
      </c>
      <c r="AA183" s="108">
        <v>155</v>
      </c>
      <c r="AB183" s="3" t="str">
        <f>IFERROR(MID(VLOOKUP($B183,Seqs!$A:$B,2,0),AC183,1),"")</f>
        <v>N</v>
      </c>
      <c r="AC183" s="108">
        <v>156</v>
      </c>
      <c r="AD183" s="3" t="str">
        <f>IFERROR(MID(VLOOKUP($B183,Seqs!$A:$B,2,0),AE183,1),"")</f>
        <v>G</v>
      </c>
      <c r="AE183" s="3">
        <v>181</v>
      </c>
      <c r="AF183" s="3" t="str">
        <f>IFERROR(MID(VLOOKUP($B183,Seqs!$A:$B,2,0),AG183,1),"")</f>
        <v/>
      </c>
      <c r="AG183" s="3" t="s">
        <v>23</v>
      </c>
      <c r="AH183" s="3" t="str">
        <f>IFERROR(MID(VLOOKUP($B183,Seqs!$A:$B,2,0),AI183,1),"")</f>
        <v/>
      </c>
      <c r="AI183" s="3" t="s">
        <v>23</v>
      </c>
      <c r="AJ183" s="3" t="str">
        <f>IFERROR(MID(VLOOKUP($B183,Seqs!$A:$B,2,0),AK183,1),"")</f>
        <v>H</v>
      </c>
      <c r="AK183" s="3">
        <v>199</v>
      </c>
      <c r="AL183" s="3" t="str">
        <f>IFERROR(MID(VLOOKUP($B183,Seqs!$A:$B,2,0),AM183,1),"")</f>
        <v>T</v>
      </c>
      <c r="AM183" s="3">
        <v>236</v>
      </c>
      <c r="AN183" s="3" t="str">
        <f>IFERROR(MID(VLOOKUP($B183,Seqs!$A:$B,2,0),AO183,1),"")</f>
        <v>S</v>
      </c>
      <c r="AO183" s="3">
        <v>245</v>
      </c>
      <c r="AP183" s="3" t="str">
        <f>IFERROR(MID(VLOOKUP($B183,Seqs!$A:$B,2,0),AQ183,1),"")</f>
        <v>C</v>
      </c>
      <c r="AQ183" s="3">
        <v>282</v>
      </c>
      <c r="AR183" s="3" t="str">
        <f>IFERROR(MID(VLOOKUP($B183,Seqs!$A:$B,2,0),AS183,1),"")</f>
        <v>D</v>
      </c>
      <c r="AS183" s="3">
        <v>288</v>
      </c>
      <c r="AT183" s="3" t="str">
        <f>IFERROR(MID(VLOOKUP($B183,Seqs!$A:$B,2,0),AU183,1),"")</f>
        <v>T</v>
      </c>
      <c r="AU183" s="3">
        <v>314</v>
      </c>
      <c r="AV183" s="3" t="str">
        <f>IFERROR(MID(VLOOKUP($B183,Seqs!$A:$B,2,0),AW183,1),"")</f>
        <v>N</v>
      </c>
      <c r="AW183" s="3">
        <v>315</v>
      </c>
      <c r="AX183" s="3" t="str">
        <f>IFERROR(MID(VLOOKUP($B183,Seqs!$A:$B,2,0),AY183,1),"")</f>
        <v>S</v>
      </c>
      <c r="AY183" s="3">
        <v>327</v>
      </c>
      <c r="AZ183" s="79" t="str">
        <f>VLOOKUP(B183,Classification!A:D,2,0)</f>
        <v>A</v>
      </c>
      <c r="BA183" s="97" t="str">
        <f>VLOOKUP(B183,Classification!A:D,4,0)</f>
        <v>Lysophospholipid(S1P)</v>
      </c>
      <c r="BB183" s="27" t="b">
        <f t="shared" si="864"/>
        <v>1</v>
      </c>
      <c r="BC183" s="23">
        <f t="shared" si="837"/>
        <v>256</v>
      </c>
      <c r="BD183" s="57" t="s">
        <v>1379</v>
      </c>
      <c r="BE183" s="3" t="s">
        <v>23</v>
      </c>
      <c r="BF183" s="124" t="s">
        <v>23</v>
      </c>
      <c r="BG183" s="50" t="s">
        <v>1379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838"/>
        <v>42</v>
      </c>
      <c r="BW183" s="73">
        <f t="shared" si="839"/>
        <v>74</v>
      </c>
      <c r="BX183" s="74">
        <f t="shared" si="840"/>
        <v>78</v>
      </c>
      <c r="BY183" s="73">
        <f t="shared" si="841"/>
        <v>106</v>
      </c>
      <c r="BZ183" s="74">
        <f t="shared" si="842"/>
        <v>113</v>
      </c>
      <c r="CA183" s="73">
        <f t="shared" si="843"/>
        <v>149</v>
      </c>
      <c r="CB183" s="74">
        <f t="shared" si="844"/>
        <v>156</v>
      </c>
      <c r="CC183" s="73" t="str">
        <f t="shared" si="845"/>
        <v>-</v>
      </c>
      <c r="CD183" s="74">
        <f t="shared" si="846"/>
        <v>199</v>
      </c>
      <c r="CE183" s="73">
        <f t="shared" si="847"/>
        <v>245</v>
      </c>
      <c r="CF183" s="74">
        <f t="shared" si="848"/>
        <v>288</v>
      </c>
      <c r="CG183" s="73">
        <f t="shared" si="849"/>
        <v>315</v>
      </c>
      <c r="CH183" s="72">
        <f t="shared" si="850"/>
        <v>73</v>
      </c>
      <c r="CI183" s="73">
        <f t="shared" si="851"/>
        <v>77</v>
      </c>
      <c r="CJ183" s="74">
        <f t="shared" si="852"/>
        <v>104</v>
      </c>
      <c r="CK183" s="74">
        <f t="shared" si="853"/>
        <v>112</v>
      </c>
      <c r="CL183" s="74">
        <f t="shared" si="854"/>
        <v>148</v>
      </c>
      <c r="CM183" s="74">
        <f t="shared" si="855"/>
        <v>155</v>
      </c>
      <c r="CN183" s="74">
        <f t="shared" si="856"/>
        <v>181</v>
      </c>
      <c r="CO183" s="74" t="str">
        <f t="shared" si="857"/>
        <v>-</v>
      </c>
      <c r="CP183" s="74">
        <f t="shared" si="858"/>
        <v>236</v>
      </c>
      <c r="CQ183" s="74">
        <f t="shared" si="859"/>
        <v>282</v>
      </c>
      <c r="CR183" s="74">
        <f t="shared" si="860"/>
        <v>314</v>
      </c>
      <c r="CS183" s="74">
        <f t="shared" si="861"/>
        <v>327</v>
      </c>
      <c r="CT183" s="23">
        <f t="shared" si="862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863"/>
        <v>s1pr1_human_3V2Y</v>
      </c>
      <c r="B184" s="3" t="s">
        <v>104</v>
      </c>
      <c r="C184" s="3" t="s">
        <v>94</v>
      </c>
      <c r="D184" s="3" t="str">
        <f>IFERROR(MID(VLOOKUP($B184,Seqs!$A:$B,2,0),E184,1),"")</f>
        <v>E</v>
      </c>
      <c r="E184" s="3">
        <v>42</v>
      </c>
      <c r="F184" s="3" t="str">
        <f>IFERROR(MID(VLOOKUP($B184,Seqs!$A:$B,2,0),G184,1),"")</f>
        <v>T</v>
      </c>
      <c r="G184" s="3">
        <v>73</v>
      </c>
      <c r="H184" s="3" t="str">
        <f>IFERROR(MID(VLOOKUP($B184,Seqs!$A:$B,2,0),I184,1),"")</f>
        <v>K</v>
      </c>
      <c r="I184" s="23">
        <v>74</v>
      </c>
      <c r="J184" s="3" t="str">
        <f>IFERROR(MID(VLOOKUP($B184,Seqs!$A:$B,2,0),K184,1),"")</f>
        <v>H</v>
      </c>
      <c r="K184" s="23">
        <v>77</v>
      </c>
      <c r="L184" s="3" t="str">
        <f>IFERROR(MID(VLOOKUP($B184,Seqs!$A:$B,2,0),M184,1),"")</f>
        <v>R</v>
      </c>
      <c r="M184" s="3">
        <v>78</v>
      </c>
      <c r="N184" s="3" t="str">
        <f>IFERROR(MID(VLOOKUP($B184,Seqs!$A:$B,2,0),O184,1),"")</f>
        <v>L</v>
      </c>
      <c r="O184" s="3">
        <v>104</v>
      </c>
      <c r="P184" s="3" t="str">
        <f>IFERROR(MID(VLOOKUP($B184,Seqs!$A:$B,2,0),Q184,1),"")</f>
        <v>G</v>
      </c>
      <c r="Q184" s="3">
        <v>106</v>
      </c>
      <c r="R184" s="3" t="str">
        <f>IFERROR(MID(VLOOKUP($B184,Seqs!$A:$B,2,0),S184,1),"")</f>
        <v>L</v>
      </c>
      <c r="S184" s="3">
        <v>112</v>
      </c>
      <c r="T184" s="3" t="str">
        <f>IFERROR(MID(VLOOKUP($B184,Seqs!$A:$B,2,0),U184,1),"")</f>
        <v>T</v>
      </c>
      <c r="U184" s="3">
        <v>113</v>
      </c>
      <c r="V184" s="3" t="str">
        <f>IFERROR(MID(VLOOKUP($B184,Seqs!$A:$B,2,0),W184,1),"")</f>
        <v>T</v>
      </c>
      <c r="W184" s="108">
        <v>145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N</v>
      </c>
      <c r="AC184" s="108">
        <v>156</v>
      </c>
      <c r="AD184" s="3" t="str">
        <f>IFERROR(MID(VLOOKUP($B184,Seqs!$A:$B,2,0),AE184,1),"")</f>
        <v>G</v>
      </c>
      <c r="AE184" s="3">
        <v>181</v>
      </c>
      <c r="AF184" s="3" t="str">
        <f>IFERROR(MID(VLOOKUP($B184,Seqs!$A:$B,2,0),AG184,1),"")</f>
        <v/>
      </c>
      <c r="AG184" s="3" t="s">
        <v>23</v>
      </c>
      <c r="AH184" s="3" t="str">
        <f>IFERROR(MID(VLOOKUP($B184,Seqs!$A:$B,2,0),AI184,1),"")</f>
        <v/>
      </c>
      <c r="AI184" s="3" t="s">
        <v>23</v>
      </c>
      <c r="AJ184" s="3" t="str">
        <f>IFERROR(MID(VLOOKUP($B184,Seqs!$A:$B,2,0),AK184,1),"")</f>
        <v>H</v>
      </c>
      <c r="AK184" s="3">
        <v>199</v>
      </c>
      <c r="AL184" s="3" t="str">
        <f>IFERROR(MID(VLOOKUP($B184,Seqs!$A:$B,2,0),AM184,1),"")</f>
        <v>R</v>
      </c>
      <c r="AM184" s="3">
        <v>231</v>
      </c>
      <c r="AN184" s="3" t="str">
        <f>IFERROR(MID(VLOOKUP($B184,Seqs!$A:$B,2,0),AO184,1),"")</f>
        <v>S</v>
      </c>
      <c r="AO184" s="3">
        <v>251</v>
      </c>
      <c r="AP184" s="3" t="str">
        <f>IFERROR(MID(VLOOKUP($B184,Seqs!$A:$B,2,0),AQ184,1),"")</f>
        <v>C</v>
      </c>
      <c r="AQ184" s="3">
        <v>282</v>
      </c>
      <c r="AR184" s="3" t="str">
        <f>IFERROR(MID(VLOOKUP($B184,Seqs!$A:$B,2,0),AS184,1),"")</f>
        <v>D</v>
      </c>
      <c r="AS184" s="3">
        <v>288</v>
      </c>
      <c r="AT184" s="3" t="str">
        <f>IFERROR(MID(VLOOKUP($B184,Seqs!$A:$B,2,0),AU184,1),"")</f>
        <v>T</v>
      </c>
      <c r="AU184" s="3">
        <v>314</v>
      </c>
      <c r="AV184" s="3" t="str">
        <f>IFERROR(MID(VLOOKUP($B184,Seqs!$A:$B,2,0),AW184,1),"")</f>
        <v>N</v>
      </c>
      <c r="AW184" s="3">
        <v>315</v>
      </c>
      <c r="AX184" s="3" t="str">
        <f>IFERROR(MID(VLOOKUP($B184,Seqs!$A:$B,2,0),AY184,1),"")</f>
        <v>I</v>
      </c>
      <c r="AY184" s="3">
        <v>323</v>
      </c>
      <c r="AZ184" s="79" t="str">
        <f>VLOOKUP(B184,Classification!A:D,2,0)</f>
        <v>A</v>
      </c>
      <c r="BA184" s="97" t="str">
        <f>VLOOKUP(B184,Classification!A:D,4,0)</f>
        <v>Lysophospholipid(S1P)</v>
      </c>
      <c r="BB184" s="27" t="b">
        <f t="shared" si="864"/>
        <v>1</v>
      </c>
      <c r="BC184" s="23">
        <f t="shared" si="837"/>
        <v>232</v>
      </c>
      <c r="BD184" s="2" t="s">
        <v>1383</v>
      </c>
      <c r="BE184" s="3" t="s">
        <v>1381</v>
      </c>
      <c r="BF184" s="124">
        <v>2.8</v>
      </c>
      <c r="BG184" s="50" t="s">
        <v>1384</v>
      </c>
      <c r="BH184" s="50" t="s">
        <v>1384</v>
      </c>
      <c r="BI184" s="1"/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838"/>
        <v>42</v>
      </c>
      <c r="BW184" s="73">
        <f t="shared" si="839"/>
        <v>74</v>
      </c>
      <c r="BX184" s="74">
        <f t="shared" si="840"/>
        <v>78</v>
      </c>
      <c r="BY184" s="73">
        <f t="shared" si="841"/>
        <v>106</v>
      </c>
      <c r="BZ184" s="74">
        <f t="shared" si="842"/>
        <v>113</v>
      </c>
      <c r="CA184" s="73" t="str">
        <f t="shared" si="843"/>
        <v>-</v>
      </c>
      <c r="CB184" s="74">
        <f t="shared" si="844"/>
        <v>156</v>
      </c>
      <c r="CC184" s="73" t="str">
        <f t="shared" si="845"/>
        <v>-</v>
      </c>
      <c r="CD184" s="74">
        <f t="shared" si="846"/>
        <v>199</v>
      </c>
      <c r="CE184" s="73">
        <f t="shared" si="847"/>
        <v>251</v>
      </c>
      <c r="CF184" s="74">
        <f t="shared" si="848"/>
        <v>288</v>
      </c>
      <c r="CG184" s="73">
        <f t="shared" si="849"/>
        <v>315</v>
      </c>
      <c r="CH184" s="72">
        <f t="shared" si="850"/>
        <v>73</v>
      </c>
      <c r="CI184" s="73">
        <f t="shared" si="851"/>
        <v>77</v>
      </c>
      <c r="CJ184" s="74">
        <f t="shared" si="852"/>
        <v>104</v>
      </c>
      <c r="CK184" s="74">
        <f t="shared" si="853"/>
        <v>112</v>
      </c>
      <c r="CL184" s="74">
        <f t="shared" si="854"/>
        <v>145</v>
      </c>
      <c r="CM184" s="74" t="str">
        <f t="shared" si="855"/>
        <v>-</v>
      </c>
      <c r="CN184" s="74">
        <f t="shared" si="856"/>
        <v>181</v>
      </c>
      <c r="CO184" s="74" t="str">
        <f t="shared" si="857"/>
        <v>-</v>
      </c>
      <c r="CP184" s="74">
        <f t="shared" si="858"/>
        <v>231</v>
      </c>
      <c r="CQ184" s="74">
        <f t="shared" si="859"/>
        <v>282</v>
      </c>
      <c r="CR184" s="74">
        <f t="shared" si="860"/>
        <v>314</v>
      </c>
      <c r="CS184" s="74">
        <f t="shared" si="861"/>
        <v>323</v>
      </c>
      <c r="CT184" s="23">
        <f t="shared" si="862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863"/>
        <v>us28_hcmva__wt</v>
      </c>
      <c r="B185" s="3" t="s">
        <v>924</v>
      </c>
      <c r="C185" s="3" t="s">
        <v>100</v>
      </c>
      <c r="D185" s="3" t="str">
        <f>IFERROR(MID(VLOOKUP($B185,Seqs!$A:$B,2,0),E185,1),"")</f>
        <v>T</v>
      </c>
      <c r="E185" s="3">
        <v>26</v>
      </c>
      <c r="F185" s="3" t="str">
        <f>IFERROR(MID(VLOOKUP($B185,Seqs!$A:$B,2,0),G185,1),"")</f>
        <v>R</v>
      </c>
      <c r="G185" s="3">
        <v>61</v>
      </c>
      <c r="H185" s="3" t="str">
        <f>IFERROR(MID(VLOOKUP($B185,Seqs!$A:$B,2,0),I185,1),"")</f>
        <v>R</v>
      </c>
      <c r="I185" s="23">
        <v>62</v>
      </c>
      <c r="J185" s="3" t="str">
        <f>IFERROR(MID(VLOOKUP($B185,Seqs!$A:$B,2,0),K185,1),"")</f>
        <v>Q</v>
      </c>
      <c r="K185" s="23">
        <v>65</v>
      </c>
      <c r="L185" s="3" t="str">
        <f>IFERROR(MID(VLOOKUP($B185,Seqs!$A:$B,2,0),M185,1),"")</f>
        <v>C</v>
      </c>
      <c r="M185" s="3">
        <v>66</v>
      </c>
      <c r="N185" s="3" t="str">
        <f>IFERROR(MID(VLOOKUP($B185,Seqs!$A:$B,2,0),O185,1),"")</f>
        <v>D</v>
      </c>
      <c r="O185" s="3">
        <v>95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P</v>
      </c>
      <c r="U185" s="3">
        <v>103</v>
      </c>
      <c r="V185" s="3" t="str">
        <f>IFERROR(MID(VLOOKUP($B185,Seqs!$A:$B,2,0),W185,1),"")</f>
        <v>Y</v>
      </c>
      <c r="W185" s="3">
        <v>135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P</v>
      </c>
      <c r="AC185" s="9">
        <v>140</v>
      </c>
      <c r="AD185" s="3" t="str">
        <f>IFERROR(MID(VLOOKUP($B185,Seqs!$A:$B,2,0),AE185,1),"")</f>
        <v>V</v>
      </c>
      <c r="AE185" s="3">
        <v>165</v>
      </c>
      <c r="AF185" s="3" t="str">
        <f>IFERROR(MID(VLOOKUP($B185,Seqs!$A:$B,2,0),AG185,1),"")</f>
        <v>C</v>
      </c>
      <c r="AG185" s="3">
        <v>173</v>
      </c>
      <c r="AH185" s="3" t="str">
        <f>IFERROR(MID(VLOOKUP($B185,Seqs!$A:$B,2,0),AI185,1),"")</f>
        <v>T</v>
      </c>
      <c r="AI185" s="3">
        <v>175</v>
      </c>
      <c r="AJ185" s="3" t="str">
        <f>IFERROR(MID(VLOOKUP($B185,Seqs!$A:$B,2,0),AK185,1),"")</f>
        <v>V</v>
      </c>
      <c r="AK185" s="3">
        <v>182</v>
      </c>
      <c r="AL185" s="3" t="str">
        <f>IFERROR(MID(VLOOKUP($B185,Seqs!$A:$B,2,0),AM185,1),"")</f>
        <v>S</v>
      </c>
      <c r="AM185" s="3">
        <v>218</v>
      </c>
      <c r="AN185" s="3" t="str">
        <f>IFERROR(MID(VLOOKUP($B185,Seqs!$A:$B,2,0),AO185,1),"")</f>
        <v>H</v>
      </c>
      <c r="AO185" s="3">
        <v>222</v>
      </c>
      <c r="AP185" s="3" t="str">
        <f>IFERROR(MID(VLOOKUP($B185,Seqs!$A:$B,2,0),AQ185,1),"")</f>
        <v>K</v>
      </c>
      <c r="AQ185" s="3">
        <v>257</v>
      </c>
      <c r="AR185" s="3" t="str">
        <f>IFERROR(MID(VLOOKUP($B185,Seqs!$A:$B,2,0),AS185,1),"")</f>
        <v>S</v>
      </c>
      <c r="AS185" s="3">
        <v>262</v>
      </c>
      <c r="AT185" s="3" t="str">
        <f>IFERROR(MID(VLOOKUP($B185,Seqs!$A:$B,2,0),AU185,1),"")</f>
        <v>V</v>
      </c>
      <c r="AU185" s="3">
        <v>294</v>
      </c>
      <c r="AV185" s="3" t="str">
        <f>IFERROR(MID(VLOOKUP($B185,Seqs!$A:$B,2,0),AW185,1),"")</f>
        <v>G</v>
      </c>
      <c r="AW185" s="3">
        <v>295</v>
      </c>
      <c r="AX185" s="3" t="str">
        <f>IFERROR(MID(VLOOKUP($B185,Seqs!$A:$B,2,0),AY185,1),"")</f>
        <v>R</v>
      </c>
      <c r="AY185" s="3">
        <v>310</v>
      </c>
      <c r="AZ185" s="79" t="str">
        <f>VLOOKUP(B185,Classification!A:D,2,0)</f>
        <v>A</v>
      </c>
      <c r="BA185" s="97" t="str">
        <f>VLOOKUP(B185,Classification!A:D,4,0)</f>
        <v>Chemokine</v>
      </c>
      <c r="BB185" s="27" t="b">
        <f t="shared" si="864"/>
        <v>1</v>
      </c>
      <c r="BC185" s="23">
        <f t="shared" si="837"/>
        <v>256</v>
      </c>
      <c r="BD185" s="57" t="s">
        <v>1379</v>
      </c>
      <c r="BE185" s="3" t="s">
        <v>23</v>
      </c>
      <c r="BF185" s="124" t="s">
        <v>23</v>
      </c>
      <c r="BG185" s="50" t="s">
        <v>1379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838"/>
        <v>26</v>
      </c>
      <c r="BW185" s="73">
        <f t="shared" si="839"/>
        <v>62</v>
      </c>
      <c r="BX185" s="74">
        <f t="shared" si="840"/>
        <v>66</v>
      </c>
      <c r="BY185" s="73" t="str">
        <f t="shared" si="841"/>
        <v>-</v>
      </c>
      <c r="BZ185" s="74">
        <f t="shared" si="842"/>
        <v>103</v>
      </c>
      <c r="CA185" s="73" t="str">
        <f t="shared" si="843"/>
        <v>-</v>
      </c>
      <c r="CB185" s="74">
        <f t="shared" si="844"/>
        <v>140</v>
      </c>
      <c r="CC185" s="73">
        <f t="shared" si="845"/>
        <v>173</v>
      </c>
      <c r="CD185" s="74">
        <f t="shared" si="846"/>
        <v>182</v>
      </c>
      <c r="CE185" s="73">
        <f t="shared" si="847"/>
        <v>222</v>
      </c>
      <c r="CF185" s="74">
        <f t="shared" si="848"/>
        <v>262</v>
      </c>
      <c r="CG185" s="73">
        <f t="shared" si="849"/>
        <v>295</v>
      </c>
      <c r="CH185" s="72">
        <f t="shared" si="850"/>
        <v>61</v>
      </c>
      <c r="CI185" s="73">
        <f t="shared" si="851"/>
        <v>65</v>
      </c>
      <c r="CJ185" s="74">
        <f t="shared" si="852"/>
        <v>95</v>
      </c>
      <c r="CK185" s="74" t="str">
        <f t="shared" si="853"/>
        <v>-</v>
      </c>
      <c r="CL185" s="74">
        <f t="shared" si="854"/>
        <v>135</v>
      </c>
      <c r="CM185" s="74" t="str">
        <f t="shared" si="855"/>
        <v>-</v>
      </c>
      <c r="CN185" s="74">
        <f t="shared" si="856"/>
        <v>165</v>
      </c>
      <c r="CO185" s="74">
        <f t="shared" si="857"/>
        <v>175</v>
      </c>
      <c r="CP185" s="74">
        <f t="shared" si="858"/>
        <v>218</v>
      </c>
      <c r="CQ185" s="74">
        <f t="shared" si="859"/>
        <v>257</v>
      </c>
      <c r="CR185" s="74">
        <f t="shared" si="860"/>
        <v>294</v>
      </c>
      <c r="CS185" s="74">
        <f t="shared" si="861"/>
        <v>310</v>
      </c>
      <c r="CT185" s="23">
        <f t="shared" si="862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863"/>
        <v>us28_hcmva_4XT1</v>
      </c>
      <c r="B186" s="3" t="s">
        <v>924</v>
      </c>
      <c r="C186" s="3" t="s">
        <v>1124</v>
      </c>
      <c r="D186" s="3" t="str">
        <f>IFERROR(MID(VLOOKUP($B186,Seqs!$A:$B,2,0),E186,1),"")</f>
        <v>T</v>
      </c>
      <c r="E186" s="3">
        <v>26</v>
      </c>
      <c r="F186" s="3" t="str">
        <f>IFERROR(MID(VLOOKUP($B186,Seqs!$A:$B,2,0),G186,1),"")</f>
        <v>R</v>
      </c>
      <c r="G186" s="3">
        <v>61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C</v>
      </c>
      <c r="M186" s="3">
        <v>66</v>
      </c>
      <c r="N186" s="3" t="str">
        <f>IFERROR(MID(VLOOKUP($B186,Seqs!$A:$B,2,0),O186,1),"")</f>
        <v>D</v>
      </c>
      <c r="O186" s="3">
        <v>95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P</v>
      </c>
      <c r="U186" s="3">
        <v>103</v>
      </c>
      <c r="V186" s="3" t="str">
        <f>IFERROR(MID(VLOOKUP($B186,Seqs!$A:$B,2,0),W186,1),"")</f>
        <v>Y</v>
      </c>
      <c r="W186" s="3">
        <v>135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P</v>
      </c>
      <c r="AC186" s="9">
        <v>140</v>
      </c>
      <c r="AD186" s="3" t="str">
        <f>IFERROR(MID(VLOOKUP($B186,Seqs!$A:$B,2,0),AE186,1),"")</f>
        <v>V</v>
      </c>
      <c r="AE186" s="3">
        <v>165</v>
      </c>
      <c r="AF186" s="3" t="str">
        <f>IFERROR(MID(VLOOKUP($B186,Seqs!$A:$B,2,0),AG186,1),"")</f>
        <v>C</v>
      </c>
      <c r="AG186" s="3">
        <v>173</v>
      </c>
      <c r="AH186" s="3" t="str">
        <f>IFERROR(MID(VLOOKUP($B186,Seqs!$A:$B,2,0),AI186,1),"")</f>
        <v>T</v>
      </c>
      <c r="AI186" s="3">
        <v>175</v>
      </c>
      <c r="AJ186" s="3" t="str">
        <f>IFERROR(MID(VLOOKUP($B186,Seqs!$A:$B,2,0),AK186,1),"")</f>
        <v>V</v>
      </c>
      <c r="AK186" s="3">
        <v>182</v>
      </c>
      <c r="AL186" s="3" t="str">
        <f>IFERROR(MID(VLOOKUP($B186,Seqs!$A:$B,2,0),AM186,1),"")</f>
        <v>S</v>
      </c>
      <c r="AM186" s="3">
        <v>218</v>
      </c>
      <c r="AN186" s="3" t="str">
        <f>IFERROR(MID(VLOOKUP($B186,Seqs!$A:$B,2,0),AO186,1),"")</f>
        <v>H</v>
      </c>
      <c r="AO186" s="3">
        <v>222</v>
      </c>
      <c r="AP186" s="3" t="str">
        <f>IFERROR(MID(VLOOKUP($B186,Seqs!$A:$B,2,0),AQ186,1),"")</f>
        <v>K</v>
      </c>
      <c r="AQ186" s="3">
        <v>257</v>
      </c>
      <c r="AR186" s="3" t="str">
        <f>IFERROR(MID(VLOOKUP($B186,Seqs!$A:$B,2,0),AS186,1),"")</f>
        <v>C</v>
      </c>
      <c r="AS186" s="3">
        <v>263</v>
      </c>
      <c r="AT186" s="3" t="str">
        <f>IFERROR(MID(VLOOKUP($B186,Seqs!$A:$B,2,0),AU186,1),"")</f>
        <v>V</v>
      </c>
      <c r="AU186" s="3">
        <v>294</v>
      </c>
      <c r="AV186" s="3" t="str">
        <f>IFERROR(MID(VLOOKUP($B186,Seqs!$A:$B,2,0),AW186,1),"")</f>
        <v>G</v>
      </c>
      <c r="AW186" s="3">
        <v>295</v>
      </c>
      <c r="AX186" s="3" t="str">
        <f>IFERROR(MID(VLOOKUP($B186,Seqs!$A:$B,2,0),AY186,1),"")</f>
        <v>R</v>
      </c>
      <c r="AY186" s="3">
        <v>310</v>
      </c>
      <c r="AZ186" s="79" t="str">
        <f>VLOOKUP(B186,Classification!A:D,2,0)</f>
        <v>A</v>
      </c>
      <c r="BA186" s="97" t="str">
        <f>VLOOKUP(B186,Classification!A:D,4,0)</f>
        <v>Chemokine</v>
      </c>
      <c r="BB186" s="27" t="b">
        <f t="shared" si="864"/>
        <v>1</v>
      </c>
      <c r="BC186" s="23">
        <f t="shared" si="837"/>
        <v>252</v>
      </c>
      <c r="BD186" s="4" t="s">
        <v>1440</v>
      </c>
      <c r="BE186" s="3" t="s">
        <v>1439</v>
      </c>
      <c r="BF186" s="124">
        <v>2.89</v>
      </c>
      <c r="BG186" s="50" t="s">
        <v>1384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838"/>
        <v>26</v>
      </c>
      <c r="BW186" s="73" t="str">
        <f t="shared" si="839"/>
        <v>-</v>
      </c>
      <c r="BX186" s="74">
        <f t="shared" si="840"/>
        <v>66</v>
      </c>
      <c r="BY186" s="73" t="str">
        <f t="shared" si="841"/>
        <v>-</v>
      </c>
      <c r="BZ186" s="74">
        <f t="shared" si="842"/>
        <v>103</v>
      </c>
      <c r="CA186" s="73" t="str">
        <f t="shared" si="843"/>
        <v>-</v>
      </c>
      <c r="CB186" s="74">
        <f t="shared" si="844"/>
        <v>140</v>
      </c>
      <c r="CC186" s="73">
        <f t="shared" si="845"/>
        <v>173</v>
      </c>
      <c r="CD186" s="74">
        <f t="shared" si="846"/>
        <v>182</v>
      </c>
      <c r="CE186" s="73">
        <f t="shared" si="847"/>
        <v>222</v>
      </c>
      <c r="CF186" s="74">
        <f t="shared" si="848"/>
        <v>263</v>
      </c>
      <c r="CG186" s="73">
        <f t="shared" si="849"/>
        <v>295</v>
      </c>
      <c r="CH186" s="72">
        <f t="shared" si="850"/>
        <v>61</v>
      </c>
      <c r="CI186" s="73" t="str">
        <f t="shared" si="851"/>
        <v>-</v>
      </c>
      <c r="CJ186" s="74">
        <f t="shared" si="852"/>
        <v>95</v>
      </c>
      <c r="CK186" s="74" t="str">
        <f t="shared" si="853"/>
        <v>-</v>
      </c>
      <c r="CL186" s="74">
        <f t="shared" si="854"/>
        <v>135</v>
      </c>
      <c r="CM186" s="74" t="str">
        <f t="shared" si="855"/>
        <v>-</v>
      </c>
      <c r="CN186" s="74">
        <f t="shared" si="856"/>
        <v>165</v>
      </c>
      <c r="CO186" s="74">
        <f t="shared" si="857"/>
        <v>175</v>
      </c>
      <c r="CP186" s="74">
        <f t="shared" si="858"/>
        <v>218</v>
      </c>
      <c r="CQ186" s="74">
        <f t="shared" si="859"/>
        <v>257</v>
      </c>
      <c r="CR186" s="74">
        <f t="shared" si="860"/>
        <v>294</v>
      </c>
      <c r="CS186" s="74">
        <f t="shared" si="861"/>
        <v>310</v>
      </c>
      <c r="CT186" s="23" t="e">
        <f t="shared" si="862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863"/>
        <v>us28_hcmva_4XT3</v>
      </c>
      <c r="B187" s="2" t="s">
        <v>924</v>
      </c>
      <c r="C187" s="3" t="s">
        <v>1378</v>
      </c>
      <c r="D187" s="3" t="str">
        <f>IFERROR(MID(VLOOKUP($B187,Seqs!$A:$B,2,0),E187,1),"")</f>
        <v>T</v>
      </c>
      <c r="E187" s="3">
        <v>26</v>
      </c>
      <c r="F187" s="3" t="str">
        <f>IFERROR(MID(VLOOKUP($B187,Seqs!$A:$B,2,0),G187,1),"")</f>
        <v>R</v>
      </c>
      <c r="G187" s="108">
        <v>62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C</v>
      </c>
      <c r="M187" s="3">
        <v>66</v>
      </c>
      <c r="N187" s="3" t="str">
        <f>IFERROR(MID(VLOOKUP($B187,Seqs!$A:$B,2,0),O187,1),"")</f>
        <v>D</v>
      </c>
      <c r="O187" s="3">
        <v>95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P</v>
      </c>
      <c r="U187" s="3">
        <v>103</v>
      </c>
      <c r="V187" s="3" t="str">
        <f>IFERROR(MID(VLOOKUP($B187,Seqs!$A:$B,2,0),W187,1),"")</f>
        <v>Y</v>
      </c>
      <c r="W187" s="3">
        <v>135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P</v>
      </c>
      <c r="AC187" s="9">
        <v>140</v>
      </c>
      <c r="AD187" s="3" t="str">
        <f>IFERROR(MID(VLOOKUP($B187,Seqs!$A:$B,2,0),AE187,1),"")</f>
        <v>V</v>
      </c>
      <c r="AE187" s="3">
        <v>165</v>
      </c>
      <c r="AF187" s="3" t="str">
        <f>IFERROR(MID(VLOOKUP($B187,Seqs!$A:$B,2,0),AG187,1),"")</f>
        <v>C</v>
      </c>
      <c r="AG187" s="3">
        <v>173</v>
      </c>
      <c r="AH187" s="3" t="str">
        <f>IFERROR(MID(VLOOKUP($B187,Seqs!$A:$B,2,0),AI187,1),"")</f>
        <v>T</v>
      </c>
      <c r="AI187" s="3">
        <v>175</v>
      </c>
      <c r="AJ187" s="3" t="str">
        <f>IFERROR(MID(VLOOKUP($B187,Seqs!$A:$B,2,0),AK187,1),"")</f>
        <v>V</v>
      </c>
      <c r="AK187" s="3">
        <v>182</v>
      </c>
      <c r="AL187" s="3" t="str">
        <f>IFERROR(MID(VLOOKUP($B187,Seqs!$A:$B,2,0),AM187,1),"")</f>
        <v>S</v>
      </c>
      <c r="AM187" s="3">
        <v>218</v>
      </c>
      <c r="AN187" s="3" t="str">
        <f>IFERROR(MID(VLOOKUP($B187,Seqs!$A:$B,2,0),AO187,1),"")</f>
        <v>H</v>
      </c>
      <c r="AO187" s="3">
        <v>222</v>
      </c>
      <c r="AP187" s="3" t="str">
        <f>IFERROR(MID(VLOOKUP($B187,Seqs!$A:$B,2,0),AQ187,1),"")</f>
        <v>K</v>
      </c>
      <c r="AQ187" s="3">
        <v>257</v>
      </c>
      <c r="AR187" s="3" t="str">
        <f>IFERROR(MID(VLOOKUP($B187,Seqs!$A:$B,2,0),AS187,1),"")</f>
        <v>C</v>
      </c>
      <c r="AS187" s="3">
        <v>263</v>
      </c>
      <c r="AT187" s="3" t="str">
        <f>IFERROR(MID(VLOOKUP($B187,Seqs!$A:$B,2,0),AU187,1),"")</f>
        <v>V</v>
      </c>
      <c r="AU187" s="3">
        <v>294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9" t="str">
        <f>VLOOKUP(B187,Classification!A:D,2,0)</f>
        <v>A</v>
      </c>
      <c r="BA187" s="97" t="str">
        <f>VLOOKUP(B187,Classification!A:D,4,0)</f>
        <v>Chemokine</v>
      </c>
      <c r="BB187" s="27" t="b">
        <f t="shared" ref="BB187" si="1033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ref="BC187" si="1034">_xlfn.AGGREGATE(9,6,CH187:CS187)-_xlfn.AGGREGATE(9,6,BV187:CG187)+12</f>
        <v>238</v>
      </c>
      <c r="BD187" s="4" t="s">
        <v>23</v>
      </c>
      <c r="BE187" s="3" t="s">
        <v>1439</v>
      </c>
      <c r="BF187" s="124">
        <v>3.8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ref="BV187" si="1035">E187</f>
        <v>26</v>
      </c>
      <c r="BW187" s="73" t="str">
        <f t="shared" ref="BW187" si="1036">I187</f>
        <v>-</v>
      </c>
      <c r="BX187" s="74">
        <f t="shared" ref="BX187" si="1037">M187</f>
        <v>66</v>
      </c>
      <c r="BY187" s="73" t="str">
        <f t="shared" ref="BY187" si="1038">Q187</f>
        <v>-</v>
      </c>
      <c r="BZ187" s="74">
        <f t="shared" ref="BZ187" si="1039">U187</f>
        <v>103</v>
      </c>
      <c r="CA187" s="73" t="str">
        <f t="shared" ref="CA187" si="1040">Y187</f>
        <v>-</v>
      </c>
      <c r="CB187" s="74">
        <f t="shared" ref="CB187" si="1041">AC187</f>
        <v>140</v>
      </c>
      <c r="CC187" s="73">
        <f t="shared" ref="CC187" si="1042">AG187</f>
        <v>173</v>
      </c>
      <c r="CD187" s="74">
        <f t="shared" ref="CD187" si="1043">AK187</f>
        <v>182</v>
      </c>
      <c r="CE187" s="73">
        <f t="shared" ref="CE187" si="1044">AO187</f>
        <v>222</v>
      </c>
      <c r="CF187" s="74">
        <f t="shared" ref="CF187" si="1045">AS187</f>
        <v>263</v>
      </c>
      <c r="CG187" s="73" t="str">
        <f t="shared" ref="CG187" si="1046">AW187</f>
        <v>-</v>
      </c>
      <c r="CH187" s="72">
        <f t="shared" ref="CH187" si="1047">G187</f>
        <v>62</v>
      </c>
      <c r="CI187" s="73" t="str">
        <f t="shared" ref="CI187" si="1048">K187</f>
        <v>-</v>
      </c>
      <c r="CJ187" s="74">
        <f t="shared" ref="CJ187" si="1049">O187</f>
        <v>95</v>
      </c>
      <c r="CK187" s="74" t="str">
        <f t="shared" ref="CK187" si="1050">S187</f>
        <v>-</v>
      </c>
      <c r="CL187" s="74">
        <f t="shared" ref="CL187" si="1051">W187</f>
        <v>135</v>
      </c>
      <c r="CM187" s="74" t="str">
        <f t="shared" ref="CM187" si="1052">AA187</f>
        <v>-</v>
      </c>
      <c r="CN187" s="74">
        <f t="shared" ref="CN187" si="1053">AE187</f>
        <v>165</v>
      </c>
      <c r="CO187" s="74">
        <f t="shared" ref="CO187" si="1054">AI187</f>
        <v>175</v>
      </c>
      <c r="CP187" s="74">
        <f t="shared" ref="CP187" si="1055">AM187</f>
        <v>218</v>
      </c>
      <c r="CQ187" s="74">
        <f t="shared" ref="CQ187" si="1056">AQ187</f>
        <v>257</v>
      </c>
      <c r="CR187" s="74">
        <f t="shared" ref="CR187" si="1057">AU187</f>
        <v>294</v>
      </c>
      <c r="CS187" s="74" t="str">
        <f t="shared" ref="CS187" si="1058">AY187</f>
        <v>-</v>
      </c>
      <c r="CT187" s="23" t="e">
        <f t="shared" ref="CT187" si="1059">M187-K187</f>
        <v>#VALUE!</v>
      </c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  <c r="SG187" s="6"/>
      <c r="SH187" s="6"/>
      <c r="SI187" s="6"/>
      <c r="SJ187" s="6"/>
      <c r="SK187" s="6"/>
      <c r="SL187" s="6"/>
      <c r="SM187" s="6"/>
      <c r="SN187" s="6"/>
      <c r="SO187" s="6"/>
      <c r="SP187" s="6"/>
      <c r="SQ187" s="6"/>
      <c r="SR187" s="6"/>
      <c r="SS187" s="6"/>
      <c r="ST187" s="6"/>
      <c r="SU187" s="6"/>
      <c r="SV187" s="6"/>
      <c r="SW187" s="6"/>
      <c r="SX187" s="6"/>
      <c r="SY187" s="6"/>
      <c r="SZ187" s="6"/>
      <c r="TA187" s="6"/>
      <c r="TB187" s="6"/>
      <c r="TC187" s="6"/>
      <c r="TD187" s="6"/>
      <c r="TE187" s="6"/>
      <c r="TF187" s="6"/>
      <c r="TG187" s="6"/>
      <c r="TH187" s="6"/>
      <c r="TI187" s="6"/>
      <c r="TJ187" s="6"/>
      <c r="TK187" s="6"/>
      <c r="TL187" s="6"/>
      <c r="TM187" s="6"/>
      <c r="TN187" s="6"/>
      <c r="TO187" s="6"/>
      <c r="TP187" s="6"/>
      <c r="TQ187" s="6"/>
      <c r="TR187" s="6"/>
      <c r="TS187" s="6"/>
      <c r="TT187" s="6"/>
      <c r="TU187" s="6"/>
      <c r="TV187" s="6"/>
      <c r="TW187" s="6"/>
      <c r="TX187" s="6"/>
      <c r="TY187" s="6"/>
      <c r="TZ187" s="6"/>
      <c r="UA187" s="6"/>
      <c r="UB187" s="6"/>
      <c r="UC187" s="6"/>
      <c r="UD187" s="6"/>
      <c r="UE187" s="6"/>
      <c r="UF187" s="6"/>
      <c r="UG187" s="6"/>
      <c r="UH187" s="6"/>
      <c r="UI187" s="6"/>
      <c r="UJ187" s="6"/>
      <c r="UK187" s="6"/>
      <c r="UL187" s="6"/>
      <c r="UM187" s="6"/>
      <c r="UN187" s="6"/>
      <c r="UO187" s="6"/>
      <c r="UP187" s="6"/>
      <c r="UQ187" s="6"/>
      <c r="UR187" s="6"/>
      <c r="US187" s="6"/>
      <c r="UT187" s="6"/>
      <c r="UU187" s="6"/>
      <c r="UV187" s="6"/>
      <c r="UW187" s="6"/>
      <c r="UX187" s="6"/>
      <c r="UY187" s="6"/>
      <c r="UZ187" s="6"/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6"/>
      <c r="VM187" s="6"/>
      <c r="VN187" s="6"/>
      <c r="VO187" s="6"/>
      <c r="VP187" s="6"/>
      <c r="VQ187" s="6"/>
      <c r="VR187" s="6"/>
      <c r="VS187" s="6"/>
      <c r="VT187" s="6"/>
      <c r="VU187" s="6"/>
      <c r="VV187" s="6"/>
      <c r="VW187" s="6"/>
      <c r="VX187" s="6"/>
      <c r="VY187" s="6"/>
      <c r="VZ187" s="6"/>
      <c r="WA187" s="6"/>
      <c r="WB187" s="6"/>
      <c r="WC187" s="6"/>
      <c r="WD187" s="6"/>
      <c r="WE187" s="6"/>
      <c r="WF187" s="6"/>
      <c r="WG187" s="6"/>
      <c r="WH187" s="6"/>
      <c r="WI187" s="6"/>
      <c r="WJ187" s="6"/>
      <c r="WK187" s="6"/>
      <c r="WL187" s="6"/>
      <c r="WM187" s="6"/>
      <c r="WN187" s="6"/>
      <c r="WO187" s="6"/>
      <c r="WP187" s="6"/>
      <c r="WQ187" s="6"/>
      <c r="WR187" s="6"/>
      <c r="WS187" s="6"/>
      <c r="WT187" s="6"/>
      <c r="WU187" s="6"/>
      <c r="WV187" s="6"/>
      <c r="WW187" s="6"/>
      <c r="WX187" s="6"/>
      <c r="WY187" s="6"/>
      <c r="WZ187" s="6"/>
      <c r="XA187" s="6"/>
      <c r="XB187" s="6"/>
      <c r="XC187" s="6"/>
      <c r="XD187" s="6"/>
      <c r="XE187" s="6"/>
      <c r="XF187" s="6"/>
      <c r="XG187" s="6"/>
      <c r="XH187" s="6"/>
      <c r="XI187" s="6"/>
      <c r="XJ187" s="6"/>
      <c r="XK187" s="6"/>
      <c r="XL187" s="6"/>
      <c r="XM187" s="6"/>
      <c r="XN187" s="6"/>
      <c r="XO187" s="6"/>
      <c r="XP187" s="6"/>
      <c r="XQ187" s="6"/>
      <c r="XR187" s="6"/>
      <c r="XS187" s="6"/>
      <c r="XT187" s="6"/>
      <c r="XU187" s="6"/>
      <c r="XV187" s="6"/>
      <c r="XW187" s="6"/>
      <c r="XX187" s="6"/>
      <c r="XY187" s="6"/>
      <c r="XZ187" s="6"/>
      <c r="YA187" s="6"/>
      <c r="YB187" s="6"/>
      <c r="YC187" s="6"/>
      <c r="YD187" s="6"/>
      <c r="YE187" s="6"/>
      <c r="YF187" s="6"/>
      <c r="YG187" s="6"/>
      <c r="YH187" s="6"/>
      <c r="YI187" s="6"/>
      <c r="YJ187" s="6"/>
      <c r="YK187" s="6"/>
      <c r="YL187" s="6"/>
      <c r="YM187" s="6"/>
      <c r="YN187" s="6"/>
      <c r="YO187" s="6"/>
      <c r="YP187" s="6"/>
      <c r="YQ187" s="6"/>
      <c r="YR187" s="6"/>
      <c r="YS187" s="6"/>
      <c r="YT187" s="6"/>
      <c r="YU187" s="6"/>
      <c r="YV187" s="6"/>
      <c r="YW187" s="6"/>
      <c r="YX187" s="6"/>
      <c r="YY187" s="6"/>
      <c r="YZ187" s="6"/>
      <c r="ZA187" s="6"/>
      <c r="ZB187" s="6"/>
      <c r="ZC187" s="6"/>
      <c r="ZD187" s="6"/>
      <c r="ZE187" s="6"/>
      <c r="ZF187" s="6"/>
      <c r="ZG187" s="6"/>
      <c r="ZH187" s="6"/>
      <c r="ZI187" s="6"/>
      <c r="ZJ187" s="6"/>
      <c r="ZK187" s="6"/>
      <c r="ZL187" s="6"/>
      <c r="ZM187" s="6"/>
      <c r="ZN187" s="6"/>
      <c r="ZO187" s="6"/>
      <c r="ZP187" s="6"/>
      <c r="ZQ187" s="6"/>
      <c r="ZR187" s="6"/>
      <c r="ZS187" s="6"/>
      <c r="ZT187" s="6"/>
      <c r="ZU187" s="6"/>
      <c r="ZV187" s="6"/>
      <c r="ZW187" s="6"/>
      <c r="ZX187" s="6"/>
      <c r="ZY187" s="6"/>
      <c r="ZZ187" s="6"/>
      <c r="AAA187" s="6"/>
      <c r="AAB187" s="6"/>
      <c r="AAC187" s="6"/>
      <c r="AAD187" s="6"/>
      <c r="AAE187" s="6"/>
      <c r="AAF187" s="6"/>
      <c r="AAG187" s="6"/>
      <c r="AAH187" s="6"/>
      <c r="AAI187" s="6"/>
      <c r="AAJ187" s="6"/>
      <c r="AAK187" s="6"/>
      <c r="AAL187" s="6"/>
      <c r="AAM187" s="6"/>
      <c r="AAN187" s="6"/>
      <c r="AAO187" s="6"/>
      <c r="AAP187" s="6"/>
      <c r="AAQ187" s="6"/>
      <c r="AAR187" s="6"/>
      <c r="AAS187" s="6"/>
      <c r="AAT187" s="6"/>
      <c r="AAU187" s="6"/>
      <c r="AAV187" s="6"/>
      <c r="AAW187" s="6"/>
      <c r="AAX187" s="6"/>
      <c r="AAY187" s="6"/>
      <c r="AAZ187" s="6"/>
      <c r="ABA187" s="6"/>
      <c r="ABB187" s="6"/>
      <c r="ABC187" s="6"/>
      <c r="ABD187" s="6"/>
      <c r="ABE187" s="6"/>
      <c r="ABF187" s="6"/>
      <c r="ABG187" s="6"/>
      <c r="ABH187" s="6"/>
      <c r="ABI187" s="6"/>
      <c r="ABJ187" s="6"/>
      <c r="ABK187" s="6"/>
      <c r="ABL187" s="6"/>
      <c r="ABM187" s="6"/>
      <c r="ABN187" s="6"/>
      <c r="ABO187" s="6"/>
      <c r="ABP187" s="6"/>
      <c r="ABQ187" s="6"/>
      <c r="ABR187" s="6"/>
      <c r="ABS187" s="6"/>
      <c r="ABT187" s="6"/>
      <c r="ABU187" s="6"/>
      <c r="ABV187" s="6"/>
      <c r="ABW187" s="6"/>
      <c r="ABX187" s="6"/>
      <c r="ABY187" s="6"/>
      <c r="ABZ187" s="6"/>
      <c r="ACA187" s="6"/>
      <c r="ACB187" s="6"/>
      <c r="ACC187" s="6"/>
      <c r="ACD187" s="6"/>
      <c r="ACE187" s="6"/>
      <c r="ACF187" s="6"/>
      <c r="ACG187" s="6"/>
      <c r="ACH187" s="6"/>
      <c r="ACI187" s="6"/>
      <c r="ACJ187" s="6"/>
      <c r="ACK187" s="6"/>
      <c r="ACL187" s="6"/>
      <c r="ACM187" s="6"/>
      <c r="ACN187" s="6"/>
      <c r="ACO187" s="6"/>
      <c r="ACP187" s="6"/>
      <c r="ACQ187" s="6"/>
      <c r="ACR187" s="6"/>
      <c r="ACS187" s="6"/>
      <c r="ACT187" s="6"/>
      <c r="ACU187" s="6"/>
      <c r="ACV187" s="6"/>
      <c r="ACW187" s="6"/>
      <c r="ACX187" s="6"/>
      <c r="ACY187" s="6"/>
      <c r="ACZ187" s="6"/>
      <c r="ADA187" s="6"/>
      <c r="ADB187" s="6"/>
      <c r="ADC187" s="6"/>
      <c r="ADD187" s="6"/>
      <c r="ADE187" s="6"/>
      <c r="ADF187" s="6"/>
      <c r="ADG187" s="6"/>
      <c r="ADH187" s="6"/>
      <c r="ADI187" s="6"/>
      <c r="ADJ187" s="6"/>
      <c r="ADK187" s="6"/>
      <c r="ADL187" s="6"/>
      <c r="ADM187" s="6"/>
      <c r="ADN187" s="6"/>
      <c r="ADO187" s="6"/>
      <c r="ADP187" s="6"/>
      <c r="ADQ187" s="6"/>
      <c r="ADR187" s="6"/>
      <c r="ADS187" s="6"/>
      <c r="ADT187" s="6"/>
      <c r="ADU187" s="6"/>
      <c r="ADV187" s="6"/>
      <c r="ADW187" s="6"/>
      <c r="ADX187" s="6"/>
      <c r="ADY187" s="6"/>
      <c r="ADZ187" s="6"/>
      <c r="AEA187" s="6"/>
      <c r="AEB187" s="6"/>
      <c r="AEC187" s="6"/>
      <c r="AED187" s="6"/>
      <c r="AEE187" s="6"/>
      <c r="AEF187" s="6"/>
      <c r="AEG187" s="6"/>
      <c r="AEH187" s="6"/>
      <c r="AEI187" s="6"/>
      <c r="AEJ187" s="6"/>
      <c r="AEK187" s="6"/>
      <c r="AEL187" s="6"/>
      <c r="AEM187" s="6"/>
      <c r="AEN187" s="6"/>
      <c r="AEO187" s="6"/>
      <c r="AEP187" s="6"/>
      <c r="AEQ187" s="6"/>
      <c r="AER187" s="6"/>
      <c r="AES187" s="6"/>
      <c r="AET187" s="6"/>
      <c r="AEU187" s="6"/>
      <c r="AEV187" s="6"/>
      <c r="AEW187" s="6"/>
      <c r="AEX187" s="6"/>
      <c r="AEY187" s="6"/>
      <c r="AEZ187" s="6"/>
      <c r="AFA187" s="6"/>
      <c r="AFB187" s="6"/>
      <c r="AFC187" s="6"/>
      <c r="AFD187" s="6"/>
      <c r="AFE187" s="6"/>
      <c r="AFF187" s="6"/>
      <c r="AFG187" s="6"/>
      <c r="AFH187" s="6"/>
      <c r="AFI187" s="6"/>
      <c r="AFJ187" s="6"/>
      <c r="AFK187" s="6"/>
      <c r="AFL187" s="6"/>
      <c r="AFM187" s="6"/>
      <c r="AFN187" s="6"/>
      <c r="AFO187" s="6"/>
      <c r="AFP187" s="6"/>
      <c r="AFQ187" s="6"/>
      <c r="AFR187" s="6"/>
      <c r="AFS187" s="6"/>
      <c r="AFT187" s="6"/>
      <c r="AFU187" s="6"/>
      <c r="AFV187" s="6"/>
      <c r="AFW187" s="6"/>
      <c r="AFX187" s="6"/>
      <c r="AFY187" s="6"/>
      <c r="AFZ187" s="6"/>
      <c r="AGA187" s="6"/>
      <c r="AGB187" s="6"/>
      <c r="AGC187" s="6"/>
      <c r="AGD187" s="6"/>
      <c r="AGE187" s="6"/>
      <c r="AGF187" s="6"/>
      <c r="AGG187" s="6"/>
      <c r="AGH187" s="6"/>
      <c r="AGI187" s="6"/>
      <c r="AGJ187" s="6"/>
      <c r="AGK187" s="6"/>
      <c r="AGL187" s="6"/>
      <c r="AGM187" s="6"/>
      <c r="AGN187" s="6"/>
      <c r="AGO187" s="6"/>
      <c r="AGP187" s="6"/>
      <c r="AGQ187" s="6"/>
      <c r="AGR187" s="6"/>
      <c r="AGS187" s="6"/>
      <c r="AGT187" s="6"/>
      <c r="AGU187" s="6"/>
      <c r="AGV187" s="6"/>
      <c r="AGW187" s="6"/>
      <c r="AGX187" s="6"/>
      <c r="AGY187" s="6"/>
      <c r="AGZ187" s="6"/>
      <c r="AHA187" s="6"/>
      <c r="AHB187" s="6"/>
      <c r="AHC187" s="6"/>
      <c r="AHD187" s="6"/>
      <c r="AHE187" s="6"/>
      <c r="AHF187" s="6"/>
      <c r="AHG187" s="6"/>
      <c r="AHH187" s="6"/>
      <c r="AHI187" s="6"/>
      <c r="AHJ187" s="6"/>
      <c r="AHK187" s="6"/>
      <c r="AHL187" s="6"/>
      <c r="AHM187" s="6"/>
      <c r="AHN187" s="6"/>
      <c r="AHO187" s="6"/>
      <c r="AHP187" s="6"/>
      <c r="AHQ187" s="6"/>
      <c r="AHR187" s="6"/>
      <c r="AHS187" s="6"/>
      <c r="AHT187" s="6"/>
      <c r="AHU187" s="6"/>
      <c r="AHV187" s="6"/>
      <c r="AHW187" s="6"/>
      <c r="AHX187" s="6"/>
      <c r="AHY187" s="6"/>
      <c r="AHZ187" s="6"/>
      <c r="AIA187" s="6"/>
      <c r="AIB187" s="6"/>
      <c r="AIC187" s="6"/>
      <c r="AID187" s="6"/>
      <c r="AIE187" s="6"/>
      <c r="AIF187" s="6"/>
      <c r="AIG187" s="6"/>
      <c r="AIH187" s="6"/>
      <c r="AII187" s="6"/>
      <c r="AIJ187" s="6"/>
      <c r="AIK187" s="6"/>
      <c r="AIL187" s="6"/>
      <c r="AIM187" s="6"/>
      <c r="AIN187" s="6"/>
      <c r="AIO187" s="6"/>
      <c r="AIP187" s="6"/>
      <c r="AIQ187" s="6"/>
      <c r="AIR187" s="6"/>
      <c r="AIS187" s="6"/>
      <c r="AIT187" s="6"/>
      <c r="AIU187" s="6"/>
      <c r="AIV187" s="6"/>
      <c r="AIW187" s="6"/>
      <c r="AIX187" s="6"/>
      <c r="AIY187" s="6"/>
      <c r="AIZ187" s="6"/>
      <c r="AJA187" s="6"/>
      <c r="AJB187" s="6"/>
      <c r="AJC187" s="6"/>
      <c r="AJD187" s="6"/>
      <c r="AJE187" s="6"/>
      <c r="AJF187" s="6"/>
      <c r="AJG187" s="6"/>
      <c r="AJH187" s="6"/>
      <c r="AJI187" s="6"/>
      <c r="AJJ187" s="6"/>
      <c r="AJK187" s="6"/>
      <c r="AJL187" s="6"/>
      <c r="AJM187" s="6"/>
      <c r="AJN187" s="6"/>
      <c r="AJO187" s="6"/>
      <c r="AJP187" s="6"/>
      <c r="AJQ187" s="6"/>
      <c r="AJR187" s="6"/>
      <c r="AJS187" s="6"/>
      <c r="AJT187" s="6"/>
      <c r="AJU187" s="6"/>
      <c r="AJV187" s="6"/>
      <c r="AJW187" s="6"/>
      <c r="AJX187" s="6"/>
      <c r="AJY187" s="6"/>
      <c r="AJZ187" s="6"/>
      <c r="AKA187" s="6"/>
      <c r="AKB187" s="6"/>
      <c r="AKC187" s="6"/>
      <c r="AKD187" s="6"/>
      <c r="AKE187" s="6"/>
      <c r="AKF187" s="6"/>
      <c r="AKG187" s="6"/>
      <c r="AKH187" s="6"/>
      <c r="AKI187" s="6"/>
      <c r="AKJ187" s="6"/>
      <c r="AKK187" s="6"/>
      <c r="AKL187" s="6"/>
      <c r="AKM187" s="6"/>
      <c r="AKN187" s="6"/>
      <c r="AKO187" s="6"/>
      <c r="AKP187" s="6"/>
      <c r="AKQ187" s="6"/>
      <c r="AKR187" s="6"/>
      <c r="AKS187" s="6"/>
      <c r="AKT187" s="6"/>
      <c r="AKU187" s="6"/>
      <c r="AKV187" s="6"/>
      <c r="AKW187" s="6"/>
      <c r="AKX187" s="6"/>
      <c r="AKY187" s="6"/>
      <c r="AKZ187" s="6"/>
      <c r="ALA187" s="6"/>
      <c r="ALB187" s="6"/>
      <c r="ALC187" s="6"/>
      <c r="ALD187" s="6"/>
      <c r="ALE187" s="6"/>
      <c r="ALF187" s="6"/>
      <c r="ALG187" s="6"/>
      <c r="ALH187" s="6"/>
      <c r="ALI187" s="6"/>
      <c r="ALJ187" s="6"/>
      <c r="ALK187" s="6"/>
      <c r="ALL187" s="6"/>
      <c r="ALM187" s="6"/>
      <c r="ALN187" s="6"/>
      <c r="ALO187" s="6"/>
      <c r="ALP187" s="6"/>
      <c r="ALQ187" s="6"/>
      <c r="ALR187" s="6"/>
      <c r="ALS187" s="6"/>
      <c r="ALT187" s="6"/>
      <c r="ALU187" s="6"/>
      <c r="ALV187" s="6"/>
      <c r="ALW187" s="6"/>
      <c r="ALX187" s="6"/>
      <c r="ALY187" s="6"/>
      <c r="ALZ187" s="6"/>
      <c r="AMA187" s="6"/>
      <c r="AMB187" s="6"/>
      <c r="AMC187" s="6"/>
      <c r="AMD187" s="6"/>
      <c r="AME187" s="6"/>
      <c r="AMF187" s="6"/>
      <c r="AMG187" s="6"/>
      <c r="AMH187" s="6"/>
      <c r="AMI187" s="6"/>
      <c r="AMJ187" s="6"/>
      <c r="AMK187" s="6"/>
      <c r="AML187" s="6"/>
      <c r="AMM187" s="6"/>
      <c r="AMN187" s="6"/>
      <c r="AMO187" s="6"/>
      <c r="AMP187" s="6"/>
    </row>
    <row r="188" spans="1:1030" s="12" customFormat="1" x14ac:dyDescent="0.2">
      <c r="A188" s="9" t="str">
        <f t="shared" ref="A188:A189" si="1060">CONCATENATE(B188,"_",C188)</f>
        <v>calcr_human__wt</v>
      </c>
      <c r="B188" s="41" t="s">
        <v>401</v>
      </c>
      <c r="C188" s="9" t="s">
        <v>100</v>
      </c>
      <c r="D188" s="9" t="str">
        <f>IFERROR(MID(VLOOKUP($B188,Seqs!$A:$B,2,0),E188,1),"")</f>
        <v>T</v>
      </c>
      <c r="E188" s="9">
        <v>132</v>
      </c>
      <c r="F188" s="9" t="str">
        <f>IFERROR(MID(VLOOKUP($B188,Seqs!$A:$B,2,0),G188,1),"")</f>
        <v>F</v>
      </c>
      <c r="G188" s="9">
        <v>173</v>
      </c>
      <c r="H188" s="9" t="str">
        <f>IFERROR(MID(VLOOKUP($B188,Seqs!$A:$B,2,0),I188,1),"")</f>
        <v>R</v>
      </c>
      <c r="I188" s="112">
        <v>174</v>
      </c>
      <c r="J188" s="9" t="str">
        <f>IFERROR(MID(VLOOKUP($B188,Seqs!$A:$B,2,0),K188,1),"")</f>
        <v>G</v>
      </c>
      <c r="K188" s="112">
        <v>177</v>
      </c>
      <c r="L188" s="9" t="str">
        <f>IFERROR(MID(VLOOKUP($B188,Seqs!$A:$B,2,0),M188,1),"")</f>
        <v>C</v>
      </c>
      <c r="M188" s="9">
        <v>178</v>
      </c>
      <c r="N188" s="9" t="str">
        <f>IFERROR(MID(VLOOKUP($B188,Seqs!$A:$B,2,0),O188,1),"")</f>
        <v>V</v>
      </c>
      <c r="O188" s="9">
        <v>205</v>
      </c>
      <c r="P188" s="9" t="str">
        <f>IFERROR(MID(VLOOKUP($B188,Seqs!$A:$B,2,0),Q188,1),"")</f>
        <v/>
      </c>
      <c r="Q188" s="9" t="s">
        <v>23</v>
      </c>
      <c r="R188" s="9" t="str">
        <f>IFERROR(MID(VLOOKUP($B188,Seqs!$A:$B,2,0),S188,1),"")</f>
        <v/>
      </c>
      <c r="S188" s="9" t="s">
        <v>23</v>
      </c>
      <c r="T188" s="9" t="str">
        <f>IFERROR(MID(VLOOKUP($B188,Seqs!$A:$B,2,0),U188,1),"")</f>
        <v>D</v>
      </c>
      <c r="U188" s="9">
        <v>215</v>
      </c>
      <c r="V188" s="9" t="str">
        <f>IFERROR(MID(VLOOKUP($B188,Seqs!$A:$B,2,0),W188,1),"")</f>
        <v>V</v>
      </c>
      <c r="W188" s="9">
        <v>250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R</v>
      </c>
      <c r="AC188" s="9">
        <v>258</v>
      </c>
      <c r="AD188" s="9" t="str">
        <f>IFERROR(MID(VLOOKUP($B188,Seqs!$A:$B,2,0),AE188,1),"")</f>
        <v>F</v>
      </c>
      <c r="AE188" s="9">
        <v>285</v>
      </c>
      <c r="AF188" s="9" t="str">
        <f>IFERROR(MID(VLOOKUP($B188,Seqs!$A:$B,2,0),AG188,1),"")</f>
        <v>C</v>
      </c>
      <c r="AG188" s="9">
        <v>289</v>
      </c>
      <c r="AH188" s="9" t="str">
        <f>IFERROR(MID(VLOOKUP($B188,Seqs!$A:$B,2,0),AI188,1),"")</f>
        <v>L</v>
      </c>
      <c r="AI188" s="9">
        <v>291</v>
      </c>
      <c r="AJ188" s="9" t="str">
        <f>IFERROR(MID(VLOOKUP($B188,Seqs!$A:$B,2,0),AK188,1),"")</f>
        <v>L</v>
      </c>
      <c r="AK188" s="9">
        <v>298</v>
      </c>
      <c r="AL188" s="9" t="str">
        <f>IFERROR(MID(VLOOKUP($B188,Seqs!$A:$B,2,0),AM188,1),"")</f>
        <v>R</v>
      </c>
      <c r="AM188" s="9">
        <v>328</v>
      </c>
      <c r="AN188" s="9" t="str">
        <f>IFERROR(MID(VLOOKUP($B188,Seqs!$A:$B,2,0),AO188,1),"")</f>
        <v>Y</v>
      </c>
      <c r="AO188" s="9">
        <v>338</v>
      </c>
      <c r="AP188" s="9" t="str">
        <f>IFERROR(MID(VLOOKUP($B188,Seqs!$A:$B,2,0),AQ188,1),"")</f>
        <v>W</v>
      </c>
      <c r="AQ188" s="9">
        <v>361</v>
      </c>
      <c r="AR188" s="9" t="str">
        <f>IFERROR(MID(VLOOKUP($B188,Seqs!$A:$B,2,0),AS188,1),"")</f>
        <v>K</v>
      </c>
      <c r="AS188" s="9">
        <v>366</v>
      </c>
      <c r="AT188" s="9" t="str">
        <f>IFERROR(MID(VLOOKUP($B188,Seqs!$A:$B,2,0),AU188,1),"")</f>
        <v>C</v>
      </c>
      <c r="AU188" s="9">
        <v>394</v>
      </c>
      <c r="AV188" s="9" t="str">
        <f>IFERROR(MID(VLOOKUP($B188,Seqs!$A:$B,2,0),AW188,1),"")</f>
        <v>N</v>
      </c>
      <c r="AW188" s="9">
        <v>395</v>
      </c>
      <c r="AX188" s="9" t="str">
        <f>IFERROR(MID(VLOOKUP($B188,Seqs!$A:$B,2,0),AY188,1),"")</f>
        <v>R</v>
      </c>
      <c r="AY188" s="9">
        <v>420</v>
      </c>
      <c r="AZ188" s="113" t="str">
        <f>VLOOKUP(B188,Classification!A:D,2,0)</f>
        <v>B1</v>
      </c>
      <c r="BA188" s="101" t="str">
        <f>VLOOKUP(B188,Classification!A:D,4,0)</f>
        <v>Calcitonin</v>
      </c>
      <c r="BB188" s="37" t="b">
        <f t="shared" ref="BB188:BB189" si="1061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12">
        <f t="shared" ref="BC188:BC189" si="1062">_xlfn.AGGREGATE(9,6,CH188:CS188)-_xlfn.AGGREGATE(9,6,BV188:CG188)+12</f>
        <v>253</v>
      </c>
      <c r="BD188" s="11" t="s">
        <v>23</v>
      </c>
      <c r="BE188" s="9" t="s">
        <v>23</v>
      </c>
      <c r="BF188" s="125" t="s">
        <v>23</v>
      </c>
      <c r="BG188" s="52" t="s">
        <v>1384</v>
      </c>
      <c r="BH188" s="52" t="s">
        <v>1384</v>
      </c>
      <c r="BJ188" s="114" t="s">
        <v>1293</v>
      </c>
      <c r="BK188" s="115" t="s">
        <v>1293</v>
      </c>
      <c r="BL188" s="115" t="s">
        <v>1293</v>
      </c>
      <c r="BM188" s="115" t="s">
        <v>1293</v>
      </c>
      <c r="BN188" s="115" t="s">
        <v>1293</v>
      </c>
      <c r="BO188" s="115" t="s">
        <v>1293</v>
      </c>
      <c r="BP188" s="115" t="s">
        <v>1293</v>
      </c>
      <c r="BQ188" s="115" t="s">
        <v>1293</v>
      </c>
      <c r="BR188" s="115" t="s">
        <v>1293</v>
      </c>
      <c r="BS188" s="115" t="s">
        <v>1293</v>
      </c>
      <c r="BT188" s="115" t="s">
        <v>1293</v>
      </c>
      <c r="BU188" s="115" t="s">
        <v>1293</v>
      </c>
      <c r="BV188" s="114">
        <f t="shared" ref="BV188:BV189" si="1063">E188</f>
        <v>132</v>
      </c>
      <c r="BW188" s="116">
        <f t="shared" ref="BW188:BW189" si="1064">I188</f>
        <v>174</v>
      </c>
      <c r="BX188" s="117">
        <f t="shared" ref="BX188:BX189" si="1065">M188</f>
        <v>178</v>
      </c>
      <c r="BY188" s="116" t="str">
        <f t="shared" ref="BY188:BY189" si="1066">Q188</f>
        <v>-</v>
      </c>
      <c r="BZ188" s="117">
        <f t="shared" ref="BZ188:BZ189" si="1067">U188</f>
        <v>215</v>
      </c>
      <c r="CA188" s="116" t="str">
        <f t="shared" ref="CA188:CA189" si="1068">Y188</f>
        <v>-</v>
      </c>
      <c r="CB188" s="117">
        <f t="shared" ref="CB188:CB189" si="1069">AC188</f>
        <v>258</v>
      </c>
      <c r="CC188" s="116">
        <f t="shared" ref="CC188:CC189" si="1070">AG188</f>
        <v>289</v>
      </c>
      <c r="CD188" s="117">
        <f t="shared" ref="CD188:CD189" si="1071">AK188</f>
        <v>298</v>
      </c>
      <c r="CE188" s="116">
        <f t="shared" ref="CE188:CE189" si="1072">AO188</f>
        <v>338</v>
      </c>
      <c r="CF188" s="117">
        <f t="shared" ref="CF188:CF189" si="1073">AS188</f>
        <v>366</v>
      </c>
      <c r="CG188" s="116">
        <f t="shared" ref="CG188:CG189" si="1074">AW188</f>
        <v>395</v>
      </c>
      <c r="CH188" s="114">
        <f t="shared" ref="CH188:CH189" si="1075">G188</f>
        <v>173</v>
      </c>
      <c r="CI188" s="116">
        <f t="shared" ref="CI188:CI189" si="1076">K188</f>
        <v>177</v>
      </c>
      <c r="CJ188" s="117">
        <f t="shared" ref="CJ188:CJ189" si="1077">O188</f>
        <v>205</v>
      </c>
      <c r="CK188" s="117" t="str">
        <f t="shared" ref="CK188:CK189" si="1078">S188</f>
        <v>-</v>
      </c>
      <c r="CL188" s="117">
        <f t="shared" ref="CL188:CL189" si="1079">W188</f>
        <v>250</v>
      </c>
      <c r="CM188" s="117" t="str">
        <f t="shared" ref="CM188:CM189" si="1080">AA188</f>
        <v>-</v>
      </c>
      <c r="CN188" s="117">
        <f t="shared" ref="CN188:CN189" si="1081">AE188</f>
        <v>285</v>
      </c>
      <c r="CO188" s="117">
        <f t="shared" ref="CO188:CO189" si="1082">AI188</f>
        <v>291</v>
      </c>
      <c r="CP188" s="117">
        <f t="shared" ref="CP188:CP189" si="1083">AM188</f>
        <v>328</v>
      </c>
      <c r="CQ188" s="117">
        <f t="shared" ref="CQ188:CQ189" si="1084">AQ188</f>
        <v>361</v>
      </c>
      <c r="CR188" s="117">
        <f t="shared" ref="CR188:CR189" si="1085">AU188</f>
        <v>394</v>
      </c>
      <c r="CS188" s="117">
        <f t="shared" ref="CS188:CS189" si="1086">AY188</f>
        <v>420</v>
      </c>
      <c r="CT188" s="112">
        <f t="shared" ref="CT188:CT189" si="1087">M188-K188</f>
        <v>1</v>
      </c>
      <c r="CU188" s="118"/>
      <c r="CV188" s="118"/>
      <c r="CW188" s="118"/>
      <c r="CX188" s="118"/>
      <c r="CY188" s="118"/>
      <c r="CZ188" s="118"/>
      <c r="DA188" s="118"/>
      <c r="DB188" s="118"/>
      <c r="DC188" s="118"/>
      <c r="DD188" s="118"/>
      <c r="DE188" s="118"/>
      <c r="DF188" s="118"/>
      <c r="DG188" s="118"/>
      <c r="DH188" s="118"/>
      <c r="DI188" s="118"/>
      <c r="DJ188" s="118"/>
      <c r="DK188" s="118"/>
      <c r="DL188" s="118"/>
      <c r="DM188" s="118"/>
      <c r="DN188" s="118"/>
      <c r="DO188" s="118"/>
      <c r="DP188" s="118"/>
      <c r="DQ188" s="118"/>
      <c r="DR188" s="118"/>
      <c r="DS188" s="118"/>
      <c r="DT188" s="118"/>
      <c r="DU188" s="118"/>
      <c r="DV188" s="118"/>
      <c r="DW188" s="118"/>
      <c r="DX188" s="118"/>
      <c r="DY188" s="118"/>
      <c r="DZ188" s="118"/>
      <c r="EA188" s="118"/>
      <c r="EB188" s="118"/>
      <c r="EC188" s="118"/>
      <c r="ED188" s="118"/>
      <c r="EE188" s="118"/>
      <c r="EF188" s="118"/>
      <c r="EG188" s="118"/>
      <c r="EH188" s="118"/>
      <c r="EI188" s="118"/>
      <c r="EJ188" s="118"/>
      <c r="EK188" s="118"/>
      <c r="EL188" s="118"/>
      <c r="EM188" s="118"/>
      <c r="EN188" s="118"/>
      <c r="EO188" s="118"/>
      <c r="EP188" s="118"/>
      <c r="EQ188" s="118"/>
      <c r="ER188" s="118"/>
      <c r="ES188" s="118"/>
      <c r="ET188" s="118"/>
      <c r="EU188" s="118"/>
      <c r="EV188" s="118"/>
      <c r="EW188" s="118"/>
      <c r="EX188" s="118"/>
      <c r="EY188" s="118"/>
      <c r="EZ188" s="118"/>
      <c r="FA188" s="118"/>
      <c r="FB188" s="118"/>
      <c r="FC188" s="118"/>
      <c r="FD188" s="118"/>
      <c r="FE188" s="118"/>
      <c r="FF188" s="118"/>
      <c r="FG188" s="118"/>
      <c r="FH188" s="118"/>
      <c r="FI188" s="118"/>
      <c r="FJ188" s="118"/>
      <c r="FK188" s="118"/>
      <c r="FL188" s="118"/>
      <c r="FM188" s="118"/>
      <c r="FN188" s="118"/>
      <c r="FO188" s="118"/>
      <c r="FP188" s="118"/>
      <c r="FQ188" s="118"/>
      <c r="FR188" s="118"/>
      <c r="FS188" s="118"/>
      <c r="FT188" s="118"/>
      <c r="FU188" s="118"/>
      <c r="FV188" s="118"/>
      <c r="FW188" s="118"/>
      <c r="FX188" s="118"/>
      <c r="FY188" s="118"/>
      <c r="FZ188" s="118"/>
      <c r="GA188" s="118"/>
      <c r="GB188" s="118"/>
      <c r="GC188" s="118"/>
      <c r="GD188" s="118"/>
      <c r="GE188" s="118"/>
      <c r="GF188" s="118"/>
      <c r="GG188" s="118"/>
      <c r="GH188" s="118"/>
      <c r="GI188" s="118"/>
      <c r="GJ188" s="118"/>
      <c r="GK188" s="118"/>
      <c r="GL188" s="118"/>
      <c r="GM188" s="118"/>
      <c r="GN188" s="118"/>
      <c r="GO188" s="118"/>
      <c r="GP188" s="118"/>
      <c r="GQ188" s="118"/>
      <c r="GR188" s="118"/>
      <c r="GS188" s="118"/>
      <c r="GT188" s="118"/>
      <c r="GU188" s="118"/>
      <c r="GV188" s="118"/>
      <c r="GW188" s="118"/>
      <c r="GX188" s="118"/>
      <c r="GY188" s="118"/>
      <c r="GZ188" s="118"/>
      <c r="HA188" s="118"/>
      <c r="HB188" s="118"/>
      <c r="HC188" s="118"/>
      <c r="HD188" s="118"/>
      <c r="HE188" s="118"/>
      <c r="HF188" s="118"/>
      <c r="HG188" s="118"/>
      <c r="HH188" s="118"/>
      <c r="HI188" s="118"/>
      <c r="HJ188" s="118"/>
      <c r="HK188" s="118"/>
      <c r="HL188" s="118"/>
      <c r="HM188" s="118"/>
      <c r="HN188" s="118"/>
      <c r="HO188" s="118"/>
      <c r="HP188" s="118"/>
      <c r="HQ188" s="118"/>
      <c r="HR188" s="118"/>
      <c r="HS188" s="118"/>
      <c r="HT188" s="118"/>
      <c r="HU188" s="118"/>
      <c r="HV188" s="118"/>
      <c r="HW188" s="118"/>
      <c r="HX188" s="118"/>
      <c r="HY188" s="118"/>
      <c r="HZ188" s="118"/>
      <c r="IA188" s="118"/>
      <c r="IB188" s="118"/>
      <c r="IC188" s="118"/>
      <c r="ID188" s="118"/>
      <c r="IE188" s="118"/>
      <c r="IF188" s="118"/>
      <c r="IG188" s="118"/>
      <c r="IH188" s="118"/>
      <c r="II188" s="118"/>
      <c r="IJ188" s="118"/>
      <c r="IK188" s="118"/>
      <c r="IL188" s="118"/>
      <c r="IM188" s="118"/>
      <c r="IN188" s="118"/>
      <c r="IO188" s="118"/>
      <c r="IP188" s="118"/>
      <c r="IQ188" s="118"/>
      <c r="IR188" s="118"/>
      <c r="IS188" s="118"/>
      <c r="IT188" s="118"/>
      <c r="IU188" s="118"/>
      <c r="IV188" s="118"/>
      <c r="IW188" s="118"/>
      <c r="IX188" s="118"/>
      <c r="IY188" s="118"/>
      <c r="IZ188" s="118"/>
      <c r="JA188" s="118"/>
      <c r="JB188" s="118"/>
      <c r="JC188" s="118"/>
      <c r="JD188" s="118"/>
      <c r="JE188" s="118"/>
      <c r="JF188" s="118"/>
      <c r="JG188" s="118"/>
      <c r="JH188" s="118"/>
      <c r="JI188" s="118"/>
      <c r="JJ188" s="118"/>
      <c r="JK188" s="118"/>
      <c r="JL188" s="118"/>
      <c r="JM188" s="118"/>
      <c r="JN188" s="118"/>
      <c r="JO188" s="118"/>
      <c r="JP188" s="118"/>
      <c r="JQ188" s="118"/>
      <c r="JR188" s="118"/>
      <c r="JS188" s="118"/>
      <c r="JT188" s="118"/>
      <c r="JU188" s="118"/>
      <c r="JV188" s="118"/>
      <c r="JW188" s="118"/>
      <c r="JX188" s="118"/>
      <c r="JY188" s="118"/>
      <c r="JZ188" s="118"/>
      <c r="KA188" s="118"/>
      <c r="KB188" s="118"/>
      <c r="KC188" s="118"/>
      <c r="KD188" s="118"/>
      <c r="KE188" s="118"/>
      <c r="KF188" s="118"/>
      <c r="KG188" s="118"/>
      <c r="KH188" s="118"/>
      <c r="KI188" s="118"/>
      <c r="KJ188" s="118"/>
      <c r="KK188" s="118"/>
      <c r="KL188" s="118"/>
      <c r="KM188" s="118"/>
      <c r="KN188" s="118"/>
      <c r="KO188" s="118"/>
      <c r="KP188" s="118"/>
      <c r="KQ188" s="118"/>
      <c r="KR188" s="118"/>
      <c r="KS188" s="118"/>
      <c r="KT188" s="118"/>
      <c r="KU188" s="118"/>
      <c r="KV188" s="118"/>
      <c r="KW188" s="118"/>
      <c r="KX188" s="118"/>
      <c r="KY188" s="118"/>
      <c r="KZ188" s="118"/>
      <c r="LA188" s="118"/>
      <c r="LB188" s="118"/>
      <c r="LC188" s="118"/>
      <c r="LD188" s="118"/>
      <c r="LE188" s="118"/>
      <c r="LF188" s="118"/>
      <c r="LG188" s="118"/>
      <c r="LH188" s="118"/>
      <c r="LI188" s="118"/>
      <c r="LJ188" s="118"/>
      <c r="LK188" s="118"/>
      <c r="LL188" s="118"/>
      <c r="LM188" s="118"/>
      <c r="LN188" s="118"/>
      <c r="LO188" s="118"/>
      <c r="LP188" s="118"/>
      <c r="LQ188" s="118"/>
      <c r="LR188" s="118"/>
      <c r="LS188" s="118"/>
      <c r="LT188" s="118"/>
      <c r="LU188" s="118"/>
      <c r="LV188" s="118"/>
      <c r="LW188" s="118"/>
      <c r="LX188" s="118"/>
      <c r="LY188" s="118"/>
      <c r="LZ188" s="118"/>
      <c r="MA188" s="118"/>
      <c r="MB188" s="118"/>
      <c r="MC188" s="118"/>
      <c r="MD188" s="118"/>
      <c r="ME188" s="118"/>
      <c r="MF188" s="118"/>
      <c r="MG188" s="118"/>
      <c r="MH188" s="118"/>
      <c r="MI188" s="118"/>
      <c r="MJ188" s="118"/>
      <c r="MK188" s="118"/>
      <c r="ML188" s="118"/>
      <c r="MM188" s="118"/>
      <c r="MN188" s="118"/>
      <c r="MO188" s="118"/>
      <c r="MP188" s="118"/>
      <c r="MQ188" s="118"/>
      <c r="MR188" s="118"/>
      <c r="MS188" s="118"/>
      <c r="MT188" s="118"/>
      <c r="MU188" s="118"/>
      <c r="MV188" s="118"/>
      <c r="MW188" s="118"/>
      <c r="MX188" s="118"/>
      <c r="MY188" s="118"/>
      <c r="MZ188" s="118"/>
      <c r="NA188" s="118"/>
      <c r="NB188" s="118"/>
      <c r="NC188" s="118"/>
      <c r="ND188" s="118"/>
      <c r="NE188" s="118"/>
      <c r="NF188" s="118"/>
      <c r="NG188" s="118"/>
      <c r="NH188" s="118"/>
      <c r="NI188" s="118"/>
      <c r="NJ188" s="118"/>
      <c r="NK188" s="118"/>
      <c r="NL188" s="118"/>
      <c r="NM188" s="118"/>
      <c r="NN188" s="118"/>
      <c r="NO188" s="118"/>
      <c r="NP188" s="118"/>
      <c r="NQ188" s="118"/>
      <c r="NR188" s="118"/>
      <c r="NS188" s="118"/>
      <c r="NT188" s="118"/>
      <c r="NU188" s="118"/>
      <c r="NV188" s="118"/>
      <c r="NW188" s="118"/>
      <c r="NX188" s="118"/>
      <c r="NY188" s="118"/>
      <c r="NZ188" s="118"/>
      <c r="OA188" s="118"/>
      <c r="OB188" s="118"/>
      <c r="OC188" s="118"/>
      <c r="OD188" s="118"/>
      <c r="OE188" s="118"/>
      <c r="OF188" s="118"/>
      <c r="OG188" s="118"/>
      <c r="OH188" s="118"/>
      <c r="OI188" s="118"/>
      <c r="OJ188" s="118"/>
      <c r="OK188" s="118"/>
      <c r="OL188" s="118"/>
      <c r="OM188" s="118"/>
      <c r="ON188" s="118"/>
      <c r="OO188" s="118"/>
      <c r="OP188" s="118"/>
      <c r="OQ188" s="118"/>
      <c r="OR188" s="118"/>
      <c r="OS188" s="118"/>
      <c r="OT188" s="118"/>
      <c r="OU188" s="118"/>
      <c r="OV188" s="118"/>
      <c r="OW188" s="118"/>
      <c r="OX188" s="118"/>
      <c r="OY188" s="118"/>
      <c r="OZ188" s="118"/>
      <c r="PA188" s="118"/>
      <c r="PB188" s="118"/>
      <c r="PC188" s="118"/>
      <c r="PD188" s="118"/>
      <c r="PE188" s="118"/>
      <c r="PF188" s="118"/>
      <c r="PG188" s="118"/>
      <c r="PH188" s="118"/>
      <c r="PI188" s="118"/>
      <c r="PJ188" s="118"/>
      <c r="PK188" s="118"/>
      <c r="PL188" s="118"/>
      <c r="PM188" s="118"/>
      <c r="PN188" s="118"/>
      <c r="PO188" s="118"/>
      <c r="PP188" s="118"/>
      <c r="PQ188" s="118"/>
      <c r="PR188" s="118"/>
      <c r="PS188" s="118"/>
      <c r="PT188" s="118"/>
      <c r="PU188" s="118"/>
      <c r="PV188" s="118"/>
      <c r="PW188" s="118"/>
      <c r="PX188" s="118"/>
      <c r="PY188" s="118"/>
      <c r="PZ188" s="118"/>
      <c r="QA188" s="118"/>
      <c r="QB188" s="118"/>
      <c r="QC188" s="118"/>
      <c r="QD188" s="118"/>
      <c r="QE188" s="118"/>
      <c r="QF188" s="118"/>
      <c r="QG188" s="118"/>
      <c r="QH188" s="118"/>
      <c r="QI188" s="118"/>
      <c r="QJ188" s="118"/>
      <c r="QK188" s="118"/>
      <c r="QL188" s="118"/>
      <c r="QM188" s="118"/>
      <c r="QN188" s="118"/>
      <c r="QO188" s="118"/>
      <c r="QP188" s="118"/>
      <c r="QQ188" s="118"/>
      <c r="QR188" s="118"/>
      <c r="QS188" s="118"/>
      <c r="QT188" s="118"/>
      <c r="QU188" s="118"/>
      <c r="QV188" s="118"/>
      <c r="QW188" s="118"/>
      <c r="QX188" s="118"/>
      <c r="QY188" s="118"/>
      <c r="QZ188" s="118"/>
      <c r="RA188" s="118"/>
      <c r="RB188" s="118"/>
      <c r="RC188" s="118"/>
      <c r="RD188" s="118"/>
      <c r="RE188" s="118"/>
      <c r="RF188" s="118"/>
      <c r="RG188" s="118"/>
      <c r="RH188" s="118"/>
      <c r="RI188" s="118"/>
      <c r="RJ188" s="118"/>
      <c r="RK188" s="118"/>
      <c r="RL188" s="118"/>
      <c r="RM188" s="118"/>
      <c r="RN188" s="118"/>
      <c r="RO188" s="118"/>
      <c r="RP188" s="118"/>
      <c r="RQ188" s="118"/>
      <c r="RR188" s="118"/>
      <c r="RS188" s="118"/>
      <c r="RT188" s="118"/>
      <c r="RU188" s="118"/>
      <c r="RV188" s="118"/>
      <c r="RW188" s="118"/>
      <c r="RX188" s="118"/>
      <c r="RY188" s="118"/>
      <c r="RZ188" s="118"/>
      <c r="SA188" s="118"/>
      <c r="SB188" s="118"/>
      <c r="SC188" s="118"/>
      <c r="SD188" s="118"/>
      <c r="SE188" s="118"/>
      <c r="SF188" s="118"/>
      <c r="SG188" s="118"/>
      <c r="SH188" s="118"/>
      <c r="SI188" s="118"/>
      <c r="SJ188" s="118"/>
      <c r="SK188" s="118"/>
      <c r="SL188" s="118"/>
      <c r="SM188" s="118"/>
      <c r="SN188" s="118"/>
      <c r="SO188" s="118"/>
      <c r="SP188" s="118"/>
      <c r="SQ188" s="118"/>
      <c r="SR188" s="118"/>
      <c r="SS188" s="118"/>
      <c r="ST188" s="118"/>
      <c r="SU188" s="118"/>
      <c r="SV188" s="118"/>
      <c r="SW188" s="118"/>
      <c r="SX188" s="118"/>
      <c r="SY188" s="118"/>
      <c r="SZ188" s="118"/>
      <c r="TA188" s="118"/>
      <c r="TB188" s="118"/>
      <c r="TC188" s="118"/>
      <c r="TD188" s="118"/>
      <c r="TE188" s="118"/>
      <c r="TF188" s="118"/>
      <c r="TG188" s="118"/>
      <c r="TH188" s="118"/>
      <c r="TI188" s="118"/>
      <c r="TJ188" s="118"/>
      <c r="TK188" s="118"/>
      <c r="TL188" s="118"/>
      <c r="TM188" s="118"/>
      <c r="TN188" s="118"/>
      <c r="TO188" s="118"/>
      <c r="TP188" s="118"/>
      <c r="TQ188" s="118"/>
      <c r="TR188" s="118"/>
      <c r="TS188" s="118"/>
      <c r="TT188" s="118"/>
      <c r="TU188" s="118"/>
      <c r="TV188" s="118"/>
      <c r="TW188" s="118"/>
      <c r="TX188" s="118"/>
      <c r="TY188" s="118"/>
      <c r="TZ188" s="118"/>
      <c r="UA188" s="118"/>
      <c r="UB188" s="118"/>
      <c r="UC188" s="118"/>
      <c r="UD188" s="118"/>
      <c r="UE188" s="118"/>
      <c r="UF188" s="118"/>
      <c r="UG188" s="118"/>
      <c r="UH188" s="118"/>
      <c r="UI188" s="118"/>
      <c r="UJ188" s="118"/>
      <c r="UK188" s="118"/>
      <c r="UL188" s="118"/>
      <c r="UM188" s="118"/>
      <c r="UN188" s="118"/>
      <c r="UO188" s="118"/>
      <c r="UP188" s="118"/>
      <c r="UQ188" s="118"/>
      <c r="UR188" s="118"/>
      <c r="US188" s="118"/>
      <c r="UT188" s="118"/>
      <c r="UU188" s="118"/>
      <c r="UV188" s="118"/>
      <c r="UW188" s="118"/>
      <c r="UX188" s="118"/>
      <c r="UY188" s="118"/>
      <c r="UZ188" s="118"/>
      <c r="VA188" s="118"/>
      <c r="VB188" s="118"/>
      <c r="VC188" s="118"/>
      <c r="VD188" s="118"/>
      <c r="VE188" s="118"/>
      <c r="VF188" s="118"/>
      <c r="VG188" s="118"/>
      <c r="VH188" s="118"/>
      <c r="VI188" s="118"/>
      <c r="VJ188" s="118"/>
      <c r="VK188" s="118"/>
      <c r="VL188" s="118"/>
      <c r="VM188" s="118"/>
      <c r="VN188" s="118"/>
      <c r="VO188" s="118"/>
      <c r="VP188" s="118"/>
      <c r="VQ188" s="118"/>
      <c r="VR188" s="118"/>
      <c r="VS188" s="118"/>
      <c r="VT188" s="118"/>
      <c r="VU188" s="118"/>
      <c r="VV188" s="118"/>
      <c r="VW188" s="118"/>
      <c r="VX188" s="118"/>
      <c r="VY188" s="118"/>
      <c r="VZ188" s="118"/>
      <c r="WA188" s="118"/>
      <c r="WB188" s="118"/>
      <c r="WC188" s="118"/>
      <c r="WD188" s="118"/>
      <c r="WE188" s="118"/>
      <c r="WF188" s="118"/>
      <c r="WG188" s="118"/>
      <c r="WH188" s="118"/>
      <c r="WI188" s="118"/>
      <c r="WJ188" s="118"/>
      <c r="WK188" s="118"/>
      <c r="WL188" s="118"/>
      <c r="WM188" s="118"/>
      <c r="WN188" s="118"/>
      <c r="WO188" s="118"/>
      <c r="WP188" s="118"/>
      <c r="WQ188" s="118"/>
      <c r="WR188" s="118"/>
      <c r="WS188" s="118"/>
      <c r="WT188" s="118"/>
      <c r="WU188" s="118"/>
      <c r="WV188" s="118"/>
      <c r="WW188" s="118"/>
      <c r="WX188" s="118"/>
      <c r="WY188" s="118"/>
      <c r="WZ188" s="118"/>
      <c r="XA188" s="118"/>
      <c r="XB188" s="118"/>
      <c r="XC188" s="118"/>
      <c r="XD188" s="118"/>
      <c r="XE188" s="118"/>
      <c r="XF188" s="118"/>
      <c r="XG188" s="118"/>
      <c r="XH188" s="118"/>
      <c r="XI188" s="118"/>
      <c r="XJ188" s="118"/>
      <c r="XK188" s="118"/>
      <c r="XL188" s="118"/>
      <c r="XM188" s="118"/>
      <c r="XN188" s="118"/>
      <c r="XO188" s="118"/>
      <c r="XP188" s="118"/>
      <c r="XQ188" s="118"/>
      <c r="XR188" s="118"/>
      <c r="XS188" s="118"/>
      <c r="XT188" s="118"/>
      <c r="XU188" s="118"/>
      <c r="XV188" s="118"/>
      <c r="XW188" s="118"/>
      <c r="XX188" s="118"/>
      <c r="XY188" s="118"/>
      <c r="XZ188" s="118"/>
      <c r="YA188" s="118"/>
      <c r="YB188" s="118"/>
      <c r="YC188" s="118"/>
      <c r="YD188" s="118"/>
      <c r="YE188" s="118"/>
      <c r="YF188" s="118"/>
      <c r="YG188" s="118"/>
      <c r="YH188" s="118"/>
      <c r="YI188" s="118"/>
      <c r="YJ188" s="118"/>
      <c r="YK188" s="118"/>
      <c r="YL188" s="118"/>
      <c r="YM188" s="118"/>
      <c r="YN188" s="118"/>
      <c r="YO188" s="118"/>
      <c r="YP188" s="118"/>
      <c r="YQ188" s="118"/>
      <c r="YR188" s="118"/>
      <c r="YS188" s="118"/>
      <c r="YT188" s="118"/>
      <c r="YU188" s="118"/>
      <c r="YV188" s="118"/>
      <c r="YW188" s="118"/>
      <c r="YX188" s="118"/>
      <c r="YY188" s="118"/>
      <c r="YZ188" s="118"/>
      <c r="ZA188" s="118"/>
      <c r="ZB188" s="118"/>
      <c r="ZC188" s="118"/>
      <c r="ZD188" s="118"/>
      <c r="ZE188" s="118"/>
      <c r="ZF188" s="118"/>
      <c r="ZG188" s="118"/>
      <c r="ZH188" s="118"/>
      <c r="ZI188" s="118"/>
      <c r="ZJ188" s="118"/>
      <c r="ZK188" s="118"/>
      <c r="ZL188" s="118"/>
      <c r="ZM188" s="118"/>
      <c r="ZN188" s="118"/>
      <c r="ZO188" s="118"/>
      <c r="ZP188" s="118"/>
      <c r="ZQ188" s="118"/>
      <c r="ZR188" s="118"/>
      <c r="ZS188" s="118"/>
      <c r="ZT188" s="118"/>
      <c r="ZU188" s="118"/>
      <c r="ZV188" s="118"/>
      <c r="ZW188" s="118"/>
      <c r="ZX188" s="118"/>
      <c r="ZY188" s="118"/>
      <c r="ZZ188" s="118"/>
      <c r="AAA188" s="118"/>
      <c r="AAB188" s="118"/>
      <c r="AAC188" s="118"/>
      <c r="AAD188" s="118"/>
      <c r="AAE188" s="118"/>
      <c r="AAF188" s="118"/>
      <c r="AAG188" s="118"/>
      <c r="AAH188" s="118"/>
      <c r="AAI188" s="118"/>
      <c r="AAJ188" s="118"/>
      <c r="AAK188" s="118"/>
      <c r="AAL188" s="118"/>
      <c r="AAM188" s="118"/>
      <c r="AAN188" s="118"/>
      <c r="AAO188" s="118"/>
      <c r="AAP188" s="118"/>
      <c r="AAQ188" s="118"/>
      <c r="AAR188" s="118"/>
      <c r="AAS188" s="118"/>
      <c r="AAT188" s="118"/>
      <c r="AAU188" s="118"/>
      <c r="AAV188" s="118"/>
      <c r="AAW188" s="118"/>
      <c r="AAX188" s="118"/>
      <c r="AAY188" s="118"/>
      <c r="AAZ188" s="118"/>
      <c r="ABA188" s="118"/>
      <c r="ABB188" s="118"/>
      <c r="ABC188" s="118"/>
      <c r="ABD188" s="118"/>
      <c r="ABE188" s="118"/>
      <c r="ABF188" s="118"/>
      <c r="ABG188" s="118"/>
      <c r="ABH188" s="118"/>
      <c r="ABI188" s="118"/>
      <c r="ABJ188" s="118"/>
      <c r="ABK188" s="118"/>
      <c r="ABL188" s="118"/>
      <c r="ABM188" s="118"/>
      <c r="ABN188" s="118"/>
      <c r="ABO188" s="118"/>
      <c r="ABP188" s="118"/>
      <c r="ABQ188" s="118"/>
      <c r="ABR188" s="118"/>
      <c r="ABS188" s="118"/>
      <c r="ABT188" s="118"/>
      <c r="ABU188" s="118"/>
      <c r="ABV188" s="118"/>
      <c r="ABW188" s="118"/>
      <c r="ABX188" s="118"/>
      <c r="ABY188" s="118"/>
      <c r="ABZ188" s="118"/>
      <c r="ACA188" s="118"/>
      <c r="ACB188" s="118"/>
      <c r="ACC188" s="118"/>
      <c r="ACD188" s="118"/>
      <c r="ACE188" s="118"/>
      <c r="ACF188" s="118"/>
      <c r="ACG188" s="118"/>
      <c r="ACH188" s="118"/>
      <c r="ACI188" s="118"/>
      <c r="ACJ188" s="118"/>
      <c r="ACK188" s="118"/>
      <c r="ACL188" s="118"/>
      <c r="ACM188" s="118"/>
      <c r="ACN188" s="118"/>
      <c r="ACO188" s="118"/>
      <c r="ACP188" s="118"/>
      <c r="ACQ188" s="118"/>
      <c r="ACR188" s="118"/>
      <c r="ACS188" s="118"/>
      <c r="ACT188" s="118"/>
      <c r="ACU188" s="118"/>
      <c r="ACV188" s="118"/>
      <c r="ACW188" s="118"/>
      <c r="ACX188" s="118"/>
      <c r="ACY188" s="118"/>
      <c r="ACZ188" s="118"/>
      <c r="ADA188" s="118"/>
      <c r="ADB188" s="118"/>
      <c r="ADC188" s="118"/>
      <c r="ADD188" s="118"/>
      <c r="ADE188" s="118"/>
      <c r="ADF188" s="118"/>
      <c r="ADG188" s="118"/>
      <c r="ADH188" s="118"/>
      <c r="ADI188" s="118"/>
      <c r="ADJ188" s="118"/>
      <c r="ADK188" s="118"/>
      <c r="ADL188" s="118"/>
      <c r="ADM188" s="118"/>
      <c r="ADN188" s="118"/>
      <c r="ADO188" s="118"/>
      <c r="ADP188" s="118"/>
      <c r="ADQ188" s="118"/>
      <c r="ADR188" s="118"/>
      <c r="ADS188" s="118"/>
      <c r="ADT188" s="118"/>
      <c r="ADU188" s="118"/>
      <c r="ADV188" s="118"/>
      <c r="ADW188" s="118"/>
      <c r="ADX188" s="118"/>
      <c r="ADY188" s="118"/>
      <c r="ADZ188" s="118"/>
      <c r="AEA188" s="118"/>
      <c r="AEB188" s="118"/>
      <c r="AEC188" s="118"/>
      <c r="AED188" s="118"/>
      <c r="AEE188" s="118"/>
      <c r="AEF188" s="118"/>
      <c r="AEG188" s="118"/>
      <c r="AEH188" s="118"/>
      <c r="AEI188" s="118"/>
      <c r="AEJ188" s="118"/>
      <c r="AEK188" s="118"/>
      <c r="AEL188" s="118"/>
      <c r="AEM188" s="118"/>
      <c r="AEN188" s="118"/>
      <c r="AEO188" s="118"/>
      <c r="AEP188" s="118"/>
      <c r="AEQ188" s="118"/>
      <c r="AER188" s="118"/>
      <c r="AES188" s="118"/>
      <c r="AET188" s="118"/>
      <c r="AEU188" s="118"/>
      <c r="AEV188" s="118"/>
      <c r="AEW188" s="118"/>
      <c r="AEX188" s="118"/>
      <c r="AEY188" s="118"/>
      <c r="AEZ188" s="118"/>
      <c r="AFA188" s="118"/>
      <c r="AFB188" s="118"/>
      <c r="AFC188" s="118"/>
      <c r="AFD188" s="118"/>
      <c r="AFE188" s="118"/>
      <c r="AFF188" s="118"/>
      <c r="AFG188" s="118"/>
      <c r="AFH188" s="118"/>
      <c r="AFI188" s="118"/>
      <c r="AFJ188" s="118"/>
      <c r="AFK188" s="118"/>
      <c r="AFL188" s="118"/>
      <c r="AFM188" s="118"/>
      <c r="AFN188" s="118"/>
      <c r="AFO188" s="118"/>
      <c r="AFP188" s="118"/>
      <c r="AFQ188" s="118"/>
      <c r="AFR188" s="118"/>
      <c r="AFS188" s="118"/>
      <c r="AFT188" s="118"/>
      <c r="AFU188" s="118"/>
      <c r="AFV188" s="118"/>
      <c r="AFW188" s="118"/>
      <c r="AFX188" s="118"/>
      <c r="AFY188" s="118"/>
      <c r="AFZ188" s="118"/>
      <c r="AGA188" s="118"/>
      <c r="AGB188" s="118"/>
      <c r="AGC188" s="118"/>
      <c r="AGD188" s="118"/>
      <c r="AGE188" s="118"/>
      <c r="AGF188" s="118"/>
      <c r="AGG188" s="118"/>
      <c r="AGH188" s="118"/>
      <c r="AGI188" s="118"/>
      <c r="AGJ188" s="118"/>
      <c r="AGK188" s="118"/>
      <c r="AGL188" s="118"/>
      <c r="AGM188" s="118"/>
      <c r="AGN188" s="118"/>
      <c r="AGO188" s="118"/>
      <c r="AGP188" s="118"/>
      <c r="AGQ188" s="118"/>
      <c r="AGR188" s="118"/>
      <c r="AGS188" s="118"/>
      <c r="AGT188" s="118"/>
      <c r="AGU188" s="118"/>
      <c r="AGV188" s="118"/>
      <c r="AGW188" s="118"/>
      <c r="AGX188" s="118"/>
      <c r="AGY188" s="118"/>
      <c r="AGZ188" s="118"/>
      <c r="AHA188" s="118"/>
      <c r="AHB188" s="118"/>
      <c r="AHC188" s="118"/>
      <c r="AHD188" s="118"/>
      <c r="AHE188" s="118"/>
      <c r="AHF188" s="118"/>
      <c r="AHG188" s="118"/>
      <c r="AHH188" s="118"/>
      <c r="AHI188" s="118"/>
      <c r="AHJ188" s="118"/>
      <c r="AHK188" s="118"/>
      <c r="AHL188" s="118"/>
      <c r="AHM188" s="118"/>
      <c r="AHN188" s="118"/>
      <c r="AHO188" s="118"/>
      <c r="AHP188" s="118"/>
      <c r="AHQ188" s="118"/>
      <c r="AHR188" s="118"/>
      <c r="AHS188" s="118"/>
      <c r="AHT188" s="118"/>
      <c r="AHU188" s="118"/>
      <c r="AHV188" s="118"/>
      <c r="AHW188" s="118"/>
      <c r="AHX188" s="118"/>
      <c r="AHY188" s="118"/>
      <c r="AHZ188" s="118"/>
      <c r="AIA188" s="118"/>
      <c r="AIB188" s="118"/>
      <c r="AIC188" s="118"/>
      <c r="AID188" s="118"/>
      <c r="AIE188" s="118"/>
      <c r="AIF188" s="118"/>
      <c r="AIG188" s="118"/>
      <c r="AIH188" s="118"/>
      <c r="AII188" s="118"/>
      <c r="AIJ188" s="118"/>
      <c r="AIK188" s="118"/>
      <c r="AIL188" s="118"/>
      <c r="AIM188" s="118"/>
      <c r="AIN188" s="118"/>
      <c r="AIO188" s="118"/>
      <c r="AIP188" s="118"/>
      <c r="AIQ188" s="118"/>
      <c r="AIR188" s="118"/>
      <c r="AIS188" s="118"/>
      <c r="AIT188" s="118"/>
      <c r="AIU188" s="118"/>
      <c r="AIV188" s="118"/>
      <c r="AIW188" s="118"/>
      <c r="AIX188" s="118"/>
      <c r="AIY188" s="118"/>
      <c r="AIZ188" s="118"/>
      <c r="AJA188" s="118"/>
      <c r="AJB188" s="118"/>
      <c r="AJC188" s="118"/>
      <c r="AJD188" s="118"/>
      <c r="AJE188" s="118"/>
      <c r="AJF188" s="118"/>
      <c r="AJG188" s="118"/>
      <c r="AJH188" s="118"/>
      <c r="AJI188" s="118"/>
      <c r="AJJ188" s="118"/>
      <c r="AJK188" s="118"/>
      <c r="AJL188" s="118"/>
      <c r="AJM188" s="118"/>
      <c r="AJN188" s="118"/>
      <c r="AJO188" s="118"/>
      <c r="AJP188" s="118"/>
      <c r="AJQ188" s="118"/>
      <c r="AJR188" s="118"/>
      <c r="AJS188" s="118"/>
      <c r="AJT188" s="118"/>
      <c r="AJU188" s="118"/>
      <c r="AJV188" s="118"/>
      <c r="AJW188" s="118"/>
      <c r="AJX188" s="118"/>
      <c r="AJY188" s="118"/>
      <c r="AJZ188" s="118"/>
      <c r="AKA188" s="118"/>
      <c r="AKB188" s="118"/>
      <c r="AKC188" s="118"/>
      <c r="AKD188" s="118"/>
      <c r="AKE188" s="118"/>
      <c r="AKF188" s="118"/>
      <c r="AKG188" s="118"/>
      <c r="AKH188" s="118"/>
      <c r="AKI188" s="118"/>
      <c r="AKJ188" s="118"/>
      <c r="AKK188" s="118"/>
      <c r="AKL188" s="118"/>
      <c r="AKM188" s="118"/>
      <c r="AKN188" s="118"/>
      <c r="AKO188" s="118"/>
      <c r="AKP188" s="118"/>
      <c r="AKQ188" s="118"/>
      <c r="AKR188" s="118"/>
      <c r="AKS188" s="118"/>
      <c r="AKT188" s="118"/>
      <c r="AKU188" s="118"/>
      <c r="AKV188" s="118"/>
      <c r="AKW188" s="118"/>
      <c r="AKX188" s="118"/>
      <c r="AKY188" s="118"/>
      <c r="AKZ188" s="118"/>
      <c r="ALA188" s="118"/>
      <c r="ALB188" s="118"/>
      <c r="ALC188" s="118"/>
      <c r="ALD188" s="118"/>
      <c r="ALE188" s="118"/>
      <c r="ALF188" s="118"/>
      <c r="ALG188" s="118"/>
      <c r="ALH188" s="118"/>
      <c r="ALI188" s="118"/>
      <c r="ALJ188" s="118"/>
      <c r="ALK188" s="118"/>
      <c r="ALL188" s="118"/>
      <c r="ALM188" s="118"/>
      <c r="ALN188" s="118"/>
      <c r="ALO188" s="118"/>
      <c r="ALP188" s="118"/>
      <c r="ALQ188" s="118"/>
      <c r="ALR188" s="118"/>
      <c r="ALS188" s="118"/>
      <c r="ALT188" s="118"/>
      <c r="ALU188" s="118"/>
      <c r="ALV188" s="118"/>
      <c r="ALW188" s="118"/>
      <c r="ALX188" s="118"/>
      <c r="ALY188" s="118"/>
      <c r="ALZ188" s="118"/>
      <c r="AMA188" s="118"/>
      <c r="AMB188" s="118"/>
      <c r="AMC188" s="118"/>
      <c r="AMD188" s="118"/>
      <c r="AME188" s="118"/>
      <c r="AMF188" s="118"/>
      <c r="AMG188" s="118"/>
      <c r="AMH188" s="118"/>
      <c r="AMI188" s="118"/>
      <c r="AMJ188" s="118"/>
      <c r="AMK188" s="118"/>
      <c r="AML188" s="118"/>
      <c r="AMM188" s="118"/>
      <c r="AMN188" s="118"/>
      <c r="AMO188" s="118"/>
      <c r="AMP188" s="118"/>
    </row>
    <row r="189" spans="1:1030" s="12" customFormat="1" x14ac:dyDescent="0.2">
      <c r="A189" s="9" t="str">
        <f t="shared" si="1060"/>
        <v>calcr_human_5UZ7</v>
      </c>
      <c r="B189" s="41" t="s">
        <v>401</v>
      </c>
      <c r="C189" s="9" t="s">
        <v>1409</v>
      </c>
      <c r="D189" s="9" t="str">
        <f>IFERROR(MID(VLOOKUP($B189,Seqs!$A:$B,2,0),E189,1),"")</f>
        <v>A</v>
      </c>
      <c r="E189" s="9">
        <v>136</v>
      </c>
      <c r="F189" s="9" t="str">
        <f>IFERROR(MID(VLOOKUP($B189,Seqs!$A:$B,2,0),G189,1),"")</f>
        <v>F</v>
      </c>
      <c r="G189" s="9">
        <v>173</v>
      </c>
      <c r="H189" s="9" t="str">
        <f>IFERROR(MID(VLOOKUP($B189,Seqs!$A:$B,2,0),I189,1),"")</f>
        <v>R</v>
      </c>
      <c r="I189" s="112">
        <v>174</v>
      </c>
      <c r="J189" s="9" t="str">
        <f>IFERROR(MID(VLOOKUP($B189,Seqs!$A:$B,2,0),K189,1),"")</f>
        <v>G</v>
      </c>
      <c r="K189" s="112">
        <v>177</v>
      </c>
      <c r="L189" s="9" t="str">
        <f>IFERROR(MID(VLOOKUP($B189,Seqs!$A:$B,2,0),M189,1),"")</f>
        <v>C</v>
      </c>
      <c r="M189" s="9">
        <v>178</v>
      </c>
      <c r="N189" s="9" t="str">
        <f>IFERROR(MID(VLOOKUP($B189,Seqs!$A:$B,2,0),O189,1),"")</f>
        <v>V</v>
      </c>
      <c r="O189" s="9">
        <v>205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D</v>
      </c>
      <c r="U189" s="9">
        <v>215</v>
      </c>
      <c r="V189" s="9" t="str">
        <f>IFERROR(MID(VLOOKUP($B189,Seqs!$A:$B,2,0),W189,1),"")</f>
        <v>V</v>
      </c>
      <c r="W189" s="9">
        <v>250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R</v>
      </c>
      <c r="AC189" s="9">
        <v>258</v>
      </c>
      <c r="AD189" s="9" t="str">
        <f>IFERROR(MID(VLOOKUP($B189,Seqs!$A:$B,2,0),AE189,1),"")</f>
        <v>F</v>
      </c>
      <c r="AE189" s="9">
        <v>285</v>
      </c>
      <c r="AF189" s="9" t="str">
        <f>IFERROR(MID(VLOOKUP($B189,Seqs!$A:$B,2,0),AG189,1),"")</f>
        <v>C</v>
      </c>
      <c r="AG189" s="9">
        <v>289</v>
      </c>
      <c r="AH189" s="9" t="str">
        <f>IFERROR(MID(VLOOKUP($B189,Seqs!$A:$B,2,0),AI189,1),"")</f>
        <v>L</v>
      </c>
      <c r="AI189" s="9">
        <v>291</v>
      </c>
      <c r="AJ189" s="9" t="str">
        <f>IFERROR(MID(VLOOKUP($B189,Seqs!$A:$B,2,0),AK189,1),"")</f>
        <v>L</v>
      </c>
      <c r="AK189" s="9">
        <v>298</v>
      </c>
      <c r="AL189" s="9" t="str">
        <f>IFERROR(MID(VLOOKUP($B189,Seqs!$A:$B,2,0),AM189,1),"")</f>
        <v>R</v>
      </c>
      <c r="AM189" s="9">
        <v>328</v>
      </c>
      <c r="AN189" s="9" t="str">
        <f>IFERROR(MID(VLOOKUP($B189,Seqs!$A:$B,2,0),AO189,1),"")</f>
        <v>Y</v>
      </c>
      <c r="AO189" s="9">
        <v>338</v>
      </c>
      <c r="AP189" s="9" t="str">
        <f>IFERROR(MID(VLOOKUP($B189,Seqs!$A:$B,2,0),AQ189,1),"")</f>
        <v>P</v>
      </c>
      <c r="AQ189" s="9">
        <v>360</v>
      </c>
      <c r="AR189" s="9" t="str">
        <f>IFERROR(MID(VLOOKUP($B189,Seqs!$A:$B,2,0),AS189,1),"")</f>
        <v>K</v>
      </c>
      <c r="AS189" s="9">
        <v>366</v>
      </c>
      <c r="AT189" s="9" t="str">
        <f>IFERROR(MID(VLOOKUP($B189,Seqs!$A:$B,2,0),AU189,1),"")</f>
        <v>C</v>
      </c>
      <c r="AU189" s="9">
        <v>394</v>
      </c>
      <c r="AV189" s="9" t="str">
        <f>IFERROR(MID(VLOOKUP($B189,Seqs!$A:$B,2,0),AW189,1),"")</f>
        <v>N</v>
      </c>
      <c r="AW189" s="9">
        <v>395</v>
      </c>
      <c r="AX189" s="9" t="str">
        <f>IFERROR(MID(VLOOKUP($B189,Seqs!$A:$B,2,0),AY189,1),"")</f>
        <v>G</v>
      </c>
      <c r="AY189" s="9">
        <v>418</v>
      </c>
      <c r="AZ189" s="113" t="str">
        <f>VLOOKUP(B189,Classification!A:D,2,0)</f>
        <v>B1</v>
      </c>
      <c r="BA189" s="101" t="str">
        <f>VLOOKUP(B189,Classification!A:D,4,0)</f>
        <v>Calcitonin</v>
      </c>
      <c r="BB189" s="37" t="b">
        <f t="shared" si="1061"/>
        <v>1</v>
      </c>
      <c r="BC189" s="112">
        <f t="shared" si="1062"/>
        <v>246</v>
      </c>
      <c r="BD189" s="11" t="s">
        <v>1382</v>
      </c>
      <c r="BE189" s="9" t="s">
        <v>1297</v>
      </c>
      <c r="BF189" s="125">
        <v>4.0999999999999996</v>
      </c>
      <c r="BG189" s="52" t="s">
        <v>1384</v>
      </c>
      <c r="BH189" s="52" t="s">
        <v>1384</v>
      </c>
      <c r="BJ189" s="114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5" t="s">
        <v>1293</v>
      </c>
      <c r="BV189" s="114">
        <f t="shared" si="1063"/>
        <v>136</v>
      </c>
      <c r="BW189" s="116">
        <f t="shared" si="1064"/>
        <v>174</v>
      </c>
      <c r="BX189" s="117">
        <f t="shared" si="1065"/>
        <v>178</v>
      </c>
      <c r="BY189" s="116" t="str">
        <f t="shared" si="1066"/>
        <v>-</v>
      </c>
      <c r="BZ189" s="117">
        <f t="shared" si="1067"/>
        <v>215</v>
      </c>
      <c r="CA189" s="116" t="str">
        <f t="shared" si="1068"/>
        <v>-</v>
      </c>
      <c r="CB189" s="117">
        <f t="shared" si="1069"/>
        <v>258</v>
      </c>
      <c r="CC189" s="116">
        <f t="shared" si="1070"/>
        <v>289</v>
      </c>
      <c r="CD189" s="117">
        <f t="shared" si="1071"/>
        <v>298</v>
      </c>
      <c r="CE189" s="116">
        <f t="shared" si="1072"/>
        <v>338</v>
      </c>
      <c r="CF189" s="117">
        <f t="shared" si="1073"/>
        <v>366</v>
      </c>
      <c r="CG189" s="116">
        <f t="shared" si="1074"/>
        <v>395</v>
      </c>
      <c r="CH189" s="114">
        <f t="shared" si="1075"/>
        <v>173</v>
      </c>
      <c r="CI189" s="116">
        <f t="shared" si="1076"/>
        <v>177</v>
      </c>
      <c r="CJ189" s="117">
        <f t="shared" si="1077"/>
        <v>205</v>
      </c>
      <c r="CK189" s="117" t="str">
        <f t="shared" si="1078"/>
        <v>-</v>
      </c>
      <c r="CL189" s="117">
        <f t="shared" si="1079"/>
        <v>250</v>
      </c>
      <c r="CM189" s="117" t="str">
        <f t="shared" si="1080"/>
        <v>-</v>
      </c>
      <c r="CN189" s="117">
        <f t="shared" si="1081"/>
        <v>285</v>
      </c>
      <c r="CO189" s="117">
        <f t="shared" si="1082"/>
        <v>291</v>
      </c>
      <c r="CP189" s="117">
        <f t="shared" si="1083"/>
        <v>328</v>
      </c>
      <c r="CQ189" s="117">
        <f t="shared" si="1084"/>
        <v>360</v>
      </c>
      <c r="CR189" s="117">
        <f t="shared" si="1085"/>
        <v>394</v>
      </c>
      <c r="CS189" s="117">
        <f t="shared" si="1086"/>
        <v>418</v>
      </c>
      <c r="CT189" s="112">
        <f t="shared" si="1087"/>
        <v>1</v>
      </c>
      <c r="CU189" s="118"/>
      <c r="CV189" s="118"/>
      <c r="CW189" s="118"/>
      <c r="CX189" s="118"/>
      <c r="CY189" s="118"/>
      <c r="CZ189" s="118"/>
      <c r="DA189" s="118"/>
      <c r="DB189" s="118"/>
      <c r="DC189" s="118"/>
      <c r="DD189" s="118"/>
      <c r="DE189" s="118"/>
      <c r="DF189" s="118"/>
      <c r="DG189" s="118"/>
      <c r="DH189" s="118"/>
      <c r="DI189" s="118"/>
      <c r="DJ189" s="118"/>
      <c r="DK189" s="118"/>
      <c r="DL189" s="118"/>
      <c r="DM189" s="118"/>
      <c r="DN189" s="118"/>
      <c r="DO189" s="118"/>
      <c r="DP189" s="118"/>
      <c r="DQ189" s="118"/>
      <c r="DR189" s="118"/>
      <c r="DS189" s="118"/>
      <c r="DT189" s="118"/>
      <c r="DU189" s="118"/>
      <c r="DV189" s="118"/>
      <c r="DW189" s="118"/>
      <c r="DX189" s="118"/>
      <c r="DY189" s="118"/>
      <c r="DZ189" s="118"/>
      <c r="EA189" s="118"/>
      <c r="EB189" s="118"/>
      <c r="EC189" s="118"/>
      <c r="ED189" s="118"/>
      <c r="EE189" s="118"/>
      <c r="EF189" s="118"/>
      <c r="EG189" s="118"/>
      <c r="EH189" s="118"/>
      <c r="EI189" s="118"/>
      <c r="EJ189" s="118"/>
      <c r="EK189" s="118"/>
      <c r="EL189" s="118"/>
      <c r="EM189" s="118"/>
      <c r="EN189" s="118"/>
      <c r="EO189" s="118"/>
      <c r="EP189" s="118"/>
      <c r="EQ189" s="118"/>
      <c r="ER189" s="118"/>
      <c r="ES189" s="118"/>
      <c r="ET189" s="118"/>
      <c r="EU189" s="118"/>
      <c r="EV189" s="118"/>
      <c r="EW189" s="118"/>
      <c r="EX189" s="118"/>
      <c r="EY189" s="118"/>
      <c r="EZ189" s="118"/>
      <c r="FA189" s="118"/>
      <c r="FB189" s="118"/>
      <c r="FC189" s="118"/>
      <c r="FD189" s="118"/>
      <c r="FE189" s="118"/>
      <c r="FF189" s="118"/>
      <c r="FG189" s="118"/>
      <c r="FH189" s="118"/>
      <c r="FI189" s="118"/>
      <c r="FJ189" s="118"/>
      <c r="FK189" s="118"/>
      <c r="FL189" s="118"/>
      <c r="FM189" s="118"/>
      <c r="FN189" s="118"/>
      <c r="FO189" s="118"/>
      <c r="FP189" s="118"/>
      <c r="FQ189" s="118"/>
      <c r="FR189" s="118"/>
      <c r="FS189" s="118"/>
      <c r="FT189" s="118"/>
      <c r="FU189" s="118"/>
      <c r="FV189" s="118"/>
      <c r="FW189" s="118"/>
      <c r="FX189" s="118"/>
      <c r="FY189" s="118"/>
      <c r="FZ189" s="118"/>
      <c r="GA189" s="118"/>
      <c r="GB189" s="118"/>
      <c r="GC189" s="118"/>
      <c r="GD189" s="118"/>
      <c r="GE189" s="118"/>
      <c r="GF189" s="118"/>
      <c r="GG189" s="118"/>
      <c r="GH189" s="118"/>
      <c r="GI189" s="118"/>
      <c r="GJ189" s="118"/>
      <c r="GK189" s="118"/>
      <c r="GL189" s="118"/>
      <c r="GM189" s="118"/>
      <c r="GN189" s="118"/>
      <c r="GO189" s="118"/>
      <c r="GP189" s="118"/>
      <c r="GQ189" s="118"/>
      <c r="GR189" s="118"/>
      <c r="GS189" s="118"/>
      <c r="GT189" s="118"/>
      <c r="GU189" s="118"/>
      <c r="GV189" s="118"/>
      <c r="GW189" s="118"/>
      <c r="GX189" s="118"/>
      <c r="GY189" s="118"/>
      <c r="GZ189" s="118"/>
      <c r="HA189" s="118"/>
      <c r="HB189" s="118"/>
      <c r="HC189" s="118"/>
      <c r="HD189" s="118"/>
      <c r="HE189" s="118"/>
      <c r="HF189" s="118"/>
      <c r="HG189" s="118"/>
      <c r="HH189" s="118"/>
      <c r="HI189" s="118"/>
      <c r="HJ189" s="118"/>
      <c r="HK189" s="118"/>
      <c r="HL189" s="118"/>
      <c r="HM189" s="118"/>
      <c r="HN189" s="118"/>
      <c r="HO189" s="118"/>
      <c r="HP189" s="118"/>
      <c r="HQ189" s="118"/>
      <c r="HR189" s="118"/>
      <c r="HS189" s="118"/>
      <c r="HT189" s="118"/>
      <c r="HU189" s="118"/>
      <c r="HV189" s="118"/>
      <c r="HW189" s="118"/>
      <c r="HX189" s="118"/>
      <c r="HY189" s="118"/>
      <c r="HZ189" s="118"/>
      <c r="IA189" s="118"/>
      <c r="IB189" s="118"/>
      <c r="IC189" s="118"/>
      <c r="ID189" s="118"/>
      <c r="IE189" s="118"/>
      <c r="IF189" s="118"/>
      <c r="IG189" s="118"/>
      <c r="IH189" s="118"/>
      <c r="II189" s="118"/>
      <c r="IJ189" s="118"/>
      <c r="IK189" s="118"/>
      <c r="IL189" s="118"/>
      <c r="IM189" s="118"/>
      <c r="IN189" s="118"/>
      <c r="IO189" s="118"/>
      <c r="IP189" s="118"/>
      <c r="IQ189" s="118"/>
      <c r="IR189" s="118"/>
      <c r="IS189" s="118"/>
      <c r="IT189" s="118"/>
      <c r="IU189" s="118"/>
      <c r="IV189" s="118"/>
      <c r="IW189" s="118"/>
      <c r="IX189" s="118"/>
      <c r="IY189" s="118"/>
      <c r="IZ189" s="118"/>
      <c r="JA189" s="118"/>
      <c r="JB189" s="118"/>
      <c r="JC189" s="118"/>
      <c r="JD189" s="118"/>
      <c r="JE189" s="118"/>
      <c r="JF189" s="118"/>
      <c r="JG189" s="118"/>
      <c r="JH189" s="118"/>
      <c r="JI189" s="118"/>
      <c r="JJ189" s="118"/>
      <c r="JK189" s="118"/>
      <c r="JL189" s="118"/>
      <c r="JM189" s="118"/>
      <c r="JN189" s="118"/>
      <c r="JO189" s="118"/>
      <c r="JP189" s="118"/>
      <c r="JQ189" s="118"/>
      <c r="JR189" s="118"/>
      <c r="JS189" s="118"/>
      <c r="JT189" s="118"/>
      <c r="JU189" s="118"/>
      <c r="JV189" s="118"/>
      <c r="JW189" s="118"/>
      <c r="JX189" s="118"/>
      <c r="JY189" s="118"/>
      <c r="JZ189" s="118"/>
      <c r="KA189" s="118"/>
      <c r="KB189" s="118"/>
      <c r="KC189" s="118"/>
      <c r="KD189" s="118"/>
      <c r="KE189" s="118"/>
      <c r="KF189" s="118"/>
      <c r="KG189" s="118"/>
      <c r="KH189" s="118"/>
      <c r="KI189" s="118"/>
      <c r="KJ189" s="118"/>
      <c r="KK189" s="118"/>
      <c r="KL189" s="118"/>
      <c r="KM189" s="118"/>
      <c r="KN189" s="118"/>
      <c r="KO189" s="118"/>
      <c r="KP189" s="118"/>
      <c r="KQ189" s="118"/>
      <c r="KR189" s="118"/>
      <c r="KS189" s="118"/>
      <c r="KT189" s="118"/>
      <c r="KU189" s="118"/>
      <c r="KV189" s="118"/>
      <c r="KW189" s="118"/>
      <c r="KX189" s="118"/>
      <c r="KY189" s="118"/>
      <c r="KZ189" s="118"/>
      <c r="LA189" s="118"/>
      <c r="LB189" s="118"/>
      <c r="LC189" s="118"/>
      <c r="LD189" s="118"/>
      <c r="LE189" s="118"/>
      <c r="LF189" s="118"/>
      <c r="LG189" s="118"/>
      <c r="LH189" s="118"/>
      <c r="LI189" s="118"/>
      <c r="LJ189" s="118"/>
      <c r="LK189" s="118"/>
      <c r="LL189" s="118"/>
      <c r="LM189" s="118"/>
      <c r="LN189" s="118"/>
      <c r="LO189" s="118"/>
      <c r="LP189" s="118"/>
      <c r="LQ189" s="118"/>
      <c r="LR189" s="118"/>
      <c r="LS189" s="118"/>
      <c r="LT189" s="118"/>
      <c r="LU189" s="118"/>
      <c r="LV189" s="118"/>
      <c r="LW189" s="118"/>
      <c r="LX189" s="118"/>
      <c r="LY189" s="118"/>
      <c r="LZ189" s="118"/>
      <c r="MA189" s="118"/>
      <c r="MB189" s="118"/>
      <c r="MC189" s="118"/>
      <c r="MD189" s="118"/>
      <c r="ME189" s="118"/>
      <c r="MF189" s="118"/>
      <c r="MG189" s="118"/>
      <c r="MH189" s="118"/>
      <c r="MI189" s="118"/>
      <c r="MJ189" s="118"/>
      <c r="MK189" s="118"/>
      <c r="ML189" s="118"/>
      <c r="MM189" s="118"/>
      <c r="MN189" s="118"/>
      <c r="MO189" s="118"/>
      <c r="MP189" s="118"/>
      <c r="MQ189" s="118"/>
      <c r="MR189" s="118"/>
      <c r="MS189" s="118"/>
      <c r="MT189" s="118"/>
      <c r="MU189" s="118"/>
      <c r="MV189" s="118"/>
      <c r="MW189" s="118"/>
      <c r="MX189" s="118"/>
      <c r="MY189" s="118"/>
      <c r="MZ189" s="118"/>
      <c r="NA189" s="118"/>
      <c r="NB189" s="118"/>
      <c r="NC189" s="118"/>
      <c r="ND189" s="118"/>
      <c r="NE189" s="118"/>
      <c r="NF189" s="118"/>
      <c r="NG189" s="118"/>
      <c r="NH189" s="118"/>
      <c r="NI189" s="118"/>
      <c r="NJ189" s="118"/>
      <c r="NK189" s="118"/>
      <c r="NL189" s="118"/>
      <c r="NM189" s="118"/>
      <c r="NN189" s="118"/>
      <c r="NO189" s="118"/>
      <c r="NP189" s="118"/>
      <c r="NQ189" s="118"/>
      <c r="NR189" s="118"/>
      <c r="NS189" s="118"/>
      <c r="NT189" s="118"/>
      <c r="NU189" s="118"/>
      <c r="NV189" s="118"/>
      <c r="NW189" s="118"/>
      <c r="NX189" s="118"/>
      <c r="NY189" s="118"/>
      <c r="NZ189" s="118"/>
      <c r="OA189" s="118"/>
      <c r="OB189" s="118"/>
      <c r="OC189" s="118"/>
      <c r="OD189" s="118"/>
      <c r="OE189" s="118"/>
      <c r="OF189" s="118"/>
      <c r="OG189" s="118"/>
      <c r="OH189" s="118"/>
      <c r="OI189" s="118"/>
      <c r="OJ189" s="118"/>
      <c r="OK189" s="118"/>
      <c r="OL189" s="118"/>
      <c r="OM189" s="118"/>
      <c r="ON189" s="118"/>
      <c r="OO189" s="118"/>
      <c r="OP189" s="118"/>
      <c r="OQ189" s="118"/>
      <c r="OR189" s="118"/>
      <c r="OS189" s="118"/>
      <c r="OT189" s="118"/>
      <c r="OU189" s="118"/>
      <c r="OV189" s="118"/>
      <c r="OW189" s="118"/>
      <c r="OX189" s="118"/>
      <c r="OY189" s="118"/>
      <c r="OZ189" s="118"/>
      <c r="PA189" s="118"/>
      <c r="PB189" s="118"/>
      <c r="PC189" s="118"/>
      <c r="PD189" s="118"/>
      <c r="PE189" s="118"/>
      <c r="PF189" s="118"/>
      <c r="PG189" s="118"/>
      <c r="PH189" s="118"/>
      <c r="PI189" s="118"/>
      <c r="PJ189" s="118"/>
      <c r="PK189" s="118"/>
      <c r="PL189" s="118"/>
      <c r="PM189" s="118"/>
      <c r="PN189" s="118"/>
      <c r="PO189" s="118"/>
      <c r="PP189" s="118"/>
      <c r="PQ189" s="118"/>
      <c r="PR189" s="118"/>
      <c r="PS189" s="118"/>
      <c r="PT189" s="118"/>
      <c r="PU189" s="118"/>
      <c r="PV189" s="118"/>
      <c r="PW189" s="118"/>
      <c r="PX189" s="118"/>
      <c r="PY189" s="118"/>
      <c r="PZ189" s="118"/>
      <c r="QA189" s="118"/>
      <c r="QB189" s="118"/>
      <c r="QC189" s="118"/>
      <c r="QD189" s="118"/>
      <c r="QE189" s="118"/>
      <c r="QF189" s="118"/>
      <c r="QG189" s="118"/>
      <c r="QH189" s="118"/>
      <c r="QI189" s="118"/>
      <c r="QJ189" s="118"/>
      <c r="QK189" s="118"/>
      <c r="QL189" s="118"/>
      <c r="QM189" s="118"/>
      <c r="QN189" s="118"/>
      <c r="QO189" s="118"/>
      <c r="QP189" s="118"/>
      <c r="QQ189" s="118"/>
      <c r="QR189" s="118"/>
      <c r="QS189" s="118"/>
      <c r="QT189" s="118"/>
      <c r="QU189" s="118"/>
      <c r="QV189" s="118"/>
      <c r="QW189" s="118"/>
      <c r="QX189" s="118"/>
      <c r="QY189" s="118"/>
      <c r="QZ189" s="118"/>
      <c r="RA189" s="118"/>
      <c r="RB189" s="118"/>
      <c r="RC189" s="118"/>
      <c r="RD189" s="118"/>
      <c r="RE189" s="118"/>
      <c r="RF189" s="118"/>
      <c r="RG189" s="118"/>
      <c r="RH189" s="118"/>
      <c r="RI189" s="118"/>
      <c r="RJ189" s="118"/>
      <c r="RK189" s="118"/>
      <c r="RL189" s="118"/>
      <c r="RM189" s="118"/>
      <c r="RN189" s="118"/>
      <c r="RO189" s="118"/>
      <c r="RP189" s="118"/>
      <c r="RQ189" s="118"/>
      <c r="RR189" s="118"/>
      <c r="RS189" s="118"/>
      <c r="RT189" s="118"/>
      <c r="RU189" s="118"/>
      <c r="RV189" s="118"/>
      <c r="RW189" s="118"/>
      <c r="RX189" s="118"/>
      <c r="RY189" s="118"/>
      <c r="RZ189" s="118"/>
      <c r="SA189" s="118"/>
      <c r="SB189" s="118"/>
      <c r="SC189" s="118"/>
      <c r="SD189" s="118"/>
      <c r="SE189" s="118"/>
      <c r="SF189" s="118"/>
      <c r="SG189" s="118"/>
      <c r="SH189" s="118"/>
      <c r="SI189" s="118"/>
      <c r="SJ189" s="118"/>
      <c r="SK189" s="118"/>
      <c r="SL189" s="118"/>
      <c r="SM189" s="118"/>
      <c r="SN189" s="118"/>
      <c r="SO189" s="118"/>
      <c r="SP189" s="118"/>
      <c r="SQ189" s="118"/>
      <c r="SR189" s="118"/>
      <c r="SS189" s="118"/>
      <c r="ST189" s="118"/>
      <c r="SU189" s="118"/>
      <c r="SV189" s="118"/>
      <c r="SW189" s="118"/>
      <c r="SX189" s="118"/>
      <c r="SY189" s="118"/>
      <c r="SZ189" s="118"/>
      <c r="TA189" s="118"/>
      <c r="TB189" s="118"/>
      <c r="TC189" s="118"/>
      <c r="TD189" s="118"/>
      <c r="TE189" s="118"/>
      <c r="TF189" s="118"/>
      <c r="TG189" s="118"/>
      <c r="TH189" s="118"/>
      <c r="TI189" s="118"/>
      <c r="TJ189" s="118"/>
      <c r="TK189" s="118"/>
      <c r="TL189" s="118"/>
      <c r="TM189" s="118"/>
      <c r="TN189" s="118"/>
      <c r="TO189" s="118"/>
      <c r="TP189" s="118"/>
      <c r="TQ189" s="118"/>
      <c r="TR189" s="118"/>
      <c r="TS189" s="118"/>
      <c r="TT189" s="118"/>
      <c r="TU189" s="118"/>
      <c r="TV189" s="118"/>
      <c r="TW189" s="118"/>
      <c r="TX189" s="118"/>
      <c r="TY189" s="118"/>
      <c r="TZ189" s="118"/>
      <c r="UA189" s="118"/>
      <c r="UB189" s="118"/>
      <c r="UC189" s="118"/>
      <c r="UD189" s="118"/>
      <c r="UE189" s="118"/>
      <c r="UF189" s="118"/>
      <c r="UG189" s="118"/>
      <c r="UH189" s="118"/>
      <c r="UI189" s="118"/>
      <c r="UJ189" s="118"/>
      <c r="UK189" s="118"/>
      <c r="UL189" s="118"/>
      <c r="UM189" s="118"/>
      <c r="UN189" s="118"/>
      <c r="UO189" s="118"/>
      <c r="UP189" s="118"/>
      <c r="UQ189" s="118"/>
      <c r="UR189" s="118"/>
      <c r="US189" s="118"/>
      <c r="UT189" s="118"/>
      <c r="UU189" s="118"/>
      <c r="UV189" s="118"/>
      <c r="UW189" s="118"/>
      <c r="UX189" s="118"/>
      <c r="UY189" s="118"/>
      <c r="UZ189" s="118"/>
      <c r="VA189" s="118"/>
      <c r="VB189" s="118"/>
      <c r="VC189" s="118"/>
      <c r="VD189" s="118"/>
      <c r="VE189" s="118"/>
      <c r="VF189" s="118"/>
      <c r="VG189" s="118"/>
      <c r="VH189" s="118"/>
      <c r="VI189" s="118"/>
      <c r="VJ189" s="118"/>
      <c r="VK189" s="118"/>
      <c r="VL189" s="118"/>
      <c r="VM189" s="118"/>
      <c r="VN189" s="118"/>
      <c r="VO189" s="118"/>
      <c r="VP189" s="118"/>
      <c r="VQ189" s="118"/>
      <c r="VR189" s="118"/>
      <c r="VS189" s="118"/>
      <c r="VT189" s="118"/>
      <c r="VU189" s="118"/>
      <c r="VV189" s="118"/>
      <c r="VW189" s="118"/>
      <c r="VX189" s="118"/>
      <c r="VY189" s="118"/>
      <c r="VZ189" s="118"/>
      <c r="WA189" s="118"/>
      <c r="WB189" s="118"/>
      <c r="WC189" s="118"/>
      <c r="WD189" s="118"/>
      <c r="WE189" s="118"/>
      <c r="WF189" s="118"/>
      <c r="WG189" s="118"/>
      <c r="WH189" s="118"/>
      <c r="WI189" s="118"/>
      <c r="WJ189" s="118"/>
      <c r="WK189" s="118"/>
      <c r="WL189" s="118"/>
      <c r="WM189" s="118"/>
      <c r="WN189" s="118"/>
      <c r="WO189" s="118"/>
      <c r="WP189" s="118"/>
      <c r="WQ189" s="118"/>
      <c r="WR189" s="118"/>
      <c r="WS189" s="118"/>
      <c r="WT189" s="118"/>
      <c r="WU189" s="118"/>
      <c r="WV189" s="118"/>
      <c r="WW189" s="118"/>
      <c r="WX189" s="118"/>
      <c r="WY189" s="118"/>
      <c r="WZ189" s="118"/>
      <c r="XA189" s="118"/>
      <c r="XB189" s="118"/>
      <c r="XC189" s="118"/>
      <c r="XD189" s="118"/>
      <c r="XE189" s="118"/>
      <c r="XF189" s="118"/>
      <c r="XG189" s="118"/>
      <c r="XH189" s="118"/>
      <c r="XI189" s="118"/>
      <c r="XJ189" s="118"/>
      <c r="XK189" s="118"/>
      <c r="XL189" s="118"/>
      <c r="XM189" s="118"/>
      <c r="XN189" s="118"/>
      <c r="XO189" s="118"/>
      <c r="XP189" s="118"/>
      <c r="XQ189" s="118"/>
      <c r="XR189" s="118"/>
      <c r="XS189" s="118"/>
      <c r="XT189" s="118"/>
      <c r="XU189" s="118"/>
      <c r="XV189" s="118"/>
      <c r="XW189" s="118"/>
      <c r="XX189" s="118"/>
      <c r="XY189" s="118"/>
      <c r="XZ189" s="118"/>
      <c r="YA189" s="118"/>
      <c r="YB189" s="118"/>
      <c r="YC189" s="118"/>
      <c r="YD189" s="118"/>
      <c r="YE189" s="118"/>
      <c r="YF189" s="118"/>
      <c r="YG189" s="118"/>
      <c r="YH189" s="118"/>
      <c r="YI189" s="118"/>
      <c r="YJ189" s="118"/>
      <c r="YK189" s="118"/>
      <c r="YL189" s="118"/>
      <c r="YM189" s="118"/>
      <c r="YN189" s="118"/>
      <c r="YO189" s="118"/>
      <c r="YP189" s="118"/>
      <c r="YQ189" s="118"/>
      <c r="YR189" s="118"/>
      <c r="YS189" s="118"/>
      <c r="YT189" s="118"/>
      <c r="YU189" s="118"/>
      <c r="YV189" s="118"/>
      <c r="YW189" s="118"/>
      <c r="YX189" s="118"/>
      <c r="YY189" s="118"/>
      <c r="YZ189" s="118"/>
      <c r="ZA189" s="118"/>
      <c r="ZB189" s="118"/>
      <c r="ZC189" s="118"/>
      <c r="ZD189" s="118"/>
      <c r="ZE189" s="118"/>
      <c r="ZF189" s="118"/>
      <c r="ZG189" s="118"/>
      <c r="ZH189" s="118"/>
      <c r="ZI189" s="118"/>
      <c r="ZJ189" s="118"/>
      <c r="ZK189" s="118"/>
      <c r="ZL189" s="118"/>
      <c r="ZM189" s="118"/>
      <c r="ZN189" s="118"/>
      <c r="ZO189" s="118"/>
      <c r="ZP189" s="118"/>
      <c r="ZQ189" s="118"/>
      <c r="ZR189" s="118"/>
      <c r="ZS189" s="118"/>
      <c r="ZT189" s="118"/>
      <c r="ZU189" s="118"/>
      <c r="ZV189" s="118"/>
      <c r="ZW189" s="118"/>
      <c r="ZX189" s="118"/>
      <c r="ZY189" s="118"/>
      <c r="ZZ189" s="118"/>
      <c r="AAA189" s="118"/>
      <c r="AAB189" s="118"/>
      <c r="AAC189" s="118"/>
      <c r="AAD189" s="118"/>
      <c r="AAE189" s="118"/>
      <c r="AAF189" s="118"/>
      <c r="AAG189" s="118"/>
      <c r="AAH189" s="118"/>
      <c r="AAI189" s="118"/>
      <c r="AAJ189" s="118"/>
      <c r="AAK189" s="118"/>
      <c r="AAL189" s="118"/>
      <c r="AAM189" s="118"/>
      <c r="AAN189" s="118"/>
      <c r="AAO189" s="118"/>
      <c r="AAP189" s="118"/>
      <c r="AAQ189" s="118"/>
      <c r="AAR189" s="118"/>
      <c r="AAS189" s="118"/>
      <c r="AAT189" s="118"/>
      <c r="AAU189" s="118"/>
      <c r="AAV189" s="118"/>
      <c r="AAW189" s="118"/>
      <c r="AAX189" s="118"/>
      <c r="AAY189" s="118"/>
      <c r="AAZ189" s="118"/>
      <c r="ABA189" s="118"/>
      <c r="ABB189" s="118"/>
      <c r="ABC189" s="118"/>
      <c r="ABD189" s="118"/>
      <c r="ABE189" s="118"/>
      <c r="ABF189" s="118"/>
      <c r="ABG189" s="118"/>
      <c r="ABH189" s="118"/>
      <c r="ABI189" s="118"/>
      <c r="ABJ189" s="118"/>
      <c r="ABK189" s="118"/>
      <c r="ABL189" s="118"/>
      <c r="ABM189" s="118"/>
      <c r="ABN189" s="118"/>
      <c r="ABO189" s="118"/>
      <c r="ABP189" s="118"/>
      <c r="ABQ189" s="118"/>
      <c r="ABR189" s="118"/>
      <c r="ABS189" s="118"/>
      <c r="ABT189" s="118"/>
      <c r="ABU189" s="118"/>
      <c r="ABV189" s="118"/>
      <c r="ABW189" s="118"/>
      <c r="ABX189" s="118"/>
      <c r="ABY189" s="118"/>
      <c r="ABZ189" s="118"/>
      <c r="ACA189" s="118"/>
      <c r="ACB189" s="118"/>
      <c r="ACC189" s="118"/>
      <c r="ACD189" s="118"/>
      <c r="ACE189" s="118"/>
      <c r="ACF189" s="118"/>
      <c r="ACG189" s="118"/>
      <c r="ACH189" s="118"/>
      <c r="ACI189" s="118"/>
      <c r="ACJ189" s="118"/>
      <c r="ACK189" s="118"/>
      <c r="ACL189" s="118"/>
      <c r="ACM189" s="118"/>
      <c r="ACN189" s="118"/>
      <c r="ACO189" s="118"/>
      <c r="ACP189" s="118"/>
      <c r="ACQ189" s="118"/>
      <c r="ACR189" s="118"/>
      <c r="ACS189" s="118"/>
      <c r="ACT189" s="118"/>
      <c r="ACU189" s="118"/>
      <c r="ACV189" s="118"/>
      <c r="ACW189" s="118"/>
      <c r="ACX189" s="118"/>
      <c r="ACY189" s="118"/>
      <c r="ACZ189" s="118"/>
      <c r="ADA189" s="118"/>
      <c r="ADB189" s="118"/>
      <c r="ADC189" s="118"/>
      <c r="ADD189" s="118"/>
      <c r="ADE189" s="118"/>
      <c r="ADF189" s="118"/>
      <c r="ADG189" s="118"/>
      <c r="ADH189" s="118"/>
      <c r="ADI189" s="118"/>
      <c r="ADJ189" s="118"/>
      <c r="ADK189" s="118"/>
      <c r="ADL189" s="118"/>
      <c r="ADM189" s="118"/>
      <c r="ADN189" s="118"/>
      <c r="ADO189" s="118"/>
      <c r="ADP189" s="118"/>
      <c r="ADQ189" s="118"/>
      <c r="ADR189" s="118"/>
      <c r="ADS189" s="118"/>
      <c r="ADT189" s="118"/>
      <c r="ADU189" s="118"/>
      <c r="ADV189" s="118"/>
      <c r="ADW189" s="118"/>
      <c r="ADX189" s="118"/>
      <c r="ADY189" s="118"/>
      <c r="ADZ189" s="118"/>
      <c r="AEA189" s="118"/>
      <c r="AEB189" s="118"/>
      <c r="AEC189" s="118"/>
      <c r="AED189" s="118"/>
      <c r="AEE189" s="118"/>
      <c r="AEF189" s="118"/>
      <c r="AEG189" s="118"/>
      <c r="AEH189" s="118"/>
      <c r="AEI189" s="118"/>
      <c r="AEJ189" s="118"/>
      <c r="AEK189" s="118"/>
      <c r="AEL189" s="118"/>
      <c r="AEM189" s="118"/>
      <c r="AEN189" s="118"/>
      <c r="AEO189" s="118"/>
      <c r="AEP189" s="118"/>
      <c r="AEQ189" s="118"/>
      <c r="AER189" s="118"/>
      <c r="AES189" s="118"/>
      <c r="AET189" s="118"/>
      <c r="AEU189" s="118"/>
      <c r="AEV189" s="118"/>
      <c r="AEW189" s="118"/>
      <c r="AEX189" s="118"/>
      <c r="AEY189" s="118"/>
      <c r="AEZ189" s="118"/>
      <c r="AFA189" s="118"/>
      <c r="AFB189" s="118"/>
      <c r="AFC189" s="118"/>
      <c r="AFD189" s="118"/>
      <c r="AFE189" s="118"/>
      <c r="AFF189" s="118"/>
      <c r="AFG189" s="118"/>
      <c r="AFH189" s="118"/>
      <c r="AFI189" s="118"/>
      <c r="AFJ189" s="118"/>
      <c r="AFK189" s="118"/>
      <c r="AFL189" s="118"/>
      <c r="AFM189" s="118"/>
      <c r="AFN189" s="118"/>
      <c r="AFO189" s="118"/>
      <c r="AFP189" s="118"/>
      <c r="AFQ189" s="118"/>
      <c r="AFR189" s="118"/>
      <c r="AFS189" s="118"/>
      <c r="AFT189" s="118"/>
      <c r="AFU189" s="118"/>
      <c r="AFV189" s="118"/>
      <c r="AFW189" s="118"/>
      <c r="AFX189" s="118"/>
      <c r="AFY189" s="118"/>
      <c r="AFZ189" s="118"/>
      <c r="AGA189" s="118"/>
      <c r="AGB189" s="118"/>
      <c r="AGC189" s="118"/>
      <c r="AGD189" s="118"/>
      <c r="AGE189" s="118"/>
      <c r="AGF189" s="118"/>
      <c r="AGG189" s="118"/>
      <c r="AGH189" s="118"/>
      <c r="AGI189" s="118"/>
      <c r="AGJ189" s="118"/>
      <c r="AGK189" s="118"/>
      <c r="AGL189" s="118"/>
      <c r="AGM189" s="118"/>
      <c r="AGN189" s="118"/>
      <c r="AGO189" s="118"/>
      <c r="AGP189" s="118"/>
      <c r="AGQ189" s="118"/>
      <c r="AGR189" s="118"/>
      <c r="AGS189" s="118"/>
      <c r="AGT189" s="118"/>
      <c r="AGU189" s="118"/>
      <c r="AGV189" s="118"/>
      <c r="AGW189" s="118"/>
      <c r="AGX189" s="118"/>
      <c r="AGY189" s="118"/>
      <c r="AGZ189" s="118"/>
      <c r="AHA189" s="118"/>
      <c r="AHB189" s="118"/>
      <c r="AHC189" s="118"/>
      <c r="AHD189" s="118"/>
      <c r="AHE189" s="118"/>
      <c r="AHF189" s="118"/>
      <c r="AHG189" s="118"/>
      <c r="AHH189" s="118"/>
      <c r="AHI189" s="118"/>
      <c r="AHJ189" s="118"/>
      <c r="AHK189" s="118"/>
      <c r="AHL189" s="118"/>
      <c r="AHM189" s="118"/>
      <c r="AHN189" s="118"/>
      <c r="AHO189" s="118"/>
      <c r="AHP189" s="118"/>
      <c r="AHQ189" s="118"/>
      <c r="AHR189" s="118"/>
      <c r="AHS189" s="118"/>
      <c r="AHT189" s="118"/>
      <c r="AHU189" s="118"/>
      <c r="AHV189" s="118"/>
      <c r="AHW189" s="118"/>
      <c r="AHX189" s="118"/>
      <c r="AHY189" s="118"/>
      <c r="AHZ189" s="118"/>
      <c r="AIA189" s="118"/>
      <c r="AIB189" s="118"/>
      <c r="AIC189" s="118"/>
      <c r="AID189" s="118"/>
      <c r="AIE189" s="118"/>
      <c r="AIF189" s="118"/>
      <c r="AIG189" s="118"/>
      <c r="AIH189" s="118"/>
      <c r="AII189" s="118"/>
      <c r="AIJ189" s="118"/>
      <c r="AIK189" s="118"/>
      <c r="AIL189" s="118"/>
      <c r="AIM189" s="118"/>
      <c r="AIN189" s="118"/>
      <c r="AIO189" s="118"/>
      <c r="AIP189" s="118"/>
      <c r="AIQ189" s="118"/>
      <c r="AIR189" s="118"/>
      <c r="AIS189" s="118"/>
      <c r="AIT189" s="118"/>
      <c r="AIU189" s="118"/>
      <c r="AIV189" s="118"/>
      <c r="AIW189" s="118"/>
      <c r="AIX189" s="118"/>
      <c r="AIY189" s="118"/>
      <c r="AIZ189" s="118"/>
      <c r="AJA189" s="118"/>
      <c r="AJB189" s="118"/>
      <c r="AJC189" s="118"/>
      <c r="AJD189" s="118"/>
      <c r="AJE189" s="118"/>
      <c r="AJF189" s="118"/>
      <c r="AJG189" s="118"/>
      <c r="AJH189" s="118"/>
      <c r="AJI189" s="118"/>
      <c r="AJJ189" s="118"/>
      <c r="AJK189" s="118"/>
      <c r="AJL189" s="118"/>
      <c r="AJM189" s="118"/>
      <c r="AJN189" s="118"/>
      <c r="AJO189" s="118"/>
      <c r="AJP189" s="118"/>
      <c r="AJQ189" s="118"/>
      <c r="AJR189" s="118"/>
      <c r="AJS189" s="118"/>
      <c r="AJT189" s="118"/>
      <c r="AJU189" s="118"/>
      <c r="AJV189" s="118"/>
      <c r="AJW189" s="118"/>
      <c r="AJX189" s="118"/>
      <c r="AJY189" s="118"/>
      <c r="AJZ189" s="118"/>
      <c r="AKA189" s="118"/>
      <c r="AKB189" s="118"/>
      <c r="AKC189" s="118"/>
      <c r="AKD189" s="118"/>
      <c r="AKE189" s="118"/>
      <c r="AKF189" s="118"/>
      <c r="AKG189" s="118"/>
      <c r="AKH189" s="118"/>
      <c r="AKI189" s="118"/>
      <c r="AKJ189" s="118"/>
      <c r="AKK189" s="118"/>
      <c r="AKL189" s="118"/>
      <c r="AKM189" s="118"/>
      <c r="AKN189" s="118"/>
      <c r="AKO189" s="118"/>
      <c r="AKP189" s="118"/>
      <c r="AKQ189" s="118"/>
      <c r="AKR189" s="118"/>
      <c r="AKS189" s="118"/>
      <c r="AKT189" s="118"/>
      <c r="AKU189" s="118"/>
      <c r="AKV189" s="118"/>
      <c r="AKW189" s="118"/>
      <c r="AKX189" s="118"/>
      <c r="AKY189" s="118"/>
      <c r="AKZ189" s="118"/>
      <c r="ALA189" s="118"/>
      <c r="ALB189" s="118"/>
      <c r="ALC189" s="118"/>
      <c r="ALD189" s="118"/>
      <c r="ALE189" s="118"/>
      <c r="ALF189" s="118"/>
      <c r="ALG189" s="118"/>
      <c r="ALH189" s="118"/>
      <c r="ALI189" s="118"/>
      <c r="ALJ189" s="118"/>
      <c r="ALK189" s="118"/>
      <c r="ALL189" s="118"/>
      <c r="ALM189" s="118"/>
      <c r="ALN189" s="118"/>
      <c r="ALO189" s="118"/>
      <c r="ALP189" s="118"/>
      <c r="ALQ189" s="118"/>
      <c r="ALR189" s="118"/>
      <c r="ALS189" s="118"/>
      <c r="ALT189" s="118"/>
      <c r="ALU189" s="118"/>
      <c r="ALV189" s="118"/>
      <c r="ALW189" s="118"/>
      <c r="ALX189" s="118"/>
      <c r="ALY189" s="118"/>
      <c r="ALZ189" s="118"/>
      <c r="AMA189" s="118"/>
      <c r="AMB189" s="118"/>
      <c r="AMC189" s="118"/>
      <c r="AMD189" s="118"/>
      <c r="AME189" s="118"/>
      <c r="AMF189" s="118"/>
      <c r="AMG189" s="118"/>
      <c r="AMH189" s="118"/>
      <c r="AMI189" s="118"/>
      <c r="AMJ189" s="118"/>
      <c r="AMK189" s="118"/>
      <c r="AML189" s="118"/>
      <c r="AMM189" s="118"/>
      <c r="AMN189" s="118"/>
      <c r="AMO189" s="118"/>
      <c r="AMP189" s="118"/>
    </row>
    <row r="190" spans="1:1030" x14ac:dyDescent="0.2">
      <c r="A190" s="3" t="str">
        <f t="shared" si="863"/>
        <v>crfr1_human__wt</v>
      </c>
      <c r="B190" s="3" t="s">
        <v>38</v>
      </c>
      <c r="C190" s="3" t="s">
        <v>100</v>
      </c>
      <c r="D190" s="3" t="str">
        <f>IFERROR(MID(VLOOKUP($B190,Seqs!$A:$B,2,0),E190,1),"")</f>
        <v>Q</v>
      </c>
      <c r="E190" s="3">
        <v>103</v>
      </c>
      <c r="F190" s="3" t="str">
        <f>IFERROR(MID(VLOOKUP($B190,Seqs!$A:$B,2,0),G190,1),"")</f>
        <v>L</v>
      </c>
      <c r="G190" s="3">
        <v>144</v>
      </c>
      <c r="H190" s="3" t="str">
        <f>IFERROR(MID(VLOOKUP($B190,Seqs!$A:$B,2,0),I190,1),"")</f>
        <v>R</v>
      </c>
      <c r="I190" s="23">
        <v>145</v>
      </c>
      <c r="J190" s="3" t="str">
        <f>IFERROR(MID(VLOOKUP($B190,Seqs!$A:$B,2,0),K190,1),"")</f>
        <v>R</v>
      </c>
      <c r="K190" s="23">
        <v>148</v>
      </c>
      <c r="L190" s="3" t="str">
        <f>IFERROR(MID(VLOOKUP($B190,Seqs!$A:$B,2,0),M190,1),"")</f>
        <v>C</v>
      </c>
      <c r="M190" s="23">
        <v>149</v>
      </c>
      <c r="N190" s="3" t="str">
        <f>IFERROR(MID(VLOOKUP($B190,Seqs!$A:$B,2,0),O190,1),"")</f>
        <v>T</v>
      </c>
      <c r="O190" s="3">
        <v>175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V</v>
      </c>
      <c r="U190" s="3">
        <v>185</v>
      </c>
      <c r="V190" s="3" t="str">
        <f>IFERROR(MID(VLOOKUP($B190,Seqs!$A:$B,2,0),W190,1),"")</f>
        <v>L</v>
      </c>
      <c r="W190" s="3">
        <v>219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L</v>
      </c>
      <c r="AC190" s="9">
        <v>226</v>
      </c>
      <c r="AD190" s="3" t="str">
        <f>IFERROR(MID(VLOOKUP($B190,Seqs!$A:$B,2,0),AE190,1),"")</f>
        <v>D</v>
      </c>
      <c r="AE190" s="3">
        <v>254</v>
      </c>
      <c r="AF190" s="3" t="str">
        <f>IFERROR(MID(VLOOKUP($B190,Seqs!$A:$B,2,0),AG190,1),"")</f>
        <v>C</v>
      </c>
      <c r="AG190" s="3">
        <v>258</v>
      </c>
      <c r="AH190" s="3" t="str">
        <f>IFERROR(MID(VLOOKUP($B190,Seqs!$A:$B,2,0),AI190,1),"")</f>
        <v>F</v>
      </c>
      <c r="AI190" s="3">
        <v>260</v>
      </c>
      <c r="AJ190" s="3" t="str">
        <f>IFERROR(MID(VLOOKUP($B190,Seqs!$A:$B,2,0),AK190,1),"")</f>
        <v>T</v>
      </c>
      <c r="AK190" s="3">
        <v>268</v>
      </c>
      <c r="AL190" s="3" t="str">
        <f>IFERROR(MID(VLOOKUP($B190,Seqs!$A:$B,2,0),AM190,1),"")</f>
        <v>L</v>
      </c>
      <c r="AM190" s="3">
        <v>298</v>
      </c>
      <c r="AN190" s="3" t="str">
        <f>IFERROR(MID(VLOOKUP($B190,Seqs!$A:$B,2,0),AO190,1),"")</f>
        <v>S</v>
      </c>
      <c r="AO190" s="3">
        <v>304</v>
      </c>
      <c r="AP190" s="3" t="str">
        <f>IFERROR(MID(VLOOKUP($B190,Seqs!$A:$B,2,0),AQ190,1),"")</f>
        <v>V</v>
      </c>
      <c r="AQ190" s="3">
        <v>332</v>
      </c>
      <c r="AR190" s="3" t="str">
        <f>IFERROR(MID(VLOOKUP($B190,Seqs!$A:$B,2,0),AS190,1),"")</f>
        <v>V</v>
      </c>
      <c r="AS190" s="3">
        <v>339</v>
      </c>
      <c r="AT190" s="3" t="str">
        <f>IFERROR(MID(VLOOKUP($B190,Seqs!$A:$B,2,0),AU190,1),"")</f>
        <v>L</v>
      </c>
      <c r="AU190" s="3">
        <v>366</v>
      </c>
      <c r="AV190" s="3" t="str">
        <f>IFERROR(MID(VLOOKUP($B190,Seqs!$A:$B,2,0),AW190,1),"")</f>
        <v>N</v>
      </c>
      <c r="AW190" s="3">
        <v>367</v>
      </c>
      <c r="AX190" s="3" t="str">
        <f>IFERROR(MID(VLOOKUP($B190,Seqs!$A:$B,2,0),AY190,1),"")</f>
        <v>A</v>
      </c>
      <c r="AY190" s="3">
        <v>392</v>
      </c>
      <c r="AZ190" s="79" t="str">
        <f>VLOOKUP(B190,Classification!A:D,2,0)</f>
        <v>B1</v>
      </c>
      <c r="BA190" s="97" t="str">
        <f>VLOOKUP(B190,Classification!A:D,4,0)</f>
        <v>Corticotropin-releasingfact</v>
      </c>
      <c r="BB190" s="27" t="b">
        <f t="shared" si="864"/>
        <v>1</v>
      </c>
      <c r="BC190" s="23">
        <f t="shared" ref="BC190:BC220" si="1088">_xlfn.AGGREGATE(9,6,CH190:CS190)-_xlfn.AGGREGATE(9,6,BV190:CG190)+12</f>
        <v>256</v>
      </c>
      <c r="BD190" s="57" t="s">
        <v>1379</v>
      </c>
      <c r="BE190" s="3" t="s">
        <v>23</v>
      </c>
      <c r="BF190" s="124" t="s">
        <v>23</v>
      </c>
      <c r="BG190" s="50" t="s">
        <v>1379</v>
      </c>
      <c r="BH190" s="50" t="s">
        <v>1384</v>
      </c>
      <c r="BI190" s="1"/>
      <c r="BJ190" s="72" t="s">
        <v>1293</v>
      </c>
      <c r="BK190" s="58" t="s">
        <v>1293</v>
      </c>
      <c r="BL190" s="58" t="s">
        <v>1293</v>
      </c>
      <c r="BM190" s="58" t="s">
        <v>1293</v>
      </c>
      <c r="BN190" s="58" t="s">
        <v>1293</v>
      </c>
      <c r="BO190" s="58" t="s">
        <v>1293</v>
      </c>
      <c r="BP190" s="58" t="s">
        <v>1293</v>
      </c>
      <c r="BQ190" s="58" t="s">
        <v>1293</v>
      </c>
      <c r="BR190" s="58" t="s">
        <v>1293</v>
      </c>
      <c r="BS190" s="58" t="s">
        <v>1293</v>
      </c>
      <c r="BT190" s="58" t="s">
        <v>1293</v>
      </c>
      <c r="BU190" s="58" t="s">
        <v>1293</v>
      </c>
      <c r="BV190" s="72">
        <f t="shared" ref="BV190:BV220" si="1089">E190</f>
        <v>103</v>
      </c>
      <c r="BW190" s="73">
        <f t="shared" ref="BW190:BW220" si="1090">I190</f>
        <v>145</v>
      </c>
      <c r="BX190" s="74">
        <f t="shared" ref="BX190:BX220" si="1091">M190</f>
        <v>149</v>
      </c>
      <c r="BY190" s="73" t="str">
        <f t="shared" ref="BY190:BY220" si="1092">Q190</f>
        <v>-</v>
      </c>
      <c r="BZ190" s="74">
        <f t="shared" ref="BZ190:BZ220" si="1093">U190</f>
        <v>185</v>
      </c>
      <c r="CA190" s="73" t="str">
        <f t="shared" ref="CA190:CA220" si="1094">Y190</f>
        <v>-</v>
      </c>
      <c r="CB190" s="74">
        <f t="shared" ref="CB190:CB220" si="1095">AC190</f>
        <v>226</v>
      </c>
      <c r="CC190" s="73">
        <f t="shared" ref="CC190:CC220" si="1096">AG190</f>
        <v>258</v>
      </c>
      <c r="CD190" s="74">
        <f t="shared" ref="CD190:CD220" si="1097">AK190</f>
        <v>268</v>
      </c>
      <c r="CE190" s="73">
        <f t="shared" ref="CE190:CE220" si="1098">AO190</f>
        <v>304</v>
      </c>
      <c r="CF190" s="74">
        <f t="shared" ref="CF190:CF220" si="1099">AS190</f>
        <v>339</v>
      </c>
      <c r="CG190" s="73">
        <f t="shared" ref="CG190:CG220" si="1100">AW190</f>
        <v>367</v>
      </c>
      <c r="CH190" s="72">
        <f t="shared" ref="CH190:CH220" si="1101">G190</f>
        <v>144</v>
      </c>
      <c r="CI190" s="73">
        <f t="shared" ref="CI190:CI220" si="1102">K190</f>
        <v>148</v>
      </c>
      <c r="CJ190" s="74">
        <f t="shared" ref="CJ190:CJ220" si="1103">O190</f>
        <v>175</v>
      </c>
      <c r="CK190" s="74" t="str">
        <f t="shared" ref="CK190:CK220" si="1104">S190</f>
        <v>-</v>
      </c>
      <c r="CL190" s="74">
        <f t="shared" ref="CL190:CL220" si="1105">W190</f>
        <v>219</v>
      </c>
      <c r="CM190" s="74" t="str">
        <f t="shared" ref="CM190:CM220" si="1106">AA190</f>
        <v>-</v>
      </c>
      <c r="CN190" s="74">
        <f t="shared" ref="CN190:CN220" si="1107">AE190</f>
        <v>254</v>
      </c>
      <c r="CO190" s="74">
        <f t="shared" ref="CO190:CO220" si="1108">AI190</f>
        <v>260</v>
      </c>
      <c r="CP190" s="74">
        <f t="shared" ref="CP190:CP220" si="1109">AM190</f>
        <v>298</v>
      </c>
      <c r="CQ190" s="74">
        <f t="shared" ref="CQ190:CQ220" si="1110">AQ190</f>
        <v>332</v>
      </c>
      <c r="CR190" s="74">
        <f t="shared" ref="CR190:CR220" si="1111">AU190</f>
        <v>366</v>
      </c>
      <c r="CS190" s="74">
        <f t="shared" ref="CS190:CS220" si="1112">AY190</f>
        <v>392</v>
      </c>
      <c r="CT190" s="23">
        <f t="shared" ref="CT190:CT220" si="1113">M190-K190</f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si="863"/>
        <v>crfr1_human_4K5Y</v>
      </c>
      <c r="B191" s="3" t="s">
        <v>38</v>
      </c>
      <c r="C191" s="3" t="s">
        <v>95</v>
      </c>
      <c r="D191" s="3" t="str">
        <f>IFERROR(MID(VLOOKUP($B191,Seqs!$A:$B,2,0),E191,1),"")</f>
        <v>H</v>
      </c>
      <c r="E191" s="3">
        <v>117</v>
      </c>
      <c r="F191" s="3" t="str">
        <f>IFERROR(MID(VLOOKUP($B191,Seqs!$A:$B,2,0),G191,1),"")</f>
        <v>L</v>
      </c>
      <c r="G191" s="3">
        <v>144</v>
      </c>
      <c r="H191" s="3" t="str">
        <f>IFERROR(MID(VLOOKUP($B191,Seqs!$A:$B,2,0),I191,1),"")</f>
        <v>R</v>
      </c>
      <c r="I191" s="23">
        <v>145</v>
      </c>
      <c r="J191" s="3" t="str">
        <f>IFERROR(MID(VLOOKUP($B191,Seqs!$A:$B,2,0),K191,1),"")</f>
        <v>R</v>
      </c>
      <c r="K191" s="23">
        <v>148</v>
      </c>
      <c r="L191" s="3" t="str">
        <f>IFERROR(MID(VLOOKUP($B191,Seqs!$A:$B,2,0),M191,1),"")</f>
        <v>C</v>
      </c>
      <c r="M191" s="23">
        <v>149</v>
      </c>
      <c r="N191" s="3" t="str">
        <f>IFERROR(MID(VLOOKUP($B191,Seqs!$A:$B,2,0),O191,1),"")</f>
        <v>T</v>
      </c>
      <c r="O191" s="3">
        <v>175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V</v>
      </c>
      <c r="U191" s="3">
        <v>185</v>
      </c>
      <c r="V191" s="3" t="str">
        <f>IFERROR(MID(VLOOKUP($B191,Seqs!$A:$B,2,0),W191,1),"")</f>
        <v>L</v>
      </c>
      <c r="W191" s="3">
        <v>219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L</v>
      </c>
      <c r="AC191" s="9">
        <v>226</v>
      </c>
      <c r="AD191" s="3" t="str">
        <f>IFERROR(MID(VLOOKUP($B191,Seqs!$A:$B,2,0),AE191,1),"")</f>
        <v>D</v>
      </c>
      <c r="AE191" s="3">
        <v>254</v>
      </c>
      <c r="AF191" s="3" t="str">
        <f>IFERROR(MID(VLOOKUP($B191,Seqs!$A:$B,2,0),AG191,1),"")</f>
        <v>C</v>
      </c>
      <c r="AG191" s="3">
        <v>258</v>
      </c>
      <c r="AH191" s="3" t="str">
        <f>IFERROR(MID(VLOOKUP($B191,Seqs!$A:$B,2,0),AI191,1),"")</f>
        <v>F</v>
      </c>
      <c r="AI191" s="3">
        <v>260</v>
      </c>
      <c r="AJ191" s="3" t="str">
        <f>IFERROR(MID(VLOOKUP($B191,Seqs!$A:$B,2,0),AK191,1),"")</f>
        <v>T</v>
      </c>
      <c r="AK191" s="3">
        <v>268</v>
      </c>
      <c r="AL191" s="3" t="str">
        <f>IFERROR(MID(VLOOKUP($B191,Seqs!$A:$B,2,0),AM191,1),"")</f>
        <v>L</v>
      </c>
      <c r="AM191" s="3">
        <v>298</v>
      </c>
      <c r="AN191" s="3" t="str">
        <f>IFERROR(MID(VLOOKUP($B191,Seqs!$A:$B,2,0),AO191,1),"")</f>
        <v>S</v>
      </c>
      <c r="AO191" s="3">
        <v>304</v>
      </c>
      <c r="AP191" s="3" t="str">
        <f>IFERROR(MID(VLOOKUP($B191,Seqs!$A:$B,2,0),AQ191,1),"")</f>
        <v>V</v>
      </c>
      <c r="AQ191" s="3">
        <v>332</v>
      </c>
      <c r="AR191" s="3" t="str">
        <f>IFERROR(MID(VLOOKUP($B191,Seqs!$A:$B,2,0),AS191,1),"")</f>
        <v>V</v>
      </c>
      <c r="AS191" s="3">
        <v>339</v>
      </c>
      <c r="AT191" s="3" t="str">
        <f>IFERROR(MID(VLOOKUP($B191,Seqs!$A:$B,2,0),AU191,1),"")</f>
        <v>F</v>
      </c>
      <c r="AU191" s="3">
        <v>362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9" t="str">
        <f>VLOOKUP(B191,Classification!A:D,2,0)</f>
        <v>B1</v>
      </c>
      <c r="BA191" s="97" t="str">
        <f>VLOOKUP(B191,Classification!A:D,4,0)</f>
        <v>Corticotropin-releasingfact</v>
      </c>
      <c r="BB191" s="27" t="b">
        <f t="shared" si="864"/>
        <v>1</v>
      </c>
      <c r="BC191" s="23">
        <f t="shared" si="1088"/>
        <v>213</v>
      </c>
      <c r="BD191" s="4" t="s">
        <v>23</v>
      </c>
      <c r="BE191" s="3" t="s">
        <v>1381</v>
      </c>
      <c r="BF191" s="124">
        <v>2.98</v>
      </c>
      <c r="BG191" s="50" t="s">
        <v>1384</v>
      </c>
      <c r="BH191" s="50" t="s">
        <v>1384</v>
      </c>
      <c r="BI191" s="1"/>
      <c r="BJ191" s="72" t="s">
        <v>1293</v>
      </c>
      <c r="BK191" s="58" t="s">
        <v>1293</v>
      </c>
      <c r="BL191" s="58" t="s">
        <v>1293</v>
      </c>
      <c r="BM191" s="58" t="s">
        <v>1293</v>
      </c>
      <c r="BN191" s="58" t="s">
        <v>1293</v>
      </c>
      <c r="BO191" s="58" t="s">
        <v>1293</v>
      </c>
      <c r="BP191" s="58" t="s">
        <v>1293</v>
      </c>
      <c r="BQ191" s="58" t="s">
        <v>1293</v>
      </c>
      <c r="BR191" s="58" t="s">
        <v>1293</v>
      </c>
      <c r="BS191" s="58" t="s">
        <v>1293</v>
      </c>
      <c r="BT191" s="58" t="s">
        <v>1293</v>
      </c>
      <c r="BU191" s="58" t="s">
        <v>1293</v>
      </c>
      <c r="BV191" s="72">
        <f t="shared" si="1089"/>
        <v>117</v>
      </c>
      <c r="BW191" s="73">
        <f t="shared" si="1090"/>
        <v>145</v>
      </c>
      <c r="BX191" s="74">
        <f t="shared" si="1091"/>
        <v>149</v>
      </c>
      <c r="BY191" s="73" t="str">
        <f t="shared" si="1092"/>
        <v>-</v>
      </c>
      <c r="BZ191" s="74">
        <f t="shared" si="1093"/>
        <v>185</v>
      </c>
      <c r="CA191" s="73" t="str">
        <f t="shared" si="1094"/>
        <v>-</v>
      </c>
      <c r="CB191" s="74">
        <f t="shared" si="1095"/>
        <v>226</v>
      </c>
      <c r="CC191" s="73">
        <f t="shared" si="1096"/>
        <v>258</v>
      </c>
      <c r="CD191" s="74">
        <f t="shared" si="1097"/>
        <v>268</v>
      </c>
      <c r="CE191" s="73">
        <f t="shared" si="1098"/>
        <v>304</v>
      </c>
      <c r="CF191" s="74">
        <f t="shared" si="1099"/>
        <v>339</v>
      </c>
      <c r="CG191" s="73" t="str">
        <f t="shared" si="1100"/>
        <v>-</v>
      </c>
      <c r="CH191" s="72">
        <f t="shared" si="1101"/>
        <v>144</v>
      </c>
      <c r="CI191" s="73">
        <f t="shared" si="1102"/>
        <v>148</v>
      </c>
      <c r="CJ191" s="74">
        <f t="shared" si="1103"/>
        <v>175</v>
      </c>
      <c r="CK191" s="74" t="str">
        <f t="shared" si="1104"/>
        <v>-</v>
      </c>
      <c r="CL191" s="74">
        <f t="shared" si="1105"/>
        <v>219</v>
      </c>
      <c r="CM191" s="74" t="str">
        <f t="shared" si="1106"/>
        <v>-</v>
      </c>
      <c r="CN191" s="74">
        <f t="shared" si="1107"/>
        <v>254</v>
      </c>
      <c r="CO191" s="74">
        <f t="shared" si="1108"/>
        <v>260</v>
      </c>
      <c r="CP191" s="74">
        <f t="shared" si="1109"/>
        <v>298</v>
      </c>
      <c r="CQ191" s="74">
        <f t="shared" si="1110"/>
        <v>332</v>
      </c>
      <c r="CR191" s="74">
        <f t="shared" si="1111"/>
        <v>362</v>
      </c>
      <c r="CS191" s="74" t="str">
        <f t="shared" si="1112"/>
        <v>-</v>
      </c>
      <c r="CT191" s="23">
        <f t="shared" si="1113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si="863"/>
        <v>crfr1_human_4K5Y_dist</v>
      </c>
      <c r="B192" s="3" t="s">
        <v>38</v>
      </c>
      <c r="C192" s="3" t="s">
        <v>1161</v>
      </c>
      <c r="D192" s="3" t="str">
        <f>IFERROR(MID(VLOOKUP($B192,Seqs!$A:$B,2,0),E192,1),"")</f>
        <v>H</v>
      </c>
      <c r="E192" s="3">
        <v>117</v>
      </c>
      <c r="F192" s="3" t="str">
        <f>IFERROR(MID(VLOOKUP($B192,Seqs!$A:$B,2,0),G192,1),"")</f>
        <v>L</v>
      </c>
      <c r="G192" s="3">
        <v>144</v>
      </c>
      <c r="H192" s="3" t="str">
        <f>IFERROR(MID(VLOOKUP($B192,Seqs!$A:$B,2,0),I192,1),"")</f>
        <v>R</v>
      </c>
      <c r="I192" s="23">
        <v>145</v>
      </c>
      <c r="J192" s="3" t="str">
        <f>IFERROR(MID(VLOOKUP($B192,Seqs!$A:$B,2,0),K192,1),"")</f>
        <v>R</v>
      </c>
      <c r="K192" s="23">
        <v>148</v>
      </c>
      <c r="L192" s="3" t="str">
        <f>IFERROR(MID(VLOOKUP($B192,Seqs!$A:$B,2,0),M192,1),"")</f>
        <v>C</v>
      </c>
      <c r="M192" s="23">
        <v>149</v>
      </c>
      <c r="N192" s="3" t="str">
        <f>IFERROR(MID(VLOOKUP($B192,Seqs!$A:$B,2,0),O192,1),"")</f>
        <v>T</v>
      </c>
      <c r="O192" s="3">
        <v>175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V</v>
      </c>
      <c r="U192" s="3">
        <v>185</v>
      </c>
      <c r="V192" s="3" t="str">
        <f>IFERROR(MID(VLOOKUP($B192,Seqs!$A:$B,2,0),W192,1),"")</f>
        <v>L</v>
      </c>
      <c r="W192" s="3">
        <v>219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L</v>
      </c>
      <c r="AC192" s="9">
        <v>226</v>
      </c>
      <c r="AD192" s="3" t="str">
        <f>IFERROR(MID(VLOOKUP($B192,Seqs!$A:$B,2,0),AE192,1),"")</f>
        <v>D</v>
      </c>
      <c r="AE192" s="3">
        <v>254</v>
      </c>
      <c r="AF192" s="3" t="str">
        <f>IFERROR(MID(VLOOKUP($B192,Seqs!$A:$B,2,0),AG192,1),"")</f>
        <v>C</v>
      </c>
      <c r="AG192" s="3">
        <v>258</v>
      </c>
      <c r="AH192" s="3" t="str">
        <f>IFERROR(MID(VLOOKUP($B192,Seqs!$A:$B,2,0),AI192,1),"")</f>
        <v>F</v>
      </c>
      <c r="AI192" s="3">
        <v>260</v>
      </c>
      <c r="AJ192" s="3" t="str">
        <f>IFERROR(MID(VLOOKUP($B192,Seqs!$A:$B,2,0),AK192,1),"")</f>
        <v>T</v>
      </c>
      <c r="AK192" s="3">
        <v>268</v>
      </c>
      <c r="AL192" s="3" t="str">
        <f>IFERROR(MID(VLOOKUP($B192,Seqs!$A:$B,2,0),AM192,1),"")</f>
        <v>L</v>
      </c>
      <c r="AM192" s="3">
        <v>298</v>
      </c>
      <c r="AN192" s="3" t="str">
        <f>IFERROR(MID(VLOOKUP($B192,Seqs!$A:$B,2,0),AO192,1),"")</f>
        <v>S</v>
      </c>
      <c r="AO192" s="3">
        <v>304</v>
      </c>
      <c r="AP192" s="3" t="str">
        <f>IFERROR(MID(VLOOKUP($B192,Seqs!$A:$B,2,0),AQ192,1),"")</f>
        <v>V</v>
      </c>
      <c r="AQ192" s="3">
        <v>332</v>
      </c>
      <c r="AR192" s="3" t="str">
        <f>IFERROR(MID(VLOOKUP($B192,Seqs!$A:$B,2,0),AS192,1),"")</f>
        <v>V</v>
      </c>
      <c r="AS192" s="3">
        <v>339</v>
      </c>
      <c r="AT192" s="3" t="str">
        <f>IFERROR(MID(VLOOKUP($B192,Seqs!$A:$B,2,0),AU192,1),"")</f>
        <v>L</v>
      </c>
      <c r="AU192" s="3">
        <v>366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9" t="str">
        <f>VLOOKUP(B192,Classification!A:D,2,0)</f>
        <v>B1</v>
      </c>
      <c r="BA192" s="97" t="str">
        <f>VLOOKUP(B192,Classification!A:D,4,0)</f>
        <v>Corticotropin-releasingfact</v>
      </c>
      <c r="BB192" s="27" t="b">
        <f t="shared" si="864"/>
        <v>1</v>
      </c>
      <c r="BC192" s="23">
        <f t="shared" si="1088"/>
        <v>217</v>
      </c>
      <c r="BD192" s="57" t="s">
        <v>1379</v>
      </c>
      <c r="BE192" s="3" t="s">
        <v>1381</v>
      </c>
      <c r="BF192" s="124">
        <v>2.98</v>
      </c>
      <c r="BG192" s="50" t="s">
        <v>1384</v>
      </c>
      <c r="BH192" s="50" t="s">
        <v>1384</v>
      </c>
      <c r="BI192" s="3" t="s">
        <v>1163</v>
      </c>
      <c r="BJ192" s="72" t="s">
        <v>1293</v>
      </c>
      <c r="BK192" s="58" t="s">
        <v>1293</v>
      </c>
      <c r="BL192" s="58" t="s">
        <v>1293</v>
      </c>
      <c r="BM192" s="58" t="s">
        <v>1293</v>
      </c>
      <c r="BN192" s="58" t="s">
        <v>1293</v>
      </c>
      <c r="BO192" s="58" t="s">
        <v>1293</v>
      </c>
      <c r="BP192" s="58" t="s">
        <v>1293</v>
      </c>
      <c r="BQ192" s="58" t="s">
        <v>1293</v>
      </c>
      <c r="BR192" s="58" t="s">
        <v>1293</v>
      </c>
      <c r="BS192" s="58" t="s">
        <v>1293</v>
      </c>
      <c r="BT192" s="58" t="s">
        <v>1293</v>
      </c>
      <c r="BU192" s="58" t="s">
        <v>1293</v>
      </c>
      <c r="BV192" s="72">
        <f t="shared" si="1089"/>
        <v>117</v>
      </c>
      <c r="BW192" s="73">
        <f t="shared" si="1090"/>
        <v>145</v>
      </c>
      <c r="BX192" s="74">
        <f t="shared" si="1091"/>
        <v>149</v>
      </c>
      <c r="BY192" s="73" t="str">
        <f t="shared" si="1092"/>
        <v>-</v>
      </c>
      <c r="BZ192" s="74">
        <f t="shared" si="1093"/>
        <v>185</v>
      </c>
      <c r="CA192" s="73" t="str">
        <f t="shared" si="1094"/>
        <v>-</v>
      </c>
      <c r="CB192" s="74">
        <f t="shared" si="1095"/>
        <v>226</v>
      </c>
      <c r="CC192" s="73">
        <f t="shared" si="1096"/>
        <v>258</v>
      </c>
      <c r="CD192" s="74">
        <f t="shared" si="1097"/>
        <v>268</v>
      </c>
      <c r="CE192" s="73">
        <f t="shared" si="1098"/>
        <v>304</v>
      </c>
      <c r="CF192" s="74">
        <f t="shared" si="1099"/>
        <v>339</v>
      </c>
      <c r="CG192" s="73" t="str">
        <f t="shared" si="1100"/>
        <v>-</v>
      </c>
      <c r="CH192" s="72">
        <f t="shared" si="1101"/>
        <v>144</v>
      </c>
      <c r="CI192" s="73">
        <f t="shared" si="1102"/>
        <v>148</v>
      </c>
      <c r="CJ192" s="74">
        <f t="shared" si="1103"/>
        <v>175</v>
      </c>
      <c r="CK192" s="74" t="str">
        <f t="shared" si="1104"/>
        <v>-</v>
      </c>
      <c r="CL192" s="74">
        <f t="shared" si="1105"/>
        <v>219</v>
      </c>
      <c r="CM192" s="74" t="str">
        <f t="shared" si="1106"/>
        <v>-</v>
      </c>
      <c r="CN192" s="74">
        <f t="shared" si="1107"/>
        <v>254</v>
      </c>
      <c r="CO192" s="74">
        <f t="shared" si="1108"/>
        <v>260</v>
      </c>
      <c r="CP192" s="74">
        <f t="shared" si="1109"/>
        <v>298</v>
      </c>
      <c r="CQ192" s="74">
        <f t="shared" si="1110"/>
        <v>332</v>
      </c>
      <c r="CR192" s="74">
        <f t="shared" si="1111"/>
        <v>366</v>
      </c>
      <c r="CS192" s="74" t="str">
        <f t="shared" si="1112"/>
        <v>-</v>
      </c>
      <c r="CT192" s="23">
        <f t="shared" si="1113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863"/>
        <v>crfr1_human_4Z9G</v>
      </c>
      <c r="B193" s="3" t="s">
        <v>38</v>
      </c>
      <c r="C193" s="3" t="s">
        <v>1060</v>
      </c>
      <c r="D193" s="3" t="str">
        <f>IFERROR(MID(VLOOKUP($B193,Seqs!$A:$B,2,0),E193,1),"")</f>
        <v>S</v>
      </c>
      <c r="E193" s="3">
        <v>112</v>
      </c>
      <c r="F193" s="3" t="str">
        <f>IFERROR(MID(VLOOKUP($B193,Seqs!$A:$B,2,0),G193,1),"")</f>
        <v>L</v>
      </c>
      <c r="G193" s="3">
        <v>144</v>
      </c>
      <c r="H193" s="3" t="str">
        <f>IFERROR(MID(VLOOKUP($B193,Seqs!$A:$B,2,0),I193,1),"")</f>
        <v>R</v>
      </c>
      <c r="I193" s="23">
        <v>145</v>
      </c>
      <c r="J193" s="3" t="str">
        <f>IFERROR(MID(VLOOKUP($B193,Seqs!$A:$B,2,0),K193,1),"")</f>
        <v>R</v>
      </c>
      <c r="K193" s="23">
        <v>148</v>
      </c>
      <c r="L193" s="3" t="str">
        <f>IFERROR(MID(VLOOKUP($B193,Seqs!$A:$B,2,0),M193,1),"")</f>
        <v>C</v>
      </c>
      <c r="M193" s="23">
        <v>149</v>
      </c>
      <c r="N193" s="3" t="str">
        <f>IFERROR(MID(VLOOKUP($B193,Seqs!$A:$B,2,0),O193,1),"")</f>
        <v>T</v>
      </c>
      <c r="O193" s="3">
        <v>175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V</v>
      </c>
      <c r="U193" s="3">
        <v>185</v>
      </c>
      <c r="V193" s="3" t="str">
        <f>IFERROR(MID(VLOOKUP($B193,Seqs!$A:$B,2,0),W193,1),"")</f>
        <v>L</v>
      </c>
      <c r="W193" s="3">
        <v>219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L</v>
      </c>
      <c r="AC193" s="9">
        <v>226</v>
      </c>
      <c r="AD193" s="3" t="str">
        <f>IFERROR(MID(VLOOKUP($B193,Seqs!$A:$B,2,0),AE193,1),"")</f>
        <v>D</v>
      </c>
      <c r="AE193" s="3">
        <v>254</v>
      </c>
      <c r="AF193" s="3" t="str">
        <f>IFERROR(MID(VLOOKUP($B193,Seqs!$A:$B,2,0),AG193,1),"")</f>
        <v>C</v>
      </c>
      <c r="AG193" s="3">
        <v>258</v>
      </c>
      <c r="AH193" s="3" t="str">
        <f>IFERROR(MID(VLOOKUP($B193,Seqs!$A:$B,2,0),AI193,1),"")</f>
        <v>F</v>
      </c>
      <c r="AI193" s="3">
        <v>260</v>
      </c>
      <c r="AJ193" s="3" t="str">
        <f>IFERROR(MID(VLOOKUP($B193,Seqs!$A:$B,2,0),AK193,1),"")</f>
        <v>T</v>
      </c>
      <c r="AK193" s="3">
        <v>268</v>
      </c>
      <c r="AL193" s="3" t="str">
        <f>IFERROR(MID(VLOOKUP($B193,Seqs!$A:$B,2,0),AM193,1),"")</f>
        <v>L</v>
      </c>
      <c r="AM193" s="3">
        <v>298</v>
      </c>
      <c r="AN193" s="3" t="str">
        <f>IFERROR(MID(VLOOKUP($B193,Seqs!$A:$B,2,0),AO193,1),"")</f>
        <v>S</v>
      </c>
      <c r="AO193" s="3">
        <v>304</v>
      </c>
      <c r="AP193" s="3" t="str">
        <f>IFERROR(MID(VLOOKUP($B193,Seqs!$A:$B,2,0),AQ193,1),"")</f>
        <v>V</v>
      </c>
      <c r="AQ193" s="3">
        <v>332</v>
      </c>
      <c r="AR193" s="3" t="str">
        <f>IFERROR(MID(VLOOKUP($B193,Seqs!$A:$B,2,0),AS193,1),"")</f>
        <v>V</v>
      </c>
      <c r="AS193" s="3">
        <v>339</v>
      </c>
      <c r="AT193" s="3" t="str">
        <f>IFERROR(MID(VLOOKUP($B193,Seqs!$A:$B,2,0),AU193,1),"")</f>
        <v>F</v>
      </c>
      <c r="AU193" s="3">
        <v>362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9" t="str">
        <f>VLOOKUP(B193,Classification!A:D,2,0)</f>
        <v>B1</v>
      </c>
      <c r="BA193" s="97" t="str">
        <f>VLOOKUP(B193,Classification!A:D,4,0)</f>
        <v>Corticotropin-releasingfact</v>
      </c>
      <c r="BB193" s="27" t="b">
        <f t="shared" si="864"/>
        <v>1</v>
      </c>
      <c r="BC193" s="23">
        <f t="shared" si="1088"/>
        <v>218</v>
      </c>
      <c r="BD193" s="2" t="s">
        <v>1383</v>
      </c>
      <c r="BE193" s="3" t="s">
        <v>1381</v>
      </c>
      <c r="BF193" s="124">
        <v>3.18</v>
      </c>
      <c r="BG193" s="50" t="s">
        <v>1384</v>
      </c>
      <c r="BH193" s="50" t="s">
        <v>1384</v>
      </c>
      <c r="BI193" s="1"/>
      <c r="BJ193" s="72" t="s">
        <v>1293</v>
      </c>
      <c r="BK193" s="58" t="s">
        <v>1293</v>
      </c>
      <c r="BL193" s="58" t="s">
        <v>1293</v>
      </c>
      <c r="BM193" s="58" t="s">
        <v>1293</v>
      </c>
      <c r="BN193" s="58" t="s">
        <v>1293</v>
      </c>
      <c r="BO193" s="58" t="s">
        <v>1293</v>
      </c>
      <c r="BP193" s="58" t="s">
        <v>1293</v>
      </c>
      <c r="BQ193" s="58" t="s">
        <v>1293</v>
      </c>
      <c r="BR193" s="58" t="s">
        <v>1293</v>
      </c>
      <c r="BS193" s="58" t="s">
        <v>1293</v>
      </c>
      <c r="BT193" s="58" t="s">
        <v>1293</v>
      </c>
      <c r="BU193" s="58" t="s">
        <v>1293</v>
      </c>
      <c r="BV193" s="72">
        <f t="shared" si="1089"/>
        <v>112</v>
      </c>
      <c r="BW193" s="73">
        <f t="shared" si="1090"/>
        <v>145</v>
      </c>
      <c r="BX193" s="74">
        <f t="shared" si="1091"/>
        <v>149</v>
      </c>
      <c r="BY193" s="73" t="str">
        <f t="shared" si="1092"/>
        <v>-</v>
      </c>
      <c r="BZ193" s="74">
        <f t="shared" si="1093"/>
        <v>185</v>
      </c>
      <c r="CA193" s="73" t="str">
        <f t="shared" si="1094"/>
        <v>-</v>
      </c>
      <c r="CB193" s="74">
        <f t="shared" si="1095"/>
        <v>226</v>
      </c>
      <c r="CC193" s="73">
        <f t="shared" si="1096"/>
        <v>258</v>
      </c>
      <c r="CD193" s="74">
        <f t="shared" si="1097"/>
        <v>268</v>
      </c>
      <c r="CE193" s="73">
        <f t="shared" si="1098"/>
        <v>304</v>
      </c>
      <c r="CF193" s="74">
        <f t="shared" si="1099"/>
        <v>339</v>
      </c>
      <c r="CG193" s="73" t="str">
        <f t="shared" si="1100"/>
        <v>-</v>
      </c>
      <c r="CH193" s="72">
        <f t="shared" si="1101"/>
        <v>144</v>
      </c>
      <c r="CI193" s="73">
        <f t="shared" si="1102"/>
        <v>148</v>
      </c>
      <c r="CJ193" s="74">
        <f t="shared" si="1103"/>
        <v>175</v>
      </c>
      <c r="CK193" s="74" t="str">
        <f t="shared" si="1104"/>
        <v>-</v>
      </c>
      <c r="CL193" s="74">
        <f t="shared" si="1105"/>
        <v>219</v>
      </c>
      <c r="CM193" s="74" t="str">
        <f t="shared" si="1106"/>
        <v>-</v>
      </c>
      <c r="CN193" s="74">
        <f t="shared" si="1107"/>
        <v>254</v>
      </c>
      <c r="CO193" s="74">
        <f t="shared" si="1108"/>
        <v>260</v>
      </c>
      <c r="CP193" s="74">
        <f t="shared" si="1109"/>
        <v>298</v>
      </c>
      <c r="CQ193" s="74">
        <f t="shared" si="1110"/>
        <v>332</v>
      </c>
      <c r="CR193" s="74">
        <f t="shared" si="1111"/>
        <v>362</v>
      </c>
      <c r="CS193" s="74" t="str">
        <f t="shared" si="1112"/>
        <v>-</v>
      </c>
      <c r="CT193" s="23">
        <f t="shared" si="1113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863"/>
        <v>crfr1_human_4Z9G_dist</v>
      </c>
      <c r="B194" s="3" t="s">
        <v>38</v>
      </c>
      <c r="C194" s="3" t="s">
        <v>1162</v>
      </c>
      <c r="D194" s="3" t="str">
        <f>IFERROR(MID(VLOOKUP($B194,Seqs!$A:$B,2,0),E194,1),"")</f>
        <v>S</v>
      </c>
      <c r="E194" s="3">
        <v>112</v>
      </c>
      <c r="F194" s="3" t="str">
        <f>IFERROR(MID(VLOOKUP($B194,Seqs!$A:$B,2,0),G194,1),"")</f>
        <v>L</v>
      </c>
      <c r="G194" s="3">
        <v>144</v>
      </c>
      <c r="H194" s="3" t="str">
        <f>IFERROR(MID(VLOOKUP($B194,Seqs!$A:$B,2,0),I194,1),"")</f>
        <v>R</v>
      </c>
      <c r="I194" s="23">
        <v>145</v>
      </c>
      <c r="J194" s="3" t="str">
        <f>IFERROR(MID(VLOOKUP($B194,Seqs!$A:$B,2,0),K194,1),"")</f>
        <v>R</v>
      </c>
      <c r="K194" s="23">
        <v>148</v>
      </c>
      <c r="L194" s="3" t="str">
        <f>IFERROR(MID(VLOOKUP($B194,Seqs!$A:$B,2,0),M194,1),"")</f>
        <v>C</v>
      </c>
      <c r="M194" s="23">
        <v>149</v>
      </c>
      <c r="N194" s="3" t="str">
        <f>IFERROR(MID(VLOOKUP($B194,Seqs!$A:$B,2,0),O194,1),"")</f>
        <v>T</v>
      </c>
      <c r="O194" s="3">
        <v>175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V</v>
      </c>
      <c r="U194" s="3">
        <v>185</v>
      </c>
      <c r="V194" s="3" t="str">
        <f>IFERROR(MID(VLOOKUP($B194,Seqs!$A:$B,2,0),W194,1),"")</f>
        <v>L</v>
      </c>
      <c r="W194" s="3">
        <v>219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L</v>
      </c>
      <c r="AC194" s="9">
        <v>226</v>
      </c>
      <c r="AD194" s="3" t="str">
        <f>IFERROR(MID(VLOOKUP($B194,Seqs!$A:$B,2,0),AE194,1),"")</f>
        <v>D</v>
      </c>
      <c r="AE194" s="3">
        <v>254</v>
      </c>
      <c r="AF194" s="3" t="str">
        <f>IFERROR(MID(VLOOKUP($B194,Seqs!$A:$B,2,0),AG194,1),"")</f>
        <v>C</v>
      </c>
      <c r="AG194" s="3">
        <v>258</v>
      </c>
      <c r="AH194" s="3" t="str">
        <f>IFERROR(MID(VLOOKUP($B194,Seqs!$A:$B,2,0),AI194,1),"")</f>
        <v>F</v>
      </c>
      <c r="AI194" s="3">
        <v>260</v>
      </c>
      <c r="AJ194" s="3" t="str">
        <f>IFERROR(MID(VLOOKUP($B194,Seqs!$A:$B,2,0),AK194,1),"")</f>
        <v>T</v>
      </c>
      <c r="AK194" s="3">
        <v>268</v>
      </c>
      <c r="AL194" s="3" t="str">
        <f>IFERROR(MID(VLOOKUP($B194,Seqs!$A:$B,2,0),AM194,1),"")</f>
        <v>L</v>
      </c>
      <c r="AM194" s="3">
        <v>298</v>
      </c>
      <c r="AN194" s="3" t="str">
        <f>IFERROR(MID(VLOOKUP($B194,Seqs!$A:$B,2,0),AO194,1),"")</f>
        <v>S</v>
      </c>
      <c r="AO194" s="3">
        <v>304</v>
      </c>
      <c r="AP194" s="3" t="str">
        <f>IFERROR(MID(VLOOKUP($B194,Seqs!$A:$B,2,0),AQ194,1),"")</f>
        <v>V</v>
      </c>
      <c r="AQ194" s="3">
        <v>332</v>
      </c>
      <c r="AR194" s="3" t="str">
        <f>IFERROR(MID(VLOOKUP($B194,Seqs!$A:$B,2,0),AS194,1),"")</f>
        <v>V</v>
      </c>
      <c r="AS194" s="3">
        <v>339</v>
      </c>
      <c r="AT194" s="3" t="str">
        <f>IFERROR(MID(VLOOKUP($B194,Seqs!$A:$B,2,0),AU194,1),"")</f>
        <v>E</v>
      </c>
      <c r="AU194" s="3">
        <v>369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9" t="str">
        <f>VLOOKUP(B194,Classification!A:D,2,0)</f>
        <v>B1</v>
      </c>
      <c r="BA194" s="97" t="str">
        <f>VLOOKUP(B194,Classification!A:D,4,0)</f>
        <v>Corticotropin-releasingfact</v>
      </c>
      <c r="BB194" s="27" t="b">
        <f t="shared" si="864"/>
        <v>1</v>
      </c>
      <c r="BC194" s="23">
        <f t="shared" si="1088"/>
        <v>225</v>
      </c>
      <c r="BD194" s="57" t="s">
        <v>1379</v>
      </c>
      <c r="BE194" s="3" t="s">
        <v>1381</v>
      </c>
      <c r="BF194" s="124">
        <v>3.18</v>
      </c>
      <c r="BG194" s="50" t="s">
        <v>1384</v>
      </c>
      <c r="BH194" s="50" t="s">
        <v>1384</v>
      </c>
      <c r="BI194" s="3" t="s">
        <v>1163</v>
      </c>
      <c r="BJ194" s="72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58" t="s">
        <v>1293</v>
      </c>
      <c r="BV194" s="72">
        <f t="shared" si="1089"/>
        <v>112</v>
      </c>
      <c r="BW194" s="73">
        <f t="shared" si="1090"/>
        <v>145</v>
      </c>
      <c r="BX194" s="74">
        <f t="shared" si="1091"/>
        <v>149</v>
      </c>
      <c r="BY194" s="73" t="str">
        <f t="shared" si="1092"/>
        <v>-</v>
      </c>
      <c r="BZ194" s="74">
        <f t="shared" si="1093"/>
        <v>185</v>
      </c>
      <c r="CA194" s="73" t="str">
        <f t="shared" si="1094"/>
        <v>-</v>
      </c>
      <c r="CB194" s="74">
        <f t="shared" si="1095"/>
        <v>226</v>
      </c>
      <c r="CC194" s="73">
        <f t="shared" si="1096"/>
        <v>258</v>
      </c>
      <c r="CD194" s="74">
        <f t="shared" si="1097"/>
        <v>268</v>
      </c>
      <c r="CE194" s="73">
        <f t="shared" si="1098"/>
        <v>304</v>
      </c>
      <c r="CF194" s="74">
        <f t="shared" si="1099"/>
        <v>339</v>
      </c>
      <c r="CG194" s="73" t="str">
        <f t="shared" si="1100"/>
        <v>-</v>
      </c>
      <c r="CH194" s="72">
        <f t="shared" si="1101"/>
        <v>144</v>
      </c>
      <c r="CI194" s="73">
        <f t="shared" si="1102"/>
        <v>148</v>
      </c>
      <c r="CJ194" s="74">
        <f t="shared" si="1103"/>
        <v>175</v>
      </c>
      <c r="CK194" s="74" t="str">
        <f t="shared" si="1104"/>
        <v>-</v>
      </c>
      <c r="CL194" s="74">
        <f t="shared" si="1105"/>
        <v>219</v>
      </c>
      <c r="CM194" s="74" t="str">
        <f t="shared" si="1106"/>
        <v>-</v>
      </c>
      <c r="CN194" s="74">
        <f t="shared" si="1107"/>
        <v>254</v>
      </c>
      <c r="CO194" s="74">
        <f t="shared" si="1108"/>
        <v>260</v>
      </c>
      <c r="CP194" s="74">
        <f t="shared" si="1109"/>
        <v>298</v>
      </c>
      <c r="CQ194" s="74">
        <f t="shared" si="1110"/>
        <v>332</v>
      </c>
      <c r="CR194" s="74">
        <f t="shared" si="1111"/>
        <v>369</v>
      </c>
      <c r="CS194" s="74" t="str">
        <f t="shared" si="1112"/>
        <v>-</v>
      </c>
      <c r="CT194" s="23">
        <f t="shared" si="1113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863"/>
        <v>glr_human__wt</v>
      </c>
      <c r="B195" s="3" t="s">
        <v>32</v>
      </c>
      <c r="C195" s="3" t="s">
        <v>100</v>
      </c>
      <c r="D195" s="3" t="str">
        <f>IFERROR(MID(VLOOKUP($B195,Seqs!$A:$B,2,0),E195,1),"")</f>
        <v>Q</v>
      </c>
      <c r="E195" s="108">
        <v>131</v>
      </c>
      <c r="F195" s="3" t="str">
        <f>IFERROR(MID(VLOOKUP($B195,Seqs!$A:$B,2,0),G195,1),"")</f>
        <v>L</v>
      </c>
      <c r="G195" s="3">
        <v>166</v>
      </c>
      <c r="H195" s="3" t="str">
        <f>IFERROR(MID(VLOOKUP($B195,Seqs!$A:$B,2,0),I195,1),"")</f>
        <v>S</v>
      </c>
      <c r="I195" s="23">
        <v>167</v>
      </c>
      <c r="J195" s="3" t="str">
        <f>IFERROR(MID(VLOOKUP($B195,Seqs!$A:$B,2,0),K195,1),"")</f>
        <v>H</v>
      </c>
      <c r="K195" s="23">
        <v>170</v>
      </c>
      <c r="L195" s="3" t="str">
        <f>IFERROR(MID(VLOOKUP($B195,Seqs!$A:$B,2,0),M195,1),"")</f>
        <v>C</v>
      </c>
      <c r="M195" s="23">
        <v>171</v>
      </c>
      <c r="N195" s="3" t="str">
        <f>IFERROR(MID(VLOOKUP($B195,Seqs!$A:$B,2,0),O195,1),"")</f>
        <v>R</v>
      </c>
      <c r="O195" s="108">
        <v>201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217</v>
      </c>
      <c r="V195" s="3" t="str">
        <f>IFERROR(MID(VLOOKUP($B195,Seqs!$A:$B,2,0),W195,1),"")</f>
        <v>L</v>
      </c>
      <c r="W195" s="3">
        <v>255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S</v>
      </c>
      <c r="AC195" s="9">
        <v>262</v>
      </c>
      <c r="AD195" s="3" t="str">
        <f>IFERROR(MID(VLOOKUP($B195,Seqs!$A:$B,2,0),AE195,1),"")</f>
        <v>E</v>
      </c>
      <c r="AE195" s="3">
        <v>290</v>
      </c>
      <c r="AF195" s="3" t="str">
        <f>IFERROR(MID(VLOOKUP($B195,Seqs!$A:$B,2,0),AG195,1),"")</f>
        <v>C</v>
      </c>
      <c r="AG195" s="3">
        <v>294</v>
      </c>
      <c r="AH195" s="3" t="str">
        <f>IFERROR(MID(VLOOKUP($B195,Seqs!$A:$B,2,0),AI195,1),"")</f>
        <v>T</v>
      </c>
      <c r="AI195" s="3">
        <v>296</v>
      </c>
      <c r="AJ195" s="3" t="str">
        <f>IFERROR(MID(VLOOKUP($B195,Seqs!$A:$B,2,0),AK195,1),"")</f>
        <v>N</v>
      </c>
      <c r="AK195" s="3">
        <v>300</v>
      </c>
      <c r="AL195" s="3" t="str">
        <f>IFERROR(MID(VLOOKUP($B195,Seqs!$A:$B,2,0),AM195,1),"")</f>
        <v>A</v>
      </c>
      <c r="AM195" s="3">
        <v>335</v>
      </c>
      <c r="AN195" s="3" t="str">
        <f>IFERROR(MID(VLOOKUP($B195,Seqs!$A:$B,2,0),AO195,1),"")</f>
        <v>D</v>
      </c>
      <c r="AO195" s="3">
        <v>342</v>
      </c>
      <c r="AP195" s="3" t="str">
        <f>IFERROR(MID(VLOOKUP($B195,Seqs!$A:$B,2,0),AQ195,1),"")</f>
        <v>F</v>
      </c>
      <c r="AQ195" s="3">
        <v>367</v>
      </c>
      <c r="AR195" s="3" t="str">
        <f>IFERROR(MID(VLOOKUP($B195,Seqs!$A:$B,2,0),AS195,1),"")</f>
        <v>Q</v>
      </c>
      <c r="AS195" s="3">
        <v>374</v>
      </c>
      <c r="AT195" s="3" t="str">
        <f>IFERROR(MID(VLOOKUP($B195,Seqs!$A:$B,2,0),AU195,1),"")</f>
        <v>L</v>
      </c>
      <c r="AU195" s="3">
        <v>403</v>
      </c>
      <c r="AV195" s="3" t="str">
        <f>IFERROR(MID(VLOOKUP($B195,Seqs!$A:$B,2,0),AW195,1),"")</f>
        <v>N</v>
      </c>
      <c r="AW195" s="3">
        <v>404</v>
      </c>
      <c r="AX195" s="3" t="str">
        <f>IFERROR(MID(VLOOKUP($B195,Seqs!$A:$B,2,0),AY195,1),"")</f>
        <v>N</v>
      </c>
      <c r="AY195" s="3">
        <v>429</v>
      </c>
      <c r="AZ195" s="79" t="str">
        <f>VLOOKUP(B195,Classification!A:D,2,0)</f>
        <v>B1</v>
      </c>
      <c r="BA195" s="97" t="str">
        <f>VLOOKUP(B195,Classification!A:D,4,0)</f>
        <v>Glucagonreceptorfamily</v>
      </c>
      <c r="BB195" s="27" t="b">
        <f t="shared" si="864"/>
        <v>1</v>
      </c>
      <c r="BC195" s="23">
        <f t="shared" si="1088"/>
        <v>262</v>
      </c>
      <c r="BD195" s="57" t="s">
        <v>1379</v>
      </c>
      <c r="BE195" s="3" t="s">
        <v>23</v>
      </c>
      <c r="BF195" s="124" t="s">
        <v>23</v>
      </c>
      <c r="BG195" s="50" t="s">
        <v>1379</v>
      </c>
      <c r="BH195" s="50" t="s">
        <v>1384</v>
      </c>
      <c r="BI195" s="1"/>
      <c r="BJ195" s="72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58" t="s">
        <v>1293</v>
      </c>
      <c r="BV195" s="72">
        <f t="shared" si="1089"/>
        <v>131</v>
      </c>
      <c r="BW195" s="73">
        <f t="shared" si="1090"/>
        <v>167</v>
      </c>
      <c r="BX195" s="74">
        <f t="shared" si="1091"/>
        <v>171</v>
      </c>
      <c r="BY195" s="73" t="str">
        <f t="shared" si="1092"/>
        <v>-</v>
      </c>
      <c r="BZ195" s="74">
        <f t="shared" si="1093"/>
        <v>217</v>
      </c>
      <c r="CA195" s="73" t="str">
        <f t="shared" si="1094"/>
        <v>-</v>
      </c>
      <c r="CB195" s="74">
        <f t="shared" si="1095"/>
        <v>262</v>
      </c>
      <c r="CC195" s="73">
        <f t="shared" si="1096"/>
        <v>294</v>
      </c>
      <c r="CD195" s="74">
        <f t="shared" si="1097"/>
        <v>300</v>
      </c>
      <c r="CE195" s="73">
        <f t="shared" si="1098"/>
        <v>342</v>
      </c>
      <c r="CF195" s="74">
        <f t="shared" si="1099"/>
        <v>374</v>
      </c>
      <c r="CG195" s="73">
        <f t="shared" si="1100"/>
        <v>404</v>
      </c>
      <c r="CH195" s="72">
        <f t="shared" si="1101"/>
        <v>166</v>
      </c>
      <c r="CI195" s="73">
        <f t="shared" si="1102"/>
        <v>170</v>
      </c>
      <c r="CJ195" s="74">
        <f t="shared" si="1103"/>
        <v>201</v>
      </c>
      <c r="CK195" s="74" t="str">
        <f t="shared" si="1104"/>
        <v>-</v>
      </c>
      <c r="CL195" s="74">
        <f t="shared" si="1105"/>
        <v>255</v>
      </c>
      <c r="CM195" s="74" t="str">
        <f t="shared" si="1106"/>
        <v>-</v>
      </c>
      <c r="CN195" s="74">
        <f t="shared" si="1107"/>
        <v>290</v>
      </c>
      <c r="CO195" s="74">
        <f t="shared" si="1108"/>
        <v>296</v>
      </c>
      <c r="CP195" s="74">
        <f t="shared" si="1109"/>
        <v>335</v>
      </c>
      <c r="CQ195" s="74">
        <f t="shared" si="1110"/>
        <v>367</v>
      </c>
      <c r="CR195" s="74">
        <f t="shared" si="1111"/>
        <v>403</v>
      </c>
      <c r="CS195" s="74">
        <f t="shared" si="1112"/>
        <v>429</v>
      </c>
      <c r="CT195" s="23">
        <f t="shared" si="1113"/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863"/>
        <v>glr_human_4L6R</v>
      </c>
      <c r="B196" s="3" t="s">
        <v>32</v>
      </c>
      <c r="C196" s="3" t="s">
        <v>51</v>
      </c>
      <c r="D196" s="3" t="str">
        <f>IFERROR(MID(VLOOKUP($B196,Seqs!$A:$B,2,0),E196,1),"")</f>
        <v>G</v>
      </c>
      <c r="E196" s="3">
        <v>125</v>
      </c>
      <c r="F196" s="3" t="str">
        <f>IFERROR(MID(VLOOKUP($B196,Seqs!$A:$B,2,0),G196,1),"")</f>
        <v>G</v>
      </c>
      <c r="G196" s="3">
        <v>164</v>
      </c>
      <c r="H196" s="3" t="str">
        <f>IFERROR(MID(VLOOKUP($B196,Seqs!$A:$B,2,0),I196,1),"")</f>
        <v>S</v>
      </c>
      <c r="I196" s="23">
        <v>167</v>
      </c>
      <c r="J196" s="3" t="str">
        <f>IFERROR(MID(VLOOKUP($B196,Seqs!$A:$B,2,0),K196,1),"")</f>
        <v>H</v>
      </c>
      <c r="K196" s="23">
        <v>170</v>
      </c>
      <c r="L196" s="3" t="str">
        <f>IFERROR(MID(VLOOKUP($B196,Seqs!$A:$B,2,0),M196,1),"")</f>
        <v>C</v>
      </c>
      <c r="M196" s="23">
        <v>171</v>
      </c>
      <c r="N196" s="3" t="str">
        <f>IFERROR(MID(VLOOKUP($B196,Seqs!$A:$B,2,0),O196,1),"")</f>
        <v>R</v>
      </c>
      <c r="O196" s="3">
        <v>199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S</v>
      </c>
      <c r="U196" s="3">
        <v>217</v>
      </c>
      <c r="V196" s="3" t="str">
        <f>IFERROR(MID(VLOOKUP($B196,Seqs!$A:$B,2,0),W196,1),"")</f>
        <v>L</v>
      </c>
      <c r="W196" s="3">
        <v>255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A</v>
      </c>
      <c r="AC196" s="9">
        <v>274</v>
      </c>
      <c r="AD196" s="3" t="str">
        <f>IFERROR(MID(VLOOKUP($B196,Seqs!$A:$B,2,0),AE196,1),"")</f>
        <v>E</v>
      </c>
      <c r="AE196" s="3">
        <v>290</v>
      </c>
      <c r="AF196" s="3" t="str">
        <f>IFERROR(MID(VLOOKUP($B196,Seqs!$A:$B,2,0),AG196,1),"")</f>
        <v>C</v>
      </c>
      <c r="AG196" s="3">
        <v>294</v>
      </c>
      <c r="AH196" s="3" t="str">
        <f>IFERROR(MID(VLOOKUP($B196,Seqs!$A:$B,2,0),AI196,1),"")</f>
        <v>T</v>
      </c>
      <c r="AI196" s="3">
        <v>296</v>
      </c>
      <c r="AJ196" s="3" t="str">
        <f>IFERROR(MID(VLOOKUP($B196,Seqs!$A:$B,2,0),AK196,1),"")</f>
        <v>N</v>
      </c>
      <c r="AK196" s="3">
        <v>300</v>
      </c>
      <c r="AL196" s="3" t="str">
        <f>IFERROR(MID(VLOOKUP($B196,Seqs!$A:$B,2,0),AM196,1),"")</f>
        <v>A</v>
      </c>
      <c r="AM196" s="3">
        <v>335</v>
      </c>
      <c r="AN196" s="3" t="str">
        <f>IFERROR(MID(VLOOKUP($B196,Seqs!$A:$B,2,0),AO196,1),"")</f>
        <v>D</v>
      </c>
      <c r="AO196" s="3">
        <v>342</v>
      </c>
      <c r="AP196" s="3" t="str">
        <f>IFERROR(MID(VLOOKUP($B196,Seqs!$A:$B,2,0),AQ196,1),"")</f>
        <v>F</v>
      </c>
      <c r="AQ196" s="3">
        <v>367</v>
      </c>
      <c r="AR196" s="3" t="str">
        <f>IFERROR(MID(VLOOKUP($B196,Seqs!$A:$B,2,0),AS196,1),"")</f>
        <v>Q</v>
      </c>
      <c r="AS196" s="3">
        <v>374</v>
      </c>
      <c r="AT196" s="3" t="str">
        <f>IFERROR(MID(VLOOKUP($B196,Seqs!$A:$B,2,0),AU196,1),"")</f>
        <v>L</v>
      </c>
      <c r="AU196" s="3">
        <v>403</v>
      </c>
      <c r="AV196" s="3" t="str">
        <f>IFERROR(MID(VLOOKUP($B196,Seqs!$A:$B,2,0),AW196,1),"")</f>
        <v>N</v>
      </c>
      <c r="AW196" s="3">
        <v>404</v>
      </c>
      <c r="AX196" s="3" t="str">
        <f>IFERROR(MID(VLOOKUP($B196,Seqs!$A:$B,2,0),AY196,1),"")</f>
        <v>N</v>
      </c>
      <c r="AY196" s="3">
        <v>429</v>
      </c>
      <c r="AZ196" s="79" t="str">
        <f>VLOOKUP(B196,Classification!A:D,2,0)</f>
        <v>B1</v>
      </c>
      <c r="BA196" s="97" t="str">
        <f>VLOOKUP(B196,Classification!A:D,4,0)</f>
        <v>Glucagonreceptorfamily</v>
      </c>
      <c r="BB196" s="27" t="b">
        <f t="shared" si="864"/>
        <v>1</v>
      </c>
      <c r="BC196" s="23">
        <f t="shared" si="1088"/>
        <v>252</v>
      </c>
      <c r="BD196" s="2" t="s">
        <v>23</v>
      </c>
      <c r="BE196" s="3" t="s">
        <v>1381</v>
      </c>
      <c r="BF196" s="124">
        <v>3.3</v>
      </c>
      <c r="BG196" s="50" t="s">
        <v>1384</v>
      </c>
      <c r="BH196" s="50" t="s">
        <v>1384</v>
      </c>
      <c r="BI196" s="1"/>
      <c r="BJ196" s="72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58" t="s">
        <v>1293</v>
      </c>
      <c r="BV196" s="72">
        <f t="shared" si="1089"/>
        <v>125</v>
      </c>
      <c r="BW196" s="73">
        <f t="shared" si="1090"/>
        <v>167</v>
      </c>
      <c r="BX196" s="74">
        <f t="shared" si="1091"/>
        <v>171</v>
      </c>
      <c r="BY196" s="73" t="str">
        <f t="shared" si="1092"/>
        <v>-</v>
      </c>
      <c r="BZ196" s="74">
        <f t="shared" si="1093"/>
        <v>217</v>
      </c>
      <c r="CA196" s="73" t="str">
        <f t="shared" si="1094"/>
        <v>-</v>
      </c>
      <c r="CB196" s="74">
        <f t="shared" si="1095"/>
        <v>274</v>
      </c>
      <c r="CC196" s="73">
        <f t="shared" si="1096"/>
        <v>294</v>
      </c>
      <c r="CD196" s="74">
        <f t="shared" si="1097"/>
        <v>300</v>
      </c>
      <c r="CE196" s="73">
        <f t="shared" si="1098"/>
        <v>342</v>
      </c>
      <c r="CF196" s="74">
        <f t="shared" si="1099"/>
        <v>374</v>
      </c>
      <c r="CG196" s="73">
        <f t="shared" si="1100"/>
        <v>404</v>
      </c>
      <c r="CH196" s="72">
        <f t="shared" si="1101"/>
        <v>164</v>
      </c>
      <c r="CI196" s="73">
        <f t="shared" si="1102"/>
        <v>170</v>
      </c>
      <c r="CJ196" s="74">
        <f t="shared" si="1103"/>
        <v>199</v>
      </c>
      <c r="CK196" s="74" t="str">
        <f t="shared" si="1104"/>
        <v>-</v>
      </c>
      <c r="CL196" s="74">
        <f t="shared" si="1105"/>
        <v>255</v>
      </c>
      <c r="CM196" s="74" t="str">
        <f t="shared" si="1106"/>
        <v>-</v>
      </c>
      <c r="CN196" s="74">
        <f t="shared" si="1107"/>
        <v>290</v>
      </c>
      <c r="CO196" s="74">
        <f t="shared" si="1108"/>
        <v>296</v>
      </c>
      <c r="CP196" s="74">
        <f t="shared" si="1109"/>
        <v>335</v>
      </c>
      <c r="CQ196" s="74">
        <f t="shared" si="1110"/>
        <v>367</v>
      </c>
      <c r="CR196" s="74">
        <f t="shared" si="1111"/>
        <v>403</v>
      </c>
      <c r="CS196" s="74">
        <f t="shared" si="1112"/>
        <v>429</v>
      </c>
      <c r="CT196" s="23">
        <f t="shared" si="1113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863"/>
        <v>glr_human_4L6R_dist</v>
      </c>
      <c r="B197" s="3" t="s">
        <v>32</v>
      </c>
      <c r="C197" s="3" t="s">
        <v>1282</v>
      </c>
      <c r="D197" s="3" t="str">
        <f>IFERROR(MID(VLOOKUP($B197,Seqs!$A:$B,2,0),E197,1),"")</f>
        <v>G</v>
      </c>
      <c r="E197" s="3">
        <v>125</v>
      </c>
      <c r="F197" s="3" t="str">
        <f>IFERROR(MID(VLOOKUP($B197,Seqs!$A:$B,2,0),G197,1),"")</f>
        <v>G</v>
      </c>
      <c r="G197" s="3">
        <v>164</v>
      </c>
      <c r="H197" s="3" t="str">
        <f>IFERROR(MID(VLOOKUP($B197,Seqs!$A:$B,2,0),I197,1),"")</f>
        <v>S</v>
      </c>
      <c r="I197" s="23">
        <v>167</v>
      </c>
      <c r="J197" s="3" t="str">
        <f>IFERROR(MID(VLOOKUP($B197,Seqs!$A:$B,2,0),K197,1),"")</f>
        <v>H</v>
      </c>
      <c r="K197" s="23">
        <v>170</v>
      </c>
      <c r="L197" s="3" t="str">
        <f>IFERROR(MID(VLOOKUP($B197,Seqs!$A:$B,2,0),M197,1),"")</f>
        <v>C</v>
      </c>
      <c r="M197" s="23">
        <v>171</v>
      </c>
      <c r="N197" s="3" t="str">
        <f>IFERROR(MID(VLOOKUP($B197,Seqs!$A:$B,2,0),O197,1),"")</f>
        <v>R</v>
      </c>
      <c r="O197" s="3">
        <v>199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S</v>
      </c>
      <c r="U197" s="3">
        <v>217</v>
      </c>
      <c r="V197" s="3" t="str">
        <f>IFERROR(MID(VLOOKUP($B197,Seqs!$A:$B,2,0),W197,1),"")</f>
        <v>L</v>
      </c>
      <c r="W197" s="3">
        <v>255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262</v>
      </c>
      <c r="AD197" s="3" t="str">
        <f>IFERROR(MID(VLOOKUP($B197,Seqs!$A:$B,2,0),AE197,1),"")</f>
        <v>E</v>
      </c>
      <c r="AE197" s="3">
        <v>290</v>
      </c>
      <c r="AF197" s="3" t="str">
        <f>IFERROR(MID(VLOOKUP($B197,Seqs!$A:$B,2,0),AG197,1),"")</f>
        <v>C</v>
      </c>
      <c r="AG197" s="3">
        <v>294</v>
      </c>
      <c r="AH197" s="3" t="str">
        <f>IFERROR(MID(VLOOKUP($B197,Seqs!$A:$B,2,0),AI197,1),"")</f>
        <v>T</v>
      </c>
      <c r="AI197" s="3">
        <v>296</v>
      </c>
      <c r="AJ197" s="3" t="str">
        <f>IFERROR(MID(VLOOKUP($B197,Seqs!$A:$B,2,0),AK197,1),"")</f>
        <v>N</v>
      </c>
      <c r="AK197" s="3">
        <v>300</v>
      </c>
      <c r="AL197" s="3" t="str">
        <f>IFERROR(MID(VLOOKUP($B197,Seqs!$A:$B,2,0),AM197,1),"")</f>
        <v>A</v>
      </c>
      <c r="AM197" s="3">
        <v>335</v>
      </c>
      <c r="AN197" s="3" t="str">
        <f>IFERROR(MID(VLOOKUP($B197,Seqs!$A:$B,2,0),AO197,1),"")</f>
        <v>D</v>
      </c>
      <c r="AO197" s="3">
        <v>342</v>
      </c>
      <c r="AP197" s="3" t="str">
        <f>IFERROR(MID(VLOOKUP($B197,Seqs!$A:$B,2,0),AQ197,1),"")</f>
        <v>F</v>
      </c>
      <c r="AQ197" s="3">
        <v>367</v>
      </c>
      <c r="AR197" s="3" t="str">
        <f>IFERROR(MID(VLOOKUP($B197,Seqs!$A:$B,2,0),AS197,1),"")</f>
        <v>Q</v>
      </c>
      <c r="AS197" s="3">
        <v>374</v>
      </c>
      <c r="AT197" s="3" t="str">
        <f>IFERROR(MID(VLOOKUP($B197,Seqs!$A:$B,2,0),AU197,1),"")</f>
        <v>L</v>
      </c>
      <c r="AU197" s="3">
        <v>403</v>
      </c>
      <c r="AV197" s="3" t="str">
        <f>IFERROR(MID(VLOOKUP($B197,Seqs!$A:$B,2,0),AW197,1),"")</f>
        <v>N</v>
      </c>
      <c r="AW197" s="3">
        <v>404</v>
      </c>
      <c r="AX197" s="3" t="str">
        <f>IFERROR(MID(VLOOKUP($B197,Seqs!$A:$B,2,0),AY197,1),"")</f>
        <v>N</v>
      </c>
      <c r="AY197" s="3">
        <v>429</v>
      </c>
      <c r="AZ197" s="79" t="str">
        <f>VLOOKUP(B197,Classification!A:D,2,0)</f>
        <v>B1</v>
      </c>
      <c r="BA197" s="97" t="str">
        <f>VLOOKUP(B197,Classification!A:D,4,0)</f>
        <v>Glucagonreceptorfamily</v>
      </c>
      <c r="BB197" s="27" t="b">
        <f t="shared" si="864"/>
        <v>1</v>
      </c>
      <c r="BC197" s="23">
        <f t="shared" si="1088"/>
        <v>264</v>
      </c>
      <c r="BD197" s="57" t="s">
        <v>1379</v>
      </c>
      <c r="BE197" s="3" t="s">
        <v>1381</v>
      </c>
      <c r="BF197" s="124">
        <v>3.3</v>
      </c>
      <c r="BG197" s="50" t="s">
        <v>1384</v>
      </c>
      <c r="BH197" s="50" t="s">
        <v>1384</v>
      </c>
      <c r="BI197" s="1"/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1089"/>
        <v>125</v>
      </c>
      <c r="BW197" s="73">
        <f t="shared" si="1090"/>
        <v>167</v>
      </c>
      <c r="BX197" s="74">
        <f t="shared" si="1091"/>
        <v>171</v>
      </c>
      <c r="BY197" s="73" t="str">
        <f t="shared" si="1092"/>
        <v>-</v>
      </c>
      <c r="BZ197" s="74">
        <f t="shared" si="1093"/>
        <v>217</v>
      </c>
      <c r="CA197" s="73" t="str">
        <f t="shared" si="1094"/>
        <v>-</v>
      </c>
      <c r="CB197" s="74">
        <f t="shared" si="1095"/>
        <v>262</v>
      </c>
      <c r="CC197" s="73">
        <f t="shared" si="1096"/>
        <v>294</v>
      </c>
      <c r="CD197" s="74">
        <f t="shared" si="1097"/>
        <v>300</v>
      </c>
      <c r="CE197" s="73">
        <f t="shared" si="1098"/>
        <v>342</v>
      </c>
      <c r="CF197" s="74">
        <f t="shared" si="1099"/>
        <v>374</v>
      </c>
      <c r="CG197" s="73">
        <f t="shared" si="1100"/>
        <v>404</v>
      </c>
      <c r="CH197" s="72">
        <f t="shared" si="1101"/>
        <v>164</v>
      </c>
      <c r="CI197" s="73">
        <f t="shared" si="1102"/>
        <v>170</v>
      </c>
      <c r="CJ197" s="74">
        <f t="shared" si="1103"/>
        <v>199</v>
      </c>
      <c r="CK197" s="74" t="str">
        <f t="shared" si="1104"/>
        <v>-</v>
      </c>
      <c r="CL197" s="74">
        <f t="shared" si="1105"/>
        <v>255</v>
      </c>
      <c r="CM197" s="74" t="str">
        <f t="shared" si="1106"/>
        <v>-</v>
      </c>
      <c r="CN197" s="74">
        <f t="shared" si="1107"/>
        <v>290</v>
      </c>
      <c r="CO197" s="74">
        <f t="shared" si="1108"/>
        <v>296</v>
      </c>
      <c r="CP197" s="74">
        <f t="shared" si="1109"/>
        <v>335</v>
      </c>
      <c r="CQ197" s="74">
        <f t="shared" si="1110"/>
        <v>367</v>
      </c>
      <c r="CR197" s="74">
        <f t="shared" si="1111"/>
        <v>403</v>
      </c>
      <c r="CS197" s="74">
        <f t="shared" si="1112"/>
        <v>429</v>
      </c>
      <c r="CT197" s="23">
        <f t="shared" si="1113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ref="A198:A220" si="1114">CONCATENATE(B198,"_",C198)</f>
        <v>glr_human_5EE7</v>
      </c>
      <c r="B198" s="3" t="s">
        <v>32</v>
      </c>
      <c r="C198" s="3" t="s">
        <v>49</v>
      </c>
      <c r="D198" s="3" t="str">
        <f>IFERROR(MID(VLOOKUP($B198,Seqs!$A:$B,2,0),E198,1),"")</f>
        <v>Y</v>
      </c>
      <c r="E198" s="3">
        <v>138</v>
      </c>
      <c r="F198" s="3" t="str">
        <f>IFERROR(MID(VLOOKUP($B198,Seqs!$A:$B,2,0),G198,1),"")</f>
        <v>L</v>
      </c>
      <c r="G198" s="3">
        <v>166</v>
      </c>
      <c r="H198" s="3" t="str">
        <f>IFERROR(MID(VLOOKUP($B198,Seqs!$A:$B,2,0),I198,1),"")</f>
        <v>S</v>
      </c>
      <c r="I198" s="23">
        <v>167</v>
      </c>
      <c r="J198" s="3" t="str">
        <f>IFERROR(MID(VLOOKUP($B198,Seqs!$A:$B,2,0),K198,1),"")</f>
        <v>H</v>
      </c>
      <c r="K198" s="23">
        <v>170</v>
      </c>
      <c r="L198" s="3" t="str">
        <f>IFERROR(MID(VLOOKUP($B198,Seqs!$A:$B,2,0),M198,1),"")</f>
        <v>C</v>
      </c>
      <c r="M198" s="23">
        <v>171</v>
      </c>
      <c r="N198" s="3" t="str">
        <f>IFERROR(MID(VLOOKUP($B198,Seqs!$A:$B,2,0),O198,1),"")</f>
        <v>R</v>
      </c>
      <c r="O198" s="3">
        <v>199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D</v>
      </c>
      <c r="U198" s="3">
        <v>218</v>
      </c>
      <c r="V198" s="3" t="str">
        <f>IFERROR(MID(VLOOKUP($B198,Seqs!$A:$B,2,0),W198,1),"")</f>
        <v>G</v>
      </c>
      <c r="W198" s="3">
        <v>254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262</v>
      </c>
      <c r="AD198" s="3" t="str">
        <f>IFERROR(MID(VLOOKUP($B198,Seqs!$A:$B,2,0),AE198,1),"")</f>
        <v>E</v>
      </c>
      <c r="AE198" s="3">
        <v>290</v>
      </c>
      <c r="AF198" s="3" t="str">
        <f>IFERROR(MID(VLOOKUP($B198,Seqs!$A:$B,2,0),AG198,1),"")</f>
        <v>C</v>
      </c>
      <c r="AG198" s="3">
        <v>294</v>
      </c>
      <c r="AH198" s="3" t="str">
        <f>IFERROR(MID(VLOOKUP($B198,Seqs!$A:$B,2,0),AI198,1),"")</f>
        <v>T</v>
      </c>
      <c r="AI198" s="3">
        <v>296</v>
      </c>
      <c r="AJ198" s="3" t="str">
        <f>IFERROR(MID(VLOOKUP($B198,Seqs!$A:$B,2,0),AK198,1),"")</f>
        <v>R</v>
      </c>
      <c r="AK198" s="108">
        <v>308</v>
      </c>
      <c r="AL198" s="3" t="str">
        <f>IFERROR(MID(VLOOKUP($B198,Seqs!$A:$B,2,0),AM198,1),"")</f>
        <v>A</v>
      </c>
      <c r="AM198" s="3">
        <v>335</v>
      </c>
      <c r="AN198" s="3" t="str">
        <f>IFERROR(MID(VLOOKUP($B198,Seqs!$A:$B,2,0),AO198,1),"")</f>
        <v>D</v>
      </c>
      <c r="AO198" s="3">
        <v>342</v>
      </c>
      <c r="AP198" s="3" t="str">
        <f>IFERROR(MID(VLOOKUP($B198,Seqs!$A:$B,2,0),AQ198,1),"")</f>
        <v>D</v>
      </c>
      <c r="AQ198" s="3">
        <v>370</v>
      </c>
      <c r="AR198" s="3" t="str">
        <f>IFERROR(MID(VLOOKUP($B198,Seqs!$A:$B,2,0),AS198,1),"")</f>
        <v>S</v>
      </c>
      <c r="AS198" s="3">
        <v>379</v>
      </c>
      <c r="AT198" s="3" t="str">
        <f>IFERROR(MID(VLOOKUP($B198,Seqs!$A:$B,2,0),AU198,1),"")</f>
        <v>F</v>
      </c>
      <c r="AU198" s="3">
        <v>402</v>
      </c>
      <c r="AV198" s="3" t="str">
        <f>IFERROR(MID(VLOOKUP($B198,Seqs!$A:$B,2,0),AW198,1),"")</f>
        <v>N</v>
      </c>
      <c r="AW198" s="3">
        <v>404</v>
      </c>
      <c r="AX198" s="3" t="str">
        <f>IFERROR(MID(VLOOKUP($B198,Seqs!$A:$B,2,0),AY198,1),"")</f>
        <v>R</v>
      </c>
      <c r="AY198" s="3">
        <v>417</v>
      </c>
      <c r="AZ198" s="79" t="str">
        <f>VLOOKUP(B198,Classification!A:D,2,0)</f>
        <v>B1</v>
      </c>
      <c r="BA198" s="97" t="str">
        <f>VLOOKUP(B198,Classification!A:D,4,0)</f>
        <v>Glucagonreceptorfamily</v>
      </c>
      <c r="BB198" s="27" t="b">
        <f t="shared" ref="BB198:BB220" si="1115"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 t="shared" si="1088"/>
        <v>228</v>
      </c>
      <c r="BD198" s="4" t="s">
        <v>23</v>
      </c>
      <c r="BE198" s="3" t="s">
        <v>1381</v>
      </c>
      <c r="BF198" s="124">
        <v>2.5</v>
      </c>
      <c r="BG198" s="50" t="s">
        <v>1384</v>
      </c>
      <c r="BH198" s="50" t="s">
        <v>1384</v>
      </c>
      <c r="BI198" s="1"/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1089"/>
        <v>138</v>
      </c>
      <c r="BW198" s="73">
        <f t="shared" si="1090"/>
        <v>167</v>
      </c>
      <c r="BX198" s="74">
        <f t="shared" si="1091"/>
        <v>171</v>
      </c>
      <c r="BY198" s="73" t="str">
        <f t="shared" si="1092"/>
        <v>-</v>
      </c>
      <c r="BZ198" s="74">
        <f t="shared" si="1093"/>
        <v>218</v>
      </c>
      <c r="CA198" s="73" t="str">
        <f t="shared" si="1094"/>
        <v>-</v>
      </c>
      <c r="CB198" s="74">
        <f t="shared" si="1095"/>
        <v>262</v>
      </c>
      <c r="CC198" s="73">
        <f t="shared" si="1096"/>
        <v>294</v>
      </c>
      <c r="CD198" s="74">
        <f t="shared" si="1097"/>
        <v>308</v>
      </c>
      <c r="CE198" s="73">
        <f t="shared" si="1098"/>
        <v>342</v>
      </c>
      <c r="CF198" s="74">
        <f t="shared" si="1099"/>
        <v>379</v>
      </c>
      <c r="CG198" s="73">
        <f t="shared" si="1100"/>
        <v>404</v>
      </c>
      <c r="CH198" s="72">
        <f t="shared" si="1101"/>
        <v>166</v>
      </c>
      <c r="CI198" s="73">
        <f t="shared" si="1102"/>
        <v>170</v>
      </c>
      <c r="CJ198" s="74">
        <f t="shared" si="1103"/>
        <v>199</v>
      </c>
      <c r="CK198" s="74" t="str">
        <f t="shared" si="1104"/>
        <v>-</v>
      </c>
      <c r="CL198" s="74">
        <f t="shared" si="1105"/>
        <v>254</v>
      </c>
      <c r="CM198" s="74" t="str">
        <f t="shared" si="1106"/>
        <v>-</v>
      </c>
      <c r="CN198" s="74">
        <f t="shared" si="1107"/>
        <v>290</v>
      </c>
      <c r="CO198" s="74">
        <f t="shared" si="1108"/>
        <v>296</v>
      </c>
      <c r="CP198" s="74">
        <f t="shared" si="1109"/>
        <v>335</v>
      </c>
      <c r="CQ198" s="74">
        <f t="shared" si="1110"/>
        <v>370</v>
      </c>
      <c r="CR198" s="74">
        <f t="shared" si="1111"/>
        <v>402</v>
      </c>
      <c r="CS198" s="74">
        <f t="shared" si="1112"/>
        <v>417</v>
      </c>
      <c r="CT198" s="23">
        <f t="shared" si="1113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s="12" customFormat="1" x14ac:dyDescent="0.2">
      <c r="A199" s="9" t="str">
        <f t="shared" ref="A199" si="1116">CONCATENATE(B199,"_",C199)</f>
        <v>glr_human_5XEZ</v>
      </c>
      <c r="B199" s="9" t="s">
        <v>32</v>
      </c>
      <c r="C199" s="9" t="s">
        <v>1419</v>
      </c>
      <c r="D199" s="9" t="str">
        <f>IFERROR(MID(VLOOKUP($B199,Seqs!$A:$B,2,0),E199,1),"")</f>
        <v>Q</v>
      </c>
      <c r="E199" s="9">
        <v>131</v>
      </c>
      <c r="F199" s="9" t="str">
        <f>IFERROR(MID(VLOOKUP($B199,Seqs!$A:$B,2,0),G199,1),"")</f>
        <v>G</v>
      </c>
      <c r="G199" s="9">
        <v>164</v>
      </c>
      <c r="H199" s="9" t="str">
        <f>IFERROR(MID(VLOOKUP($B199,Seqs!$A:$B,2,0),I199,1),"")</f>
        <v>S</v>
      </c>
      <c r="I199" s="112">
        <v>167</v>
      </c>
      <c r="J199" s="9" t="str">
        <f>IFERROR(MID(VLOOKUP($B199,Seqs!$A:$B,2,0),K199,1),"")</f>
        <v>H</v>
      </c>
      <c r="K199" s="112">
        <v>170</v>
      </c>
      <c r="L199" s="9" t="str">
        <f>IFERROR(MID(VLOOKUP($B199,Seqs!$A:$B,2,0),M199,1),"")</f>
        <v>C</v>
      </c>
      <c r="M199" s="112">
        <v>171</v>
      </c>
      <c r="N199" s="9" t="str">
        <f>IFERROR(MID(VLOOKUP($B199,Seqs!$A:$B,2,0),O199,1),"")</f>
        <v>R</v>
      </c>
      <c r="O199" s="9">
        <v>201</v>
      </c>
      <c r="P199" s="9" t="str">
        <f>IFERROR(MID(VLOOKUP($B199,Seqs!$A:$B,2,0),Q199,1),"")</f>
        <v/>
      </c>
      <c r="Q199" s="9" t="s">
        <v>23</v>
      </c>
      <c r="R199" s="9" t="str">
        <f>IFERROR(MID(VLOOKUP($B199,Seqs!$A:$B,2,0),S199,1),"")</f>
        <v/>
      </c>
      <c r="S199" s="9" t="s">
        <v>23</v>
      </c>
      <c r="T199" s="9" t="str">
        <f>IFERROR(MID(VLOOKUP($B199,Seqs!$A:$B,2,0),U199,1),"")</f>
        <v>S</v>
      </c>
      <c r="U199" s="9">
        <v>217</v>
      </c>
      <c r="V199" s="9" t="str">
        <f>IFERROR(MID(VLOOKUP($B199,Seqs!$A:$B,2,0),W199,1),"")</f>
        <v>L</v>
      </c>
      <c r="W199" s="9">
        <v>255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E</v>
      </c>
      <c r="AC199" s="9">
        <v>260</v>
      </c>
      <c r="AD199" s="9" t="str">
        <f>IFERROR(MID(VLOOKUP($B199,Seqs!$A:$B,2,0),AE199,1),"")</f>
        <v>E</v>
      </c>
      <c r="AE199" s="9">
        <v>290</v>
      </c>
      <c r="AF199" s="9" t="str">
        <f>IFERROR(MID(VLOOKUP($B199,Seqs!$A:$B,2,0),AG199,1),"")</f>
        <v>C</v>
      </c>
      <c r="AG199" s="9">
        <v>294</v>
      </c>
      <c r="AH199" s="9" t="str">
        <f>IFERROR(MID(VLOOKUP($B199,Seqs!$A:$B,2,0),AI199,1),"")</f>
        <v>T</v>
      </c>
      <c r="AI199" s="9">
        <v>296</v>
      </c>
      <c r="AJ199" s="9" t="str">
        <f>IFERROR(MID(VLOOKUP($B199,Seqs!$A:$B,2,0),AK199,1),"")</f>
        <v>G</v>
      </c>
      <c r="AK199" s="9">
        <v>302</v>
      </c>
      <c r="AL199" s="9" t="str">
        <f>IFERROR(MID(VLOOKUP($B199,Seqs!$A:$B,2,0),AM199,1),"")</f>
        <v>R</v>
      </c>
      <c r="AM199" s="9">
        <v>334</v>
      </c>
      <c r="AN199" s="9" t="str">
        <f>IFERROR(MID(VLOOKUP($B199,Seqs!$A:$B,2,0),AO199,1),"")</f>
        <v>D</v>
      </c>
      <c r="AO199" s="9">
        <v>342</v>
      </c>
      <c r="AP199" s="9" t="str">
        <f>IFERROR(MID(VLOOKUP($B199,Seqs!$A:$B,2,0),AQ199,1),"")</f>
        <v>F</v>
      </c>
      <c r="AQ199" s="9">
        <v>367</v>
      </c>
      <c r="AR199" s="9" t="str">
        <f>IFERROR(MID(VLOOKUP($B199,Seqs!$A:$B,2,0),AS199,1),"")</f>
        <v>G</v>
      </c>
      <c r="AS199" s="9">
        <v>375</v>
      </c>
      <c r="AT199" s="9" t="str">
        <f>IFERROR(MID(VLOOKUP($B199,Seqs!$A:$B,2,0),AU199,1),"")</f>
        <v>L</v>
      </c>
      <c r="AU199" s="9">
        <v>403</v>
      </c>
      <c r="AV199" s="9" t="str">
        <f>IFERROR(MID(VLOOKUP($B199,Seqs!$A:$B,2,0),AW199,1),"")</f>
        <v>N</v>
      </c>
      <c r="AW199" s="9">
        <v>404</v>
      </c>
      <c r="AX199" s="9" t="str">
        <f>IFERROR(MID(VLOOKUP($B199,Seqs!$A:$B,2,0),AY199,1),"")</f>
        <v>W</v>
      </c>
      <c r="AY199" s="9">
        <v>415</v>
      </c>
      <c r="AZ199" s="113" t="str">
        <f>VLOOKUP(B199,Classification!A:D,2,0)</f>
        <v>B1</v>
      </c>
      <c r="BA199" s="101" t="str">
        <f>VLOOKUP(B199,Classification!A:D,4,0)</f>
        <v>Glucagonreceptorfamily</v>
      </c>
      <c r="BB199" s="37" t="b">
        <f t="shared" ref="BB199" si="1117"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112">
        <f t="shared" ref="BC199" si="1118">_xlfn.AGGREGATE(9,6,CH199:CS199)-_xlfn.AGGREGATE(9,6,BV199:CG199)+12</f>
        <v>244</v>
      </c>
      <c r="BD199" s="11" t="s">
        <v>1383</v>
      </c>
      <c r="BE199" s="9" t="s">
        <v>1381</v>
      </c>
      <c r="BF199" s="125">
        <v>3</v>
      </c>
      <c r="BG199" s="52" t="s">
        <v>1287</v>
      </c>
      <c r="BH199" s="52" t="s">
        <v>1287</v>
      </c>
      <c r="BJ199" s="114" t="s">
        <v>1293</v>
      </c>
      <c r="BK199" s="115" t="s">
        <v>1293</v>
      </c>
      <c r="BL199" s="115" t="s">
        <v>1293</v>
      </c>
      <c r="BM199" s="115" t="s">
        <v>1293</v>
      </c>
      <c r="BN199" s="115" t="s">
        <v>1293</v>
      </c>
      <c r="BO199" s="115" t="s">
        <v>1293</v>
      </c>
      <c r="BP199" s="115" t="s">
        <v>1293</v>
      </c>
      <c r="BQ199" s="115" t="s">
        <v>1293</v>
      </c>
      <c r="BR199" s="115" t="s">
        <v>1293</v>
      </c>
      <c r="BS199" s="115" t="s">
        <v>1293</v>
      </c>
      <c r="BT199" s="115" t="s">
        <v>1293</v>
      </c>
      <c r="BU199" s="115" t="s">
        <v>1293</v>
      </c>
      <c r="BV199" s="114">
        <f t="shared" ref="BV199" si="1119">E199</f>
        <v>131</v>
      </c>
      <c r="BW199" s="116">
        <f t="shared" ref="BW199" si="1120">I199</f>
        <v>167</v>
      </c>
      <c r="BX199" s="117">
        <f t="shared" ref="BX199" si="1121">M199</f>
        <v>171</v>
      </c>
      <c r="BY199" s="116" t="str">
        <f t="shared" ref="BY199" si="1122">Q199</f>
        <v>-</v>
      </c>
      <c r="BZ199" s="117">
        <f t="shared" ref="BZ199" si="1123">U199</f>
        <v>217</v>
      </c>
      <c r="CA199" s="116" t="str">
        <f t="shared" ref="CA199" si="1124">Y199</f>
        <v>-</v>
      </c>
      <c r="CB199" s="117">
        <f t="shared" ref="CB199" si="1125">AC199</f>
        <v>260</v>
      </c>
      <c r="CC199" s="116">
        <f t="shared" ref="CC199" si="1126">AG199</f>
        <v>294</v>
      </c>
      <c r="CD199" s="117">
        <f t="shared" ref="CD199" si="1127">AK199</f>
        <v>302</v>
      </c>
      <c r="CE199" s="116">
        <f t="shared" ref="CE199" si="1128">AO199</f>
        <v>342</v>
      </c>
      <c r="CF199" s="117">
        <f t="shared" ref="CF199" si="1129">AS199</f>
        <v>375</v>
      </c>
      <c r="CG199" s="116">
        <f t="shared" ref="CG199" si="1130">AW199</f>
        <v>404</v>
      </c>
      <c r="CH199" s="114">
        <f t="shared" ref="CH199" si="1131">G199</f>
        <v>164</v>
      </c>
      <c r="CI199" s="116">
        <f t="shared" ref="CI199" si="1132">K199</f>
        <v>170</v>
      </c>
      <c r="CJ199" s="117">
        <f t="shared" ref="CJ199" si="1133">O199</f>
        <v>201</v>
      </c>
      <c r="CK199" s="117" t="str">
        <f t="shared" ref="CK199" si="1134">S199</f>
        <v>-</v>
      </c>
      <c r="CL199" s="117">
        <f t="shared" ref="CL199" si="1135">W199</f>
        <v>255</v>
      </c>
      <c r="CM199" s="117" t="str">
        <f t="shared" ref="CM199" si="1136">AA199</f>
        <v>-</v>
      </c>
      <c r="CN199" s="117">
        <f t="shared" ref="CN199" si="1137">AE199</f>
        <v>290</v>
      </c>
      <c r="CO199" s="117">
        <f t="shared" ref="CO199" si="1138">AI199</f>
        <v>296</v>
      </c>
      <c r="CP199" s="117">
        <f t="shared" ref="CP199" si="1139">AM199</f>
        <v>334</v>
      </c>
      <c r="CQ199" s="117">
        <f t="shared" ref="CQ199" si="1140">AQ199</f>
        <v>367</v>
      </c>
      <c r="CR199" s="117">
        <f t="shared" ref="CR199" si="1141">AU199</f>
        <v>403</v>
      </c>
      <c r="CS199" s="117">
        <f t="shared" ref="CS199" si="1142">AY199</f>
        <v>415</v>
      </c>
      <c r="CT199" s="112">
        <f t="shared" ref="CT199" si="1143">M199-K199</f>
        <v>1</v>
      </c>
    </row>
    <row r="200" spans="1:1029" s="12" customFormat="1" x14ac:dyDescent="0.2">
      <c r="A200" s="9" t="str">
        <f t="shared" ref="A200" si="1144">CONCATENATE(B200,"_",C200)</f>
        <v>glr_human_5XF1</v>
      </c>
      <c r="B200" s="9" t="s">
        <v>32</v>
      </c>
      <c r="C200" s="9" t="s">
        <v>1420</v>
      </c>
      <c r="D200" s="9" t="str">
        <f>IFERROR(MID(VLOOKUP($B200,Seqs!$A:$B,2,0),E200,1),"")</f>
        <v>Q</v>
      </c>
      <c r="E200" s="9">
        <v>131</v>
      </c>
      <c r="F200" s="9" t="str">
        <f>IFERROR(MID(VLOOKUP($B200,Seqs!$A:$B,2,0),G200,1),"")</f>
        <v>L</v>
      </c>
      <c r="G200" s="9">
        <v>166</v>
      </c>
      <c r="H200" s="9" t="str">
        <f>IFERROR(MID(VLOOKUP($B200,Seqs!$A:$B,2,0),I200,1),"")</f>
        <v>S</v>
      </c>
      <c r="I200" s="112">
        <v>167</v>
      </c>
      <c r="J200" s="9" t="str">
        <f>IFERROR(MID(VLOOKUP($B200,Seqs!$A:$B,2,0),K200,1),"")</f>
        <v>H</v>
      </c>
      <c r="K200" s="112">
        <v>170</v>
      </c>
      <c r="L200" s="9" t="str">
        <f>IFERROR(MID(VLOOKUP($B200,Seqs!$A:$B,2,0),M200,1),"")</f>
        <v>N</v>
      </c>
      <c r="M200" s="112">
        <v>174</v>
      </c>
      <c r="N200" s="9" t="str">
        <f>IFERROR(MID(VLOOKUP($B200,Seqs!$A:$B,2,0),O200,1),"")</f>
        <v>R</v>
      </c>
      <c r="O200" s="9">
        <v>201</v>
      </c>
      <c r="P200" s="9" t="str">
        <f>IFERROR(MID(VLOOKUP($B200,Seqs!$A:$B,2,0),Q200,1),"")</f>
        <v/>
      </c>
      <c r="Q200" s="9" t="s">
        <v>23</v>
      </c>
      <c r="R200" s="9" t="str">
        <f>IFERROR(MID(VLOOKUP($B200,Seqs!$A:$B,2,0),S200,1),"")</f>
        <v/>
      </c>
      <c r="S200" s="9" t="s">
        <v>23</v>
      </c>
      <c r="T200" s="9" t="str">
        <f>IFERROR(MID(VLOOKUP($B200,Seqs!$A:$B,2,0),U200,1),"")</f>
        <v>S</v>
      </c>
      <c r="U200" s="9">
        <v>217</v>
      </c>
      <c r="V200" s="9" t="str">
        <f>IFERROR(MID(VLOOKUP($B200,Seqs!$A:$B,2,0),W200,1),"")</f>
        <v>L</v>
      </c>
      <c r="W200" s="9">
        <v>255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R</v>
      </c>
      <c r="AC200" s="9">
        <v>261</v>
      </c>
      <c r="AD200" s="9" t="str">
        <f>IFERROR(MID(VLOOKUP($B200,Seqs!$A:$B,2,0),AE200,1),"")</f>
        <v>F</v>
      </c>
      <c r="AE200" s="9">
        <v>289</v>
      </c>
      <c r="AF200" s="9" t="str">
        <f>IFERROR(MID(VLOOKUP($B200,Seqs!$A:$B,2,0),AG200,1),"")</f>
        <v>C</v>
      </c>
      <c r="AG200" s="9">
        <v>294</v>
      </c>
      <c r="AH200" s="9" t="str">
        <f>IFERROR(MID(VLOOKUP($B200,Seqs!$A:$B,2,0),AI200,1),"")</f>
        <v>T</v>
      </c>
      <c r="AI200" s="9">
        <v>296</v>
      </c>
      <c r="AJ200" s="9" t="str">
        <f>IFERROR(MID(VLOOKUP($B200,Seqs!$A:$B,2,0),AK200,1),"")</f>
        <v>D</v>
      </c>
      <c r="AK200" s="9">
        <v>299</v>
      </c>
      <c r="AL200" s="9" t="str">
        <f>IFERROR(MID(VLOOKUP($B200,Seqs!$A:$B,2,0),AM200,1),"")</f>
        <v>L</v>
      </c>
      <c r="AM200" s="9">
        <v>333</v>
      </c>
      <c r="AN200" s="9" t="str">
        <f>IFERROR(MID(VLOOKUP($B200,Seqs!$A:$B,2,0),AO200,1),"")</f>
        <v>D</v>
      </c>
      <c r="AO200" s="9">
        <v>342</v>
      </c>
      <c r="AP200" s="9" t="str">
        <f>IFERROR(MID(VLOOKUP($B200,Seqs!$A:$B,2,0),AQ200,1),"")</f>
        <v>V</v>
      </c>
      <c r="AQ200" s="9">
        <v>368</v>
      </c>
      <c r="AR200" s="9" t="str">
        <f>IFERROR(MID(VLOOKUP($B200,Seqs!$A:$B,2,0),AS200,1),"")</f>
        <v>L</v>
      </c>
      <c r="AS200" s="9">
        <v>377</v>
      </c>
      <c r="AT200" s="9" t="str">
        <f>IFERROR(MID(VLOOKUP($B200,Seqs!$A:$B,2,0),AU200,1),"")</f>
        <v>L</v>
      </c>
      <c r="AU200" s="9">
        <v>403</v>
      </c>
      <c r="AV200" s="9" t="str">
        <f>IFERROR(MID(VLOOKUP($B200,Seqs!$A:$B,2,0),AW200,1),"")</f>
        <v>N</v>
      </c>
      <c r="AW200" s="9">
        <v>404</v>
      </c>
      <c r="AX200" s="9" t="str">
        <f>IFERROR(MID(VLOOKUP($B200,Seqs!$A:$B,2,0),AY200,1),"")</f>
        <v>W</v>
      </c>
      <c r="AY200" s="9">
        <v>415</v>
      </c>
      <c r="AZ200" s="113" t="str">
        <f>VLOOKUP(B200,Classification!A:D,2,0)</f>
        <v>B1</v>
      </c>
      <c r="BA200" s="101" t="str">
        <f>VLOOKUP(B200,Classification!A:D,4,0)</f>
        <v>Glucagonreceptorfamily</v>
      </c>
      <c r="BB200" s="37" t="b">
        <f t="shared" ref="BB200" si="1145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12">
        <f t="shared" ref="BC200" si="1146">_xlfn.AGGREGATE(9,6,CH200:CS200)-_xlfn.AGGREGATE(9,6,BV200:CG200)+12</f>
        <v>242</v>
      </c>
      <c r="BD200" s="11" t="s">
        <v>23</v>
      </c>
      <c r="BE200" s="9" t="s">
        <v>1381</v>
      </c>
      <c r="BF200" s="125">
        <v>3.19</v>
      </c>
      <c r="BG200" s="52" t="s">
        <v>1287</v>
      </c>
      <c r="BH200" s="52" t="s">
        <v>1287</v>
      </c>
      <c r="BJ200" s="114" t="s">
        <v>1293</v>
      </c>
      <c r="BK200" s="115" t="s">
        <v>1293</v>
      </c>
      <c r="BL200" s="115" t="s">
        <v>1293</v>
      </c>
      <c r="BM200" s="115" t="s">
        <v>1293</v>
      </c>
      <c r="BN200" s="115" t="s">
        <v>1293</v>
      </c>
      <c r="BO200" s="115" t="s">
        <v>1293</v>
      </c>
      <c r="BP200" s="115" t="s">
        <v>1293</v>
      </c>
      <c r="BQ200" s="115" t="s">
        <v>1293</v>
      </c>
      <c r="BR200" s="115" t="s">
        <v>1293</v>
      </c>
      <c r="BS200" s="115" t="s">
        <v>1293</v>
      </c>
      <c r="BT200" s="115" t="s">
        <v>1293</v>
      </c>
      <c r="BU200" s="115" t="s">
        <v>1293</v>
      </c>
      <c r="BV200" s="114">
        <f t="shared" ref="BV200" si="1147">E200</f>
        <v>131</v>
      </c>
      <c r="BW200" s="116">
        <f t="shared" ref="BW200" si="1148">I200</f>
        <v>167</v>
      </c>
      <c r="BX200" s="117">
        <f t="shared" ref="BX200" si="1149">M200</f>
        <v>174</v>
      </c>
      <c r="BY200" s="116" t="str">
        <f t="shared" ref="BY200" si="1150">Q200</f>
        <v>-</v>
      </c>
      <c r="BZ200" s="117">
        <f t="shared" ref="BZ200" si="1151">U200</f>
        <v>217</v>
      </c>
      <c r="CA200" s="116" t="str">
        <f t="shared" ref="CA200" si="1152">Y200</f>
        <v>-</v>
      </c>
      <c r="CB200" s="117">
        <f t="shared" ref="CB200" si="1153">AC200</f>
        <v>261</v>
      </c>
      <c r="CC200" s="116">
        <f t="shared" ref="CC200" si="1154">AG200</f>
        <v>294</v>
      </c>
      <c r="CD200" s="117">
        <f t="shared" ref="CD200" si="1155">AK200</f>
        <v>299</v>
      </c>
      <c r="CE200" s="116">
        <f t="shared" ref="CE200" si="1156">AO200</f>
        <v>342</v>
      </c>
      <c r="CF200" s="117">
        <f t="shared" ref="CF200" si="1157">AS200</f>
        <v>377</v>
      </c>
      <c r="CG200" s="116">
        <f t="shared" ref="CG200" si="1158">AW200</f>
        <v>404</v>
      </c>
      <c r="CH200" s="114">
        <f t="shared" ref="CH200" si="1159">G200</f>
        <v>166</v>
      </c>
      <c r="CI200" s="116">
        <f t="shared" ref="CI200" si="1160">K200</f>
        <v>170</v>
      </c>
      <c r="CJ200" s="117">
        <f t="shared" ref="CJ200" si="1161">O200</f>
        <v>201</v>
      </c>
      <c r="CK200" s="117" t="str">
        <f t="shared" ref="CK200" si="1162">S200</f>
        <v>-</v>
      </c>
      <c r="CL200" s="117">
        <f t="shared" ref="CL200" si="1163">W200</f>
        <v>255</v>
      </c>
      <c r="CM200" s="117" t="str">
        <f t="shared" ref="CM200" si="1164">AA200</f>
        <v>-</v>
      </c>
      <c r="CN200" s="117">
        <f t="shared" ref="CN200" si="1165">AE200</f>
        <v>289</v>
      </c>
      <c r="CO200" s="117">
        <f t="shared" ref="CO200" si="1166">AI200</f>
        <v>296</v>
      </c>
      <c r="CP200" s="117">
        <f t="shared" ref="CP200" si="1167">AM200</f>
        <v>333</v>
      </c>
      <c r="CQ200" s="117">
        <f t="shared" ref="CQ200" si="1168">AQ200</f>
        <v>368</v>
      </c>
      <c r="CR200" s="117">
        <f t="shared" ref="CR200" si="1169">AU200</f>
        <v>403</v>
      </c>
      <c r="CS200" s="117">
        <f t="shared" ref="CS200" si="1170">AY200</f>
        <v>415</v>
      </c>
      <c r="CT200" s="112">
        <f t="shared" ref="CT200" si="1171">M200-K200</f>
        <v>4</v>
      </c>
    </row>
    <row r="201" spans="1:1029" s="12" customFormat="1" x14ac:dyDescent="0.2">
      <c r="A201" s="9" t="str">
        <f t="shared" ref="A201:A203" si="1172">CONCATENATE(B201,"_",C201)</f>
        <v>glp1r_human__wt</v>
      </c>
      <c r="B201" s="9" t="s">
        <v>406</v>
      </c>
      <c r="C201" s="9" t="s">
        <v>100</v>
      </c>
      <c r="D201" s="9" t="str">
        <f>IFERROR(MID(VLOOKUP($B201,Seqs!$A:$B,2,0),E201,1),"")</f>
        <v>E</v>
      </c>
      <c r="E201" s="9">
        <v>138</v>
      </c>
      <c r="F201" s="9" t="str">
        <f>IFERROR(MID(VLOOKUP($B201,Seqs!$A:$B,2,0),G201,1),"")</f>
        <v>F</v>
      </c>
      <c r="G201" s="9">
        <v>169</v>
      </c>
      <c r="H201" s="9" t="str">
        <f>IFERROR(MID(VLOOKUP($B201,Seqs!$A:$B,2,0),I201,1),"")</f>
        <v>R</v>
      </c>
      <c r="I201" s="112">
        <v>170</v>
      </c>
      <c r="J201" s="9" t="str">
        <f>IFERROR(MID(VLOOKUP($B201,Seqs!$A:$B,2,0),K201,1),"")</f>
        <v>H</v>
      </c>
      <c r="K201" s="112">
        <v>173</v>
      </c>
      <c r="L201" s="9" t="str">
        <f>IFERROR(MID(VLOOKUP($B201,Seqs!$A:$B,2,0),M201,1),"")</f>
        <v>C</v>
      </c>
      <c r="M201" s="112">
        <v>174</v>
      </c>
      <c r="N201" s="9" t="str">
        <f>IFERROR(MID(VLOOKUP($B201,Seqs!$A:$B,2,0),O201,1),"")</f>
        <v>S</v>
      </c>
      <c r="O201" s="9">
        <v>206</v>
      </c>
      <c r="P201" s="9" t="str">
        <f>IFERROR(MID(VLOOKUP($B201,Seqs!$A:$B,2,0),Q201,1),"")</f>
        <v/>
      </c>
      <c r="Q201" s="9" t="s">
        <v>23</v>
      </c>
      <c r="R201" s="9" t="str">
        <f>IFERROR(MID(VLOOKUP($B201,Seqs!$A:$B,2,0),S201,1),"")</f>
        <v/>
      </c>
      <c r="S201" s="9" t="s">
        <v>23</v>
      </c>
      <c r="T201" s="9" t="str">
        <f>IFERROR(MID(VLOOKUP($B201,Seqs!$A:$B,2,0),U201,1),"")</f>
        <v>L</v>
      </c>
      <c r="U201" s="9">
        <v>224</v>
      </c>
      <c r="V201" s="9" t="str">
        <f>IFERROR(MID(VLOOKUP($B201,Seqs!$A:$B,2,0),W201,1),"")</f>
        <v>F</v>
      </c>
      <c r="W201" s="9">
        <v>257</v>
      </c>
      <c r="X201" s="9" t="str">
        <f>IFERROR(MID(VLOOKUP($B201,Seqs!$A:$B,2,0),Y201,1),"")</f>
        <v/>
      </c>
      <c r="Y201" s="9" t="s">
        <v>23</v>
      </c>
      <c r="Z201" s="9" t="str">
        <f>IFERROR(MID(VLOOKUP($B201,Seqs!$A:$B,2,0),AA201,1),"")</f>
        <v/>
      </c>
      <c r="AA201" s="9" t="s">
        <v>23</v>
      </c>
      <c r="AB201" s="9" t="str">
        <f>IFERROR(MID(VLOOKUP($B201,Seqs!$A:$B,2,0),AC201,1),"")</f>
        <v>E</v>
      </c>
      <c r="AC201" s="9">
        <v>262</v>
      </c>
      <c r="AD201" s="9" t="str">
        <f>IFERROR(MID(VLOOKUP($B201,Seqs!$A:$B,2,0),AE201,1),"")</f>
        <v>E</v>
      </c>
      <c r="AE201" s="9">
        <v>292</v>
      </c>
      <c r="AF201" s="9" t="str">
        <f>IFERROR(MID(VLOOKUP($B201,Seqs!$A:$B,2,0),AG201,1),"")</f>
        <v>C</v>
      </c>
      <c r="AG201" s="9">
        <v>296</v>
      </c>
      <c r="AH201" s="9" t="str">
        <f>IFERROR(MID(VLOOKUP($B201,Seqs!$A:$B,2,0),AI201,1),"")</f>
        <v>T</v>
      </c>
      <c r="AI201" s="9">
        <v>298</v>
      </c>
      <c r="AJ201" s="9" t="str">
        <f>IFERROR(MID(VLOOKUP($B201,Seqs!$A:$B,2,0),AK201,1),"")</f>
        <v>N</v>
      </c>
      <c r="AK201" s="9">
        <v>302</v>
      </c>
      <c r="AL201" s="9" t="str">
        <f>IFERROR(MID(VLOOKUP($B201,Seqs!$A:$B,2,0),AM201,1),"")</f>
        <v>A</v>
      </c>
      <c r="AM201" s="9">
        <v>337</v>
      </c>
      <c r="AN201" s="9" t="str">
        <f>IFERROR(MID(VLOOKUP($B201,Seqs!$A:$B,2,0),AO201,1),"")</f>
        <v>D</v>
      </c>
      <c r="AO201" s="9">
        <v>344</v>
      </c>
      <c r="AP201" s="9" t="str">
        <f>IFERROR(MID(VLOOKUP($B201,Seqs!$A:$B,2,0),AQ201,1),"")</f>
        <v>F</v>
      </c>
      <c r="AQ201" s="9">
        <v>369</v>
      </c>
      <c r="AR201" s="9" t="str">
        <f>IFERROR(MID(VLOOKUP($B201,Seqs!$A:$B,2,0),AS201,1),"")</f>
        <v>G</v>
      </c>
      <c r="AS201" s="9">
        <v>377</v>
      </c>
      <c r="AT201" s="9" t="str">
        <f>IFERROR(MID(VLOOKUP($B201,Seqs!$A:$B,2,0),AU201,1),"")</f>
        <v>V</v>
      </c>
      <c r="AU201" s="9">
        <v>405</v>
      </c>
      <c r="AV201" s="9" t="str">
        <f>IFERROR(MID(VLOOKUP($B201,Seqs!$A:$B,2,0),AW201,1),"")</f>
        <v>N</v>
      </c>
      <c r="AW201" s="9">
        <v>406</v>
      </c>
      <c r="AX201" s="9" t="str">
        <f>IFERROR(MID(VLOOKUP($B201,Seqs!$A:$B,2,0),AY201,1),"")</f>
        <v>S</v>
      </c>
      <c r="AY201" s="9">
        <v>431</v>
      </c>
      <c r="AZ201" s="113" t="str">
        <f>VLOOKUP(B201,Classification!A:D,2,0)</f>
        <v>B1</v>
      </c>
      <c r="BA201" s="101" t="str">
        <f>VLOOKUP(B201,Classification!A:D,4,0)</f>
        <v>Glucagonreceptorfamily</v>
      </c>
      <c r="BB201" s="37" t="b">
        <f t="shared" ref="BB201:BB203" si="1173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112">
        <f t="shared" ref="BC201:BC203" si="1174">_xlfn.AGGREGATE(9,6,CH201:CS201)-_xlfn.AGGREGATE(9,6,BV201:CG201)+12</f>
        <v>256</v>
      </c>
      <c r="BD201" s="11" t="s">
        <v>23</v>
      </c>
      <c r="BE201" s="9" t="s">
        <v>23</v>
      </c>
      <c r="BF201" s="125" t="s">
        <v>23</v>
      </c>
      <c r="BG201" s="52" t="s">
        <v>1384</v>
      </c>
      <c r="BH201" s="52" t="s">
        <v>1384</v>
      </c>
      <c r="BJ201" s="114" t="s">
        <v>1293</v>
      </c>
      <c r="BK201" s="115" t="s">
        <v>1293</v>
      </c>
      <c r="BL201" s="115" t="s">
        <v>1293</v>
      </c>
      <c r="BM201" s="115" t="s">
        <v>1293</v>
      </c>
      <c r="BN201" s="115" t="s">
        <v>1293</v>
      </c>
      <c r="BO201" s="115" t="s">
        <v>1293</v>
      </c>
      <c r="BP201" s="115" t="s">
        <v>1293</v>
      </c>
      <c r="BQ201" s="115" t="s">
        <v>1293</v>
      </c>
      <c r="BR201" s="115" t="s">
        <v>1293</v>
      </c>
      <c r="BS201" s="115" t="s">
        <v>1293</v>
      </c>
      <c r="BT201" s="115" t="s">
        <v>1293</v>
      </c>
      <c r="BU201" s="115" t="s">
        <v>1293</v>
      </c>
      <c r="BV201" s="114">
        <f t="shared" ref="BV201:BV203" si="1175">E201</f>
        <v>138</v>
      </c>
      <c r="BW201" s="116">
        <f t="shared" ref="BW201:BW203" si="1176">I201</f>
        <v>170</v>
      </c>
      <c r="BX201" s="117">
        <f t="shared" ref="BX201:BX203" si="1177">M201</f>
        <v>174</v>
      </c>
      <c r="BY201" s="116" t="str">
        <f t="shared" ref="BY201:BY203" si="1178">Q201</f>
        <v>-</v>
      </c>
      <c r="BZ201" s="117">
        <f t="shared" ref="BZ201:BZ203" si="1179">U201</f>
        <v>224</v>
      </c>
      <c r="CA201" s="116" t="str">
        <f t="shared" ref="CA201:CA203" si="1180">Y201</f>
        <v>-</v>
      </c>
      <c r="CB201" s="117">
        <f t="shared" ref="CB201:CB203" si="1181">AC201</f>
        <v>262</v>
      </c>
      <c r="CC201" s="116">
        <f t="shared" ref="CC201:CC203" si="1182">AG201</f>
        <v>296</v>
      </c>
      <c r="CD201" s="117">
        <f t="shared" ref="CD201:CD203" si="1183">AK201</f>
        <v>302</v>
      </c>
      <c r="CE201" s="116">
        <f t="shared" ref="CE201:CE203" si="1184">AO201</f>
        <v>344</v>
      </c>
      <c r="CF201" s="117">
        <f t="shared" ref="CF201:CF203" si="1185">AS201</f>
        <v>377</v>
      </c>
      <c r="CG201" s="116">
        <f t="shared" ref="CG201:CG203" si="1186">AW201</f>
        <v>406</v>
      </c>
      <c r="CH201" s="114">
        <f t="shared" ref="CH201:CH203" si="1187">G201</f>
        <v>169</v>
      </c>
      <c r="CI201" s="116">
        <f t="shared" ref="CI201:CI203" si="1188">K201</f>
        <v>173</v>
      </c>
      <c r="CJ201" s="117">
        <f t="shared" ref="CJ201:CJ203" si="1189">O201</f>
        <v>206</v>
      </c>
      <c r="CK201" s="117" t="str">
        <f t="shared" ref="CK201:CK203" si="1190">S201</f>
        <v>-</v>
      </c>
      <c r="CL201" s="117">
        <f t="shared" ref="CL201:CL203" si="1191">W201</f>
        <v>257</v>
      </c>
      <c r="CM201" s="117" t="str">
        <f t="shared" ref="CM201:CM203" si="1192">AA201</f>
        <v>-</v>
      </c>
      <c r="CN201" s="117">
        <f t="shared" ref="CN201:CN203" si="1193">AE201</f>
        <v>292</v>
      </c>
      <c r="CO201" s="117">
        <f t="shared" ref="CO201:CO203" si="1194">AI201</f>
        <v>298</v>
      </c>
      <c r="CP201" s="117">
        <f t="shared" ref="CP201:CP203" si="1195">AM201</f>
        <v>337</v>
      </c>
      <c r="CQ201" s="117">
        <f t="shared" ref="CQ201:CQ203" si="1196">AQ201</f>
        <v>369</v>
      </c>
      <c r="CR201" s="117">
        <f t="shared" ref="CR201:CR203" si="1197">AU201</f>
        <v>405</v>
      </c>
      <c r="CS201" s="117">
        <f t="shared" ref="CS201:CS203" si="1198">AY201</f>
        <v>431</v>
      </c>
      <c r="CT201" s="112">
        <f t="shared" ref="CT201:CT203" si="1199">M201-K201</f>
        <v>1</v>
      </c>
    </row>
    <row r="202" spans="1:1029" s="12" customFormat="1" x14ac:dyDescent="0.2">
      <c r="A202" s="9" t="str">
        <f t="shared" ref="A202" si="1200">CONCATENATE(B202,"_",C202)</f>
        <v>glp1r_human_5VEW</v>
      </c>
      <c r="B202" s="9" t="s">
        <v>406</v>
      </c>
      <c r="C202" s="9" t="s">
        <v>1416</v>
      </c>
      <c r="D202" s="9" t="str">
        <f>IFERROR(MID(VLOOKUP($B202,Seqs!$A:$B,2,0),E202,1),"")</f>
        <v>S</v>
      </c>
      <c r="E202" s="9">
        <v>136</v>
      </c>
      <c r="F202" s="9" t="str">
        <f>IFERROR(MID(VLOOKUP($B202,Seqs!$A:$B,2,0),G202,1),"")</f>
        <v>F</v>
      </c>
      <c r="G202" s="9">
        <v>169</v>
      </c>
      <c r="H202" s="9" t="str">
        <f>IFERROR(MID(VLOOKUP($B202,Seqs!$A:$B,2,0),I202,1),"")</f>
        <v>R</v>
      </c>
      <c r="I202" s="112">
        <v>170</v>
      </c>
      <c r="J202" s="9" t="str">
        <f>IFERROR(MID(VLOOKUP($B202,Seqs!$A:$B,2,0),K202,1),"")</f>
        <v>H</v>
      </c>
      <c r="K202" s="112">
        <v>173</v>
      </c>
      <c r="L202" s="9" t="str">
        <f>IFERROR(MID(VLOOKUP($B202,Seqs!$A:$B,2,0),M202,1),"")</f>
        <v>C</v>
      </c>
      <c r="M202" s="112">
        <v>174</v>
      </c>
      <c r="N202" s="9" t="str">
        <f>IFERROR(MID(VLOOKUP($B202,Seqs!$A:$B,2,0),O202,1),"")</f>
        <v>L</v>
      </c>
      <c r="O202" s="9">
        <v>201</v>
      </c>
      <c r="P202" s="9" t="str">
        <f>IFERROR(MID(VLOOKUP($B202,Seqs!$A:$B,2,0),Q202,1),"")</f>
        <v/>
      </c>
      <c r="Q202" s="9" t="s">
        <v>23</v>
      </c>
      <c r="R202" s="9" t="str">
        <f>IFERROR(MID(VLOOKUP($B202,Seqs!$A:$B,2,0),S202,1),"")</f>
        <v/>
      </c>
      <c r="S202" s="9" t="s">
        <v>23</v>
      </c>
      <c r="T202" s="9" t="str">
        <f>IFERROR(MID(VLOOKUP($B202,Seqs!$A:$B,2,0),U202,1),"")</f>
        <v>L</v>
      </c>
      <c r="U202" s="9">
        <v>224</v>
      </c>
      <c r="V202" s="9" t="str">
        <f>IFERROR(MID(VLOOKUP($B202,Seqs!$A:$B,2,0),W202,1),"")</f>
        <v>F</v>
      </c>
      <c r="W202" s="9">
        <v>257</v>
      </c>
      <c r="X202" s="9" t="str">
        <f>IFERROR(MID(VLOOKUP($B202,Seqs!$A:$B,2,0),Y202,1),"")</f>
        <v/>
      </c>
      <c r="Y202" s="9" t="s">
        <v>23</v>
      </c>
      <c r="Z202" s="9" t="str">
        <f>IFERROR(MID(VLOOKUP($B202,Seqs!$A:$B,2,0),AA202,1),"")</f>
        <v/>
      </c>
      <c r="AA202" s="9" t="s">
        <v>23</v>
      </c>
      <c r="AB202" s="9" t="str">
        <f>IFERROR(MID(VLOOKUP($B202,Seqs!$A:$B,2,0),AC202,1),"")</f>
        <v>E</v>
      </c>
      <c r="AC202" s="9">
        <v>262</v>
      </c>
      <c r="AD202" s="9" t="str">
        <f>IFERROR(MID(VLOOKUP($B202,Seqs!$A:$B,2,0),AE202,1),"")</f>
        <v>E</v>
      </c>
      <c r="AE202" s="9">
        <v>292</v>
      </c>
      <c r="AF202" s="9" t="str">
        <f>IFERROR(MID(VLOOKUP($B202,Seqs!$A:$B,2,0),AG202,1),"")</f>
        <v>C</v>
      </c>
      <c r="AG202" s="9">
        <v>296</v>
      </c>
      <c r="AH202" s="9" t="str">
        <f>IFERROR(MID(VLOOKUP($B202,Seqs!$A:$B,2,0),AI202,1),"")</f>
        <v>T</v>
      </c>
      <c r="AI202" s="9">
        <v>298</v>
      </c>
      <c r="AJ202" s="9" t="str">
        <f>IFERROR(MID(VLOOKUP($B202,Seqs!$A:$B,2,0),AK202,1),"")</f>
        <v>Y</v>
      </c>
      <c r="AK202" s="9">
        <v>305</v>
      </c>
      <c r="AL202" s="9" t="str">
        <f>IFERROR(MID(VLOOKUP($B202,Seqs!$A:$B,2,0),AM202,1),"")</f>
        <v>A</v>
      </c>
      <c r="AM202" s="9">
        <v>337</v>
      </c>
      <c r="AN202" s="9" t="str">
        <f>IFERROR(MID(VLOOKUP($B202,Seqs!$A:$B,2,0),AO202,1),"")</f>
        <v>D</v>
      </c>
      <c r="AO202" s="9">
        <v>344</v>
      </c>
      <c r="AP202" s="9" t="str">
        <f>IFERROR(MID(VLOOKUP($B202,Seqs!$A:$B,2,0),AQ202,1),"")</f>
        <v>F</v>
      </c>
      <c r="AQ202" s="9">
        <v>367</v>
      </c>
      <c r="AR202" s="9" t="str">
        <f>IFERROR(MID(VLOOKUP($B202,Seqs!$A:$B,2,0),AS202,1),"")</f>
        <v>R</v>
      </c>
      <c r="AS202" s="9">
        <v>380</v>
      </c>
      <c r="AT202" s="9" t="str">
        <f>IFERROR(MID(VLOOKUP($B202,Seqs!$A:$B,2,0),AU202,1),"")</f>
        <v>V</v>
      </c>
      <c r="AU202" s="9">
        <v>405</v>
      </c>
      <c r="AV202" s="9" t="str">
        <f>IFERROR(MID(VLOOKUP($B202,Seqs!$A:$B,2,0),AW202,1),"")</f>
        <v>N</v>
      </c>
      <c r="AW202" s="9">
        <v>406</v>
      </c>
      <c r="AX202" s="9" t="str">
        <f>IFERROR(MID(VLOOKUP($B202,Seqs!$A:$B,2,0),AY202,1),"")</f>
        <v>L</v>
      </c>
      <c r="AY202" s="9">
        <v>422</v>
      </c>
      <c r="AZ202" s="113" t="str">
        <f>VLOOKUP(B202,Classification!A:D,2,0)</f>
        <v>B1</v>
      </c>
      <c r="BA202" s="101" t="str">
        <f>VLOOKUP(B202,Classification!A:D,4,0)</f>
        <v>Glucagonreceptorfamily</v>
      </c>
      <c r="BB202" s="37" t="b">
        <f t="shared" ref="BB202" si="1201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112">
        <f t="shared" ref="BC202" si="1202">_xlfn.AGGREGATE(9,6,CH202:CS202)-_xlfn.AGGREGATE(9,6,BV202:CG202)+12</f>
        <v>236</v>
      </c>
      <c r="BD202" s="11" t="s">
        <v>1383</v>
      </c>
      <c r="BE202" s="9" t="s">
        <v>1381</v>
      </c>
      <c r="BF202" s="125">
        <v>2.7</v>
      </c>
      <c r="BG202" s="52" t="s">
        <v>1287</v>
      </c>
      <c r="BH202" s="52" t="s">
        <v>1287</v>
      </c>
      <c r="BJ202" s="114" t="s">
        <v>1293</v>
      </c>
      <c r="BK202" s="115" t="s">
        <v>1293</v>
      </c>
      <c r="BL202" s="115" t="s">
        <v>1293</v>
      </c>
      <c r="BM202" s="115" t="s">
        <v>1293</v>
      </c>
      <c r="BN202" s="115" t="s">
        <v>1293</v>
      </c>
      <c r="BO202" s="115" t="s">
        <v>1293</v>
      </c>
      <c r="BP202" s="115" t="s">
        <v>1293</v>
      </c>
      <c r="BQ202" s="115" t="s">
        <v>1293</v>
      </c>
      <c r="BR202" s="115" t="s">
        <v>1293</v>
      </c>
      <c r="BS202" s="115" t="s">
        <v>1293</v>
      </c>
      <c r="BT202" s="115" t="s">
        <v>1293</v>
      </c>
      <c r="BU202" s="115" t="s">
        <v>1293</v>
      </c>
      <c r="BV202" s="114">
        <f t="shared" ref="BV202" si="1203">E202</f>
        <v>136</v>
      </c>
      <c r="BW202" s="116">
        <f t="shared" ref="BW202" si="1204">I202</f>
        <v>170</v>
      </c>
      <c r="BX202" s="117">
        <f t="shared" ref="BX202" si="1205">M202</f>
        <v>174</v>
      </c>
      <c r="BY202" s="116" t="str">
        <f t="shared" ref="BY202" si="1206">Q202</f>
        <v>-</v>
      </c>
      <c r="BZ202" s="117">
        <f t="shared" ref="BZ202" si="1207">U202</f>
        <v>224</v>
      </c>
      <c r="CA202" s="116" t="str">
        <f t="shared" ref="CA202" si="1208">Y202</f>
        <v>-</v>
      </c>
      <c r="CB202" s="117">
        <f t="shared" ref="CB202" si="1209">AC202</f>
        <v>262</v>
      </c>
      <c r="CC202" s="116">
        <f t="shared" ref="CC202" si="1210">AG202</f>
        <v>296</v>
      </c>
      <c r="CD202" s="117">
        <f t="shared" ref="CD202" si="1211">AK202</f>
        <v>305</v>
      </c>
      <c r="CE202" s="116">
        <f t="shared" ref="CE202" si="1212">AO202</f>
        <v>344</v>
      </c>
      <c r="CF202" s="117">
        <f t="shared" ref="CF202" si="1213">AS202</f>
        <v>380</v>
      </c>
      <c r="CG202" s="116">
        <f t="shared" ref="CG202" si="1214">AW202</f>
        <v>406</v>
      </c>
      <c r="CH202" s="114">
        <f t="shared" ref="CH202" si="1215">G202</f>
        <v>169</v>
      </c>
      <c r="CI202" s="116">
        <f t="shared" ref="CI202" si="1216">K202</f>
        <v>173</v>
      </c>
      <c r="CJ202" s="117">
        <f t="shared" ref="CJ202" si="1217">O202</f>
        <v>201</v>
      </c>
      <c r="CK202" s="117" t="str">
        <f t="shared" ref="CK202" si="1218">S202</f>
        <v>-</v>
      </c>
      <c r="CL202" s="117">
        <f t="shared" ref="CL202" si="1219">W202</f>
        <v>257</v>
      </c>
      <c r="CM202" s="117" t="str">
        <f t="shared" ref="CM202" si="1220">AA202</f>
        <v>-</v>
      </c>
      <c r="CN202" s="117">
        <f t="shared" ref="CN202" si="1221">AE202</f>
        <v>292</v>
      </c>
      <c r="CO202" s="117">
        <f t="shared" ref="CO202" si="1222">AI202</f>
        <v>298</v>
      </c>
      <c r="CP202" s="117">
        <f t="shared" ref="CP202" si="1223">AM202</f>
        <v>337</v>
      </c>
      <c r="CQ202" s="117">
        <f t="shared" ref="CQ202" si="1224">AQ202</f>
        <v>367</v>
      </c>
      <c r="CR202" s="117">
        <f t="shared" ref="CR202" si="1225">AU202</f>
        <v>405</v>
      </c>
      <c r="CS202" s="117">
        <f t="shared" ref="CS202" si="1226">AY202</f>
        <v>422</v>
      </c>
      <c r="CT202" s="112">
        <f t="shared" ref="CT202" si="1227">M202-K202</f>
        <v>1</v>
      </c>
    </row>
    <row r="203" spans="1:1029" s="12" customFormat="1" x14ac:dyDescent="0.2">
      <c r="A203" s="9" t="str">
        <f t="shared" si="1172"/>
        <v>glp1r_human_5VEX</v>
      </c>
      <c r="B203" s="9" t="s">
        <v>406</v>
      </c>
      <c r="C203" s="9" t="s">
        <v>1415</v>
      </c>
      <c r="D203" s="9" t="str">
        <f>IFERROR(MID(VLOOKUP($B203,Seqs!$A:$B,2,0),E203,1),"")</f>
        <v>S</v>
      </c>
      <c r="E203" s="9">
        <v>136</v>
      </c>
      <c r="F203" s="9" t="str">
        <f>IFERROR(MID(VLOOKUP($B203,Seqs!$A:$B,2,0),G203,1),"")</f>
        <v>F</v>
      </c>
      <c r="G203" s="9">
        <v>169</v>
      </c>
      <c r="H203" s="9" t="str">
        <f>IFERROR(MID(VLOOKUP($B203,Seqs!$A:$B,2,0),I203,1),"")</f>
        <v>R</v>
      </c>
      <c r="I203" s="112">
        <v>170</v>
      </c>
      <c r="J203" s="9" t="str">
        <f>IFERROR(MID(VLOOKUP($B203,Seqs!$A:$B,2,0),K203,1),"")</f>
        <v>H</v>
      </c>
      <c r="K203" s="112">
        <v>173</v>
      </c>
      <c r="L203" s="9" t="str">
        <f>IFERROR(MID(VLOOKUP($B203,Seqs!$A:$B,2,0),M203,1),"")</f>
        <v>C</v>
      </c>
      <c r="M203" s="112">
        <v>174</v>
      </c>
      <c r="N203" s="9" t="str">
        <f>IFERROR(MID(VLOOKUP($B203,Seqs!$A:$B,2,0),O203,1),"")</f>
        <v>L</v>
      </c>
      <c r="O203" s="9">
        <v>201</v>
      </c>
      <c r="P203" s="9" t="str">
        <f>IFERROR(MID(VLOOKUP($B203,Seqs!$A:$B,2,0),Q203,1),"")</f>
        <v/>
      </c>
      <c r="Q203" s="9" t="s">
        <v>23</v>
      </c>
      <c r="R203" s="9" t="str">
        <f>IFERROR(MID(VLOOKUP($B203,Seqs!$A:$B,2,0),S203,1),"")</f>
        <v/>
      </c>
      <c r="S203" s="9" t="s">
        <v>23</v>
      </c>
      <c r="T203" s="9" t="str">
        <f>IFERROR(MID(VLOOKUP($B203,Seqs!$A:$B,2,0),U203,1),"")</f>
        <v>L</v>
      </c>
      <c r="U203" s="9">
        <v>224</v>
      </c>
      <c r="V203" s="9" t="str">
        <f>IFERROR(MID(VLOOKUP($B203,Seqs!$A:$B,2,0),W203,1),"")</f>
        <v>F</v>
      </c>
      <c r="W203" s="9">
        <v>257</v>
      </c>
      <c r="X203" s="9" t="str">
        <f>IFERROR(MID(VLOOKUP($B203,Seqs!$A:$B,2,0),Y203,1),"")</f>
        <v/>
      </c>
      <c r="Y203" s="9" t="s">
        <v>23</v>
      </c>
      <c r="Z203" s="9" t="str">
        <f>IFERROR(MID(VLOOKUP($B203,Seqs!$A:$B,2,0),AA203,1),"")</f>
        <v/>
      </c>
      <c r="AA203" s="9" t="s">
        <v>23</v>
      </c>
      <c r="AB203" s="9" t="str">
        <f>IFERROR(MID(VLOOKUP($B203,Seqs!$A:$B,2,0),AC203,1),"")</f>
        <v>E</v>
      </c>
      <c r="AC203" s="9">
        <v>262</v>
      </c>
      <c r="AD203" s="9" t="str">
        <f>IFERROR(MID(VLOOKUP($B203,Seqs!$A:$B,2,0),AE203,1),"")</f>
        <v>E</v>
      </c>
      <c r="AE203" s="9">
        <v>292</v>
      </c>
      <c r="AF203" s="9" t="str">
        <f>IFERROR(MID(VLOOKUP($B203,Seqs!$A:$B,2,0),AG203,1),"")</f>
        <v>C</v>
      </c>
      <c r="AG203" s="9">
        <v>296</v>
      </c>
      <c r="AH203" s="9" t="str">
        <f>IFERROR(MID(VLOOKUP($B203,Seqs!$A:$B,2,0),AI203,1),"")</f>
        <v>T</v>
      </c>
      <c r="AI203" s="9">
        <v>298</v>
      </c>
      <c r="AJ203" s="9" t="str">
        <f>IFERROR(MID(VLOOKUP($B203,Seqs!$A:$B,2,0),AK203,1),"")</f>
        <v>Y</v>
      </c>
      <c r="AK203" s="9">
        <v>305</v>
      </c>
      <c r="AL203" s="9" t="str">
        <f>IFERROR(MID(VLOOKUP($B203,Seqs!$A:$B,2,0),AM203,1),"")</f>
        <v>A</v>
      </c>
      <c r="AM203" s="9">
        <v>337</v>
      </c>
      <c r="AN203" s="9" t="str">
        <f>IFERROR(MID(VLOOKUP($B203,Seqs!$A:$B,2,0),AO203,1),"")</f>
        <v>D</v>
      </c>
      <c r="AO203" s="9">
        <v>344</v>
      </c>
      <c r="AP203" s="9" t="str">
        <f>IFERROR(MID(VLOOKUP($B203,Seqs!$A:$B,2,0),AQ203,1),"")</f>
        <v>F</v>
      </c>
      <c r="AQ203" s="9">
        <v>367</v>
      </c>
      <c r="AR203" s="9" t="str">
        <f>IFERROR(MID(VLOOKUP($B203,Seqs!$A:$B,2,0),AS203,1),"")</f>
        <v>R</v>
      </c>
      <c r="AS203" s="9">
        <v>380</v>
      </c>
      <c r="AT203" s="9" t="str">
        <f>IFERROR(MID(VLOOKUP($B203,Seqs!$A:$B,2,0),AU203,1),"")</f>
        <v>V</v>
      </c>
      <c r="AU203" s="9">
        <v>405</v>
      </c>
      <c r="AV203" s="9" t="str">
        <f>IFERROR(MID(VLOOKUP($B203,Seqs!$A:$B,2,0),AW203,1),"")</f>
        <v>N</v>
      </c>
      <c r="AW203" s="9">
        <v>406</v>
      </c>
      <c r="AX203" s="9" t="str">
        <f>IFERROR(MID(VLOOKUP($B203,Seqs!$A:$B,2,0),AY203,1),"")</f>
        <v>L</v>
      </c>
      <c r="AY203" s="9">
        <v>422</v>
      </c>
      <c r="AZ203" s="113" t="str">
        <f>VLOOKUP(B203,Classification!A:D,2,0)</f>
        <v>B1</v>
      </c>
      <c r="BA203" s="101" t="str">
        <f>VLOOKUP(B203,Classification!A:D,4,0)</f>
        <v>Glucagonreceptorfamily</v>
      </c>
      <c r="BB203" s="37" t="b">
        <f t="shared" si="1173"/>
        <v>1</v>
      </c>
      <c r="BC203" s="112">
        <f t="shared" si="1174"/>
        <v>236</v>
      </c>
      <c r="BD203" s="11" t="s">
        <v>23</v>
      </c>
      <c r="BE203" s="9" t="s">
        <v>1381</v>
      </c>
      <c r="BF203" s="125">
        <v>3</v>
      </c>
      <c r="BG203" s="52" t="s">
        <v>1</v>
      </c>
      <c r="BH203" s="52" t="s">
        <v>1</v>
      </c>
      <c r="BJ203" s="114" t="s">
        <v>1293</v>
      </c>
      <c r="BK203" s="115" t="s">
        <v>1293</v>
      </c>
      <c r="BL203" s="115" t="s">
        <v>1293</v>
      </c>
      <c r="BM203" s="115" t="s">
        <v>1293</v>
      </c>
      <c r="BN203" s="115" t="s">
        <v>1293</v>
      </c>
      <c r="BO203" s="115" t="s">
        <v>1293</v>
      </c>
      <c r="BP203" s="115" t="s">
        <v>1293</v>
      </c>
      <c r="BQ203" s="115" t="s">
        <v>1293</v>
      </c>
      <c r="BR203" s="115" t="s">
        <v>1293</v>
      </c>
      <c r="BS203" s="115" t="s">
        <v>1293</v>
      </c>
      <c r="BT203" s="115" t="s">
        <v>1293</v>
      </c>
      <c r="BU203" s="115" t="s">
        <v>1293</v>
      </c>
      <c r="BV203" s="114">
        <f t="shared" si="1175"/>
        <v>136</v>
      </c>
      <c r="BW203" s="116">
        <f t="shared" si="1176"/>
        <v>170</v>
      </c>
      <c r="BX203" s="117">
        <f t="shared" si="1177"/>
        <v>174</v>
      </c>
      <c r="BY203" s="116" t="str">
        <f t="shared" si="1178"/>
        <v>-</v>
      </c>
      <c r="BZ203" s="117">
        <f t="shared" si="1179"/>
        <v>224</v>
      </c>
      <c r="CA203" s="116" t="str">
        <f t="shared" si="1180"/>
        <v>-</v>
      </c>
      <c r="CB203" s="117">
        <f t="shared" si="1181"/>
        <v>262</v>
      </c>
      <c r="CC203" s="116">
        <f t="shared" si="1182"/>
        <v>296</v>
      </c>
      <c r="CD203" s="117">
        <f t="shared" si="1183"/>
        <v>305</v>
      </c>
      <c r="CE203" s="116">
        <f t="shared" si="1184"/>
        <v>344</v>
      </c>
      <c r="CF203" s="117">
        <f t="shared" si="1185"/>
        <v>380</v>
      </c>
      <c r="CG203" s="116">
        <f t="shared" si="1186"/>
        <v>406</v>
      </c>
      <c r="CH203" s="114">
        <f t="shared" si="1187"/>
        <v>169</v>
      </c>
      <c r="CI203" s="116">
        <f t="shared" si="1188"/>
        <v>173</v>
      </c>
      <c r="CJ203" s="117">
        <f t="shared" si="1189"/>
        <v>201</v>
      </c>
      <c r="CK203" s="117" t="str">
        <f t="shared" si="1190"/>
        <v>-</v>
      </c>
      <c r="CL203" s="117">
        <f t="shared" si="1191"/>
        <v>257</v>
      </c>
      <c r="CM203" s="117" t="str">
        <f t="shared" si="1192"/>
        <v>-</v>
      </c>
      <c r="CN203" s="117">
        <f t="shared" si="1193"/>
        <v>292</v>
      </c>
      <c r="CO203" s="117">
        <f t="shared" si="1194"/>
        <v>298</v>
      </c>
      <c r="CP203" s="117">
        <f t="shared" si="1195"/>
        <v>337</v>
      </c>
      <c r="CQ203" s="117">
        <f t="shared" si="1196"/>
        <v>367</v>
      </c>
      <c r="CR203" s="117">
        <f t="shared" si="1197"/>
        <v>405</v>
      </c>
      <c r="CS203" s="117">
        <f t="shared" si="1198"/>
        <v>422</v>
      </c>
      <c r="CT203" s="112">
        <f t="shared" si="1199"/>
        <v>1</v>
      </c>
    </row>
    <row r="204" spans="1:1029" s="12" customFormat="1" x14ac:dyDescent="0.2">
      <c r="A204" s="9" t="str">
        <f t="shared" ref="A204" si="1228">CONCATENATE(B204,"_",C204)</f>
        <v>glp1r_human_5NX2</v>
      </c>
      <c r="B204" s="9" t="s">
        <v>406</v>
      </c>
      <c r="C204" s="9" t="s">
        <v>1428</v>
      </c>
      <c r="D204" s="9" t="str">
        <f>IFERROR(MID(VLOOKUP($B204,Seqs!$A:$B,2,0),E204,1),"")</f>
        <v>E</v>
      </c>
      <c r="E204" s="9">
        <v>138</v>
      </c>
      <c r="F204" s="9" t="str">
        <f>IFERROR(MID(VLOOKUP($B204,Seqs!$A:$B,2,0),G204,1),"")</f>
        <v>F</v>
      </c>
      <c r="G204" s="9">
        <v>169</v>
      </c>
      <c r="H204" s="9" t="str">
        <f>IFERROR(MID(VLOOKUP($B204,Seqs!$A:$B,2,0),I204,1),"")</f>
        <v>R</v>
      </c>
      <c r="I204" s="112">
        <v>170</v>
      </c>
      <c r="J204" s="9" t="str">
        <f>IFERROR(MID(VLOOKUP($B204,Seqs!$A:$B,2,0),K204,1),"")</f>
        <v>H</v>
      </c>
      <c r="K204" s="112">
        <v>173</v>
      </c>
      <c r="L204" s="9" t="str">
        <f>IFERROR(MID(VLOOKUP($B204,Seqs!$A:$B,2,0),M204,1),"")</f>
        <v>C</v>
      </c>
      <c r="M204" s="112">
        <v>174</v>
      </c>
      <c r="N204" s="9" t="str">
        <f>IFERROR(MID(VLOOKUP($B204,Seqs!$A:$B,2,0),O204,1),"")</f>
        <v>S</v>
      </c>
      <c r="O204" s="9">
        <v>206</v>
      </c>
      <c r="P204" s="9" t="str">
        <f>IFERROR(MID(VLOOKUP($B204,Seqs!$A:$B,2,0),Q204,1),"")</f>
        <v/>
      </c>
      <c r="Q204" s="9" t="s">
        <v>23</v>
      </c>
      <c r="R204" s="9" t="str">
        <f>IFERROR(MID(VLOOKUP($B204,Seqs!$A:$B,2,0),S204,1),"")</f>
        <v/>
      </c>
      <c r="S204" s="9" t="s">
        <v>23</v>
      </c>
      <c r="T204" s="9" t="str">
        <f>IFERROR(MID(VLOOKUP($B204,Seqs!$A:$B,2,0),U204,1),"")</f>
        <v>L</v>
      </c>
      <c r="U204" s="9">
        <v>224</v>
      </c>
      <c r="V204" s="9" t="str">
        <f>IFERROR(MID(VLOOKUP($B204,Seqs!$A:$B,2,0),W204,1),"")</f>
        <v>F</v>
      </c>
      <c r="W204" s="9">
        <v>257</v>
      </c>
      <c r="X204" s="9" t="str">
        <f>IFERROR(MID(VLOOKUP($B204,Seqs!$A:$B,2,0),Y204,1),"")</f>
        <v/>
      </c>
      <c r="Y204" s="9" t="s">
        <v>23</v>
      </c>
      <c r="Z204" s="9" t="str">
        <f>IFERROR(MID(VLOOKUP($B204,Seqs!$A:$B,2,0),AA204,1),"")</f>
        <v/>
      </c>
      <c r="AA204" s="9" t="s">
        <v>23</v>
      </c>
      <c r="AB204" s="9" t="str">
        <f>IFERROR(MID(VLOOKUP($B204,Seqs!$A:$B,2,0),AC204,1),"")</f>
        <v>E</v>
      </c>
      <c r="AC204" s="9">
        <v>262</v>
      </c>
      <c r="AD204" s="9" t="str">
        <f>IFERROR(MID(VLOOKUP($B204,Seqs!$A:$B,2,0),AE204,1),"")</f>
        <v>Y</v>
      </c>
      <c r="AE204" s="9">
        <v>291</v>
      </c>
      <c r="AF204" s="9" t="str">
        <f>IFERROR(MID(VLOOKUP($B204,Seqs!$A:$B,2,0),AG204,1),"")</f>
        <v>C</v>
      </c>
      <c r="AG204" s="9">
        <v>296</v>
      </c>
      <c r="AH204" s="9" t="str">
        <f>IFERROR(MID(VLOOKUP($B204,Seqs!$A:$B,2,0),AI204,1),"")</f>
        <v>T</v>
      </c>
      <c r="AI204" s="9">
        <v>298</v>
      </c>
      <c r="AJ204" s="9" t="str">
        <f>IFERROR(MID(VLOOKUP($B204,Seqs!$A:$B,2,0),AK204,1),"")</f>
        <v>N</v>
      </c>
      <c r="AK204" s="9">
        <v>302</v>
      </c>
      <c r="AL204" s="9" t="str">
        <f>IFERROR(MID(VLOOKUP($B204,Seqs!$A:$B,2,0),AM204,1),"")</f>
        <v>L</v>
      </c>
      <c r="AM204" s="9">
        <v>335</v>
      </c>
      <c r="AN204" s="9" t="str">
        <f>IFERROR(MID(VLOOKUP($B204,Seqs!$A:$B,2,0),AO204,1),"")</f>
        <v>M</v>
      </c>
      <c r="AO204" s="9">
        <v>340</v>
      </c>
      <c r="AP204" s="9" t="str">
        <f>IFERROR(MID(VLOOKUP($B204,Seqs!$A:$B,2,0),AQ204,1),"")</f>
        <v>F</v>
      </c>
      <c r="AQ204" s="9">
        <v>369</v>
      </c>
      <c r="AR204" s="9" t="str">
        <f>IFERROR(MID(VLOOKUP($B204,Seqs!$A:$B,2,0),AS204,1),"")</f>
        <v>G</v>
      </c>
      <c r="AS204" s="9">
        <v>377</v>
      </c>
      <c r="AT204" s="9" t="str">
        <f>IFERROR(MID(VLOOKUP($B204,Seqs!$A:$B,2,0),AU204,1),"")</f>
        <v>V</v>
      </c>
      <c r="AU204" s="9">
        <v>405</v>
      </c>
      <c r="AV204" s="9" t="str">
        <f>IFERROR(MID(VLOOKUP($B204,Seqs!$A:$B,2,0),AW204,1),"")</f>
        <v>N</v>
      </c>
      <c r="AW204" s="9">
        <v>406</v>
      </c>
      <c r="AX204" s="9" t="str">
        <f>IFERROR(MID(VLOOKUP($B204,Seqs!$A:$B,2,0),AY204,1),"")</f>
        <v>S</v>
      </c>
      <c r="AY204" s="9">
        <v>416</v>
      </c>
      <c r="AZ204" s="113" t="str">
        <f>VLOOKUP(B204,Classification!A:D,2,0)</f>
        <v>B1</v>
      </c>
      <c r="BA204" s="101" t="str">
        <f>VLOOKUP(B204,Classification!A:D,4,0)</f>
        <v>Glucagonreceptorfamily</v>
      </c>
      <c r="BB204" s="37" t="b">
        <f t="shared" ref="BB204" si="1229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12">
        <f t="shared" ref="BC204" si="1230">_xlfn.AGGREGATE(9,6,CH204:CS204)-_xlfn.AGGREGATE(9,6,BV204:CG204)+12</f>
        <v>242</v>
      </c>
      <c r="BD204" s="11" t="s">
        <v>1440</v>
      </c>
      <c r="BE204" s="9" t="s">
        <v>1439</v>
      </c>
      <c r="BF204" s="125">
        <v>3.7</v>
      </c>
      <c r="BG204" s="52" t="s">
        <v>1</v>
      </c>
      <c r="BH204" s="52" t="s">
        <v>1</v>
      </c>
      <c r="BJ204" s="114" t="s">
        <v>1293</v>
      </c>
      <c r="BK204" s="115" t="s">
        <v>1293</v>
      </c>
      <c r="BL204" s="115" t="s">
        <v>1293</v>
      </c>
      <c r="BM204" s="115" t="s">
        <v>1293</v>
      </c>
      <c r="BN204" s="115" t="s">
        <v>1293</v>
      </c>
      <c r="BO204" s="115" t="s">
        <v>1293</v>
      </c>
      <c r="BP204" s="115" t="s">
        <v>1293</v>
      </c>
      <c r="BQ204" s="115" t="s">
        <v>1293</v>
      </c>
      <c r="BR204" s="115" t="s">
        <v>1293</v>
      </c>
      <c r="BS204" s="115" t="s">
        <v>1293</v>
      </c>
      <c r="BT204" s="115" t="s">
        <v>1293</v>
      </c>
      <c r="BU204" s="115" t="s">
        <v>1293</v>
      </c>
      <c r="BV204" s="114">
        <f t="shared" ref="BV204" si="1231">E204</f>
        <v>138</v>
      </c>
      <c r="BW204" s="116">
        <f t="shared" ref="BW204" si="1232">I204</f>
        <v>170</v>
      </c>
      <c r="BX204" s="117">
        <f t="shared" ref="BX204" si="1233">M204</f>
        <v>174</v>
      </c>
      <c r="BY204" s="116" t="str">
        <f t="shared" ref="BY204" si="1234">Q204</f>
        <v>-</v>
      </c>
      <c r="BZ204" s="117">
        <f t="shared" ref="BZ204" si="1235">U204</f>
        <v>224</v>
      </c>
      <c r="CA204" s="116" t="str">
        <f t="shared" ref="CA204" si="1236">Y204</f>
        <v>-</v>
      </c>
      <c r="CB204" s="117">
        <f t="shared" ref="CB204" si="1237">AC204</f>
        <v>262</v>
      </c>
      <c r="CC204" s="116">
        <f t="shared" ref="CC204" si="1238">AG204</f>
        <v>296</v>
      </c>
      <c r="CD204" s="117">
        <f t="shared" ref="CD204" si="1239">AK204</f>
        <v>302</v>
      </c>
      <c r="CE204" s="116">
        <f t="shared" ref="CE204" si="1240">AO204</f>
        <v>340</v>
      </c>
      <c r="CF204" s="117">
        <f t="shared" ref="CF204" si="1241">AS204</f>
        <v>377</v>
      </c>
      <c r="CG204" s="116">
        <f t="shared" ref="CG204" si="1242">AW204</f>
        <v>406</v>
      </c>
      <c r="CH204" s="114">
        <f t="shared" ref="CH204" si="1243">G204</f>
        <v>169</v>
      </c>
      <c r="CI204" s="116">
        <f t="shared" ref="CI204" si="1244">K204</f>
        <v>173</v>
      </c>
      <c r="CJ204" s="117">
        <f t="shared" ref="CJ204" si="1245">O204</f>
        <v>206</v>
      </c>
      <c r="CK204" s="117" t="str">
        <f t="shared" ref="CK204" si="1246">S204</f>
        <v>-</v>
      </c>
      <c r="CL204" s="117">
        <f t="shared" ref="CL204" si="1247">W204</f>
        <v>257</v>
      </c>
      <c r="CM204" s="117" t="str">
        <f t="shared" ref="CM204" si="1248">AA204</f>
        <v>-</v>
      </c>
      <c r="CN204" s="117">
        <f t="shared" ref="CN204" si="1249">AE204</f>
        <v>291</v>
      </c>
      <c r="CO204" s="117">
        <f t="shared" ref="CO204" si="1250">AI204</f>
        <v>298</v>
      </c>
      <c r="CP204" s="117">
        <f t="shared" ref="CP204" si="1251">AM204</f>
        <v>335</v>
      </c>
      <c r="CQ204" s="117">
        <f t="shared" ref="CQ204" si="1252">AQ204</f>
        <v>369</v>
      </c>
      <c r="CR204" s="117">
        <f t="shared" ref="CR204" si="1253">AU204</f>
        <v>405</v>
      </c>
      <c r="CS204" s="117">
        <f t="shared" ref="CS204" si="1254">AY204</f>
        <v>416</v>
      </c>
      <c r="CT204" s="112">
        <f t="shared" ref="CT204" si="1255">M204-K204</f>
        <v>1</v>
      </c>
    </row>
    <row r="205" spans="1:1029" s="12" customFormat="1" x14ac:dyDescent="0.2">
      <c r="A205" s="9" t="str">
        <f t="shared" ref="A205:A206" si="1256">CONCATENATE(B205,"_",C205)</f>
        <v>g1sgd4_rabit__wt</v>
      </c>
      <c r="B205" s="9" t="s">
        <v>1430</v>
      </c>
      <c r="C205" s="9" t="s">
        <v>100</v>
      </c>
      <c r="D205" s="9" t="str">
        <f>IFERROR(MID(VLOOKUP($B205,Seqs!$A:$B,2,0),E205,1),"")</f>
        <v>P</v>
      </c>
      <c r="E205" s="9">
        <v>137</v>
      </c>
      <c r="F205" s="9" t="str">
        <f>IFERROR(MID(VLOOKUP($B205,Seqs!$A:$B,2,0),G205,1),"")</f>
        <v>F</v>
      </c>
      <c r="G205" s="9">
        <v>169</v>
      </c>
      <c r="H205" s="9" t="str">
        <f>IFERROR(MID(VLOOKUP($B205,Seqs!$A:$B,2,0),I205,1),"")</f>
        <v>R</v>
      </c>
      <c r="I205" s="112">
        <v>170</v>
      </c>
      <c r="J205" s="9" t="str">
        <f>IFERROR(MID(VLOOKUP($B205,Seqs!$A:$B,2,0),K205,1),"")</f>
        <v>H</v>
      </c>
      <c r="K205" s="112">
        <v>173</v>
      </c>
      <c r="L205" s="9" t="str">
        <f>IFERROR(MID(VLOOKUP($B205,Seqs!$A:$B,2,0),M205,1),"")</f>
        <v>C</v>
      </c>
      <c r="M205" s="112">
        <v>174</v>
      </c>
      <c r="N205" s="9" t="str">
        <f>IFERROR(MID(VLOOKUP($B205,Seqs!$A:$B,2,0),O205,1),"")</f>
        <v>Q</v>
      </c>
      <c r="O205" s="9">
        <v>211</v>
      </c>
      <c r="P205" s="9" t="str">
        <f>IFERROR(MID(VLOOKUP($B205,Seqs!$A:$B,2,0),Q205,1),"")</f>
        <v/>
      </c>
      <c r="Q205" s="9" t="s">
        <v>23</v>
      </c>
      <c r="R205" s="9" t="str">
        <f>IFERROR(MID(VLOOKUP($B205,Seqs!$A:$B,2,0),S205,1),"")</f>
        <v/>
      </c>
      <c r="S205" s="9" t="s">
        <v>23</v>
      </c>
      <c r="T205" s="9" t="str">
        <f>IFERROR(MID(VLOOKUP($B205,Seqs!$A:$B,2,0),U205,1),"")</f>
        <v>L</v>
      </c>
      <c r="U205" s="9">
        <v>224</v>
      </c>
      <c r="V205" s="9" t="str">
        <f>IFERROR(MID(VLOOKUP($B205,Seqs!$A:$B,2,0),W205,1),"")</f>
        <v>F</v>
      </c>
      <c r="W205" s="9">
        <v>257</v>
      </c>
      <c r="X205" s="9" t="str">
        <f>IFERROR(MID(VLOOKUP($B205,Seqs!$A:$B,2,0),Y205,1),"")</f>
        <v/>
      </c>
      <c r="Y205" s="9" t="s">
        <v>23</v>
      </c>
      <c r="Z205" s="9" t="str">
        <f>IFERROR(MID(VLOOKUP($B205,Seqs!$A:$B,2,0),AA205,1),"")</f>
        <v/>
      </c>
      <c r="AA205" s="9" t="s">
        <v>23</v>
      </c>
      <c r="AB205" s="9" t="str">
        <f>IFERROR(MID(VLOOKUP($B205,Seqs!$A:$B,2,0),AC205,1),"")</f>
        <v>S</v>
      </c>
      <c r="AC205" s="9">
        <v>261</v>
      </c>
      <c r="AD205" s="9" t="str">
        <f>IFERROR(MID(VLOOKUP($B205,Seqs!$A:$B,2,0),AE205,1),"")</f>
        <v>E</v>
      </c>
      <c r="AE205" s="9">
        <v>292</v>
      </c>
      <c r="AF205" s="9" t="str">
        <f>IFERROR(MID(VLOOKUP($B205,Seqs!$A:$B,2,0),AG205,1),"")</f>
        <v>C</v>
      </c>
      <c r="AG205" s="9">
        <v>296</v>
      </c>
      <c r="AH205" s="9" t="str">
        <f>IFERROR(MID(VLOOKUP($B205,Seqs!$A:$B,2,0),AI205,1),"")</f>
        <v>T</v>
      </c>
      <c r="AI205" s="9">
        <v>298</v>
      </c>
      <c r="AJ205" s="9" t="str">
        <f>IFERROR(MID(VLOOKUP($B205,Seqs!$A:$B,2,0),AK205,1),"")</f>
        <v>Y</v>
      </c>
      <c r="AK205" s="9">
        <v>305</v>
      </c>
      <c r="AL205" s="9" t="str">
        <f>IFERROR(MID(VLOOKUP($B205,Seqs!$A:$B,2,0),AM205,1),"")</f>
        <v>A</v>
      </c>
      <c r="AM205" s="9">
        <v>337</v>
      </c>
      <c r="AN205" s="9" t="str">
        <f>IFERROR(MID(VLOOKUP($B205,Seqs!$A:$B,2,0),AO205,1),"")</f>
        <v>K</v>
      </c>
      <c r="AO205" s="9">
        <v>346</v>
      </c>
      <c r="AP205" s="9" t="str">
        <f>IFERROR(MID(VLOOKUP($B205,Seqs!$A:$B,2,0),AQ205,1),"")</f>
        <v>F</v>
      </c>
      <c r="AQ205" s="9">
        <v>369</v>
      </c>
      <c r="AR205" s="9" t="str">
        <f>IFERROR(MID(VLOOKUP($B205,Seqs!$A:$B,2,0),AS205,1),"")</f>
        <v>L</v>
      </c>
      <c r="AS205" s="9">
        <v>379</v>
      </c>
      <c r="AT205" s="9" t="str">
        <f>IFERROR(MID(VLOOKUP($B205,Seqs!$A:$B,2,0),AU205,1),"")</f>
        <v>V</v>
      </c>
      <c r="AU205" s="9">
        <v>405</v>
      </c>
      <c r="AV205" s="9" t="str">
        <f>IFERROR(MID(VLOOKUP($B205,Seqs!$A:$B,2,0),AW205,1),"")</f>
        <v>N</v>
      </c>
      <c r="AW205" s="9">
        <v>406</v>
      </c>
      <c r="AX205" s="9" t="str">
        <f>IFERROR(MID(VLOOKUP($B205,Seqs!$A:$B,2,0),AY205,1),"")</f>
        <v>S</v>
      </c>
      <c r="AY205" s="9">
        <v>431</v>
      </c>
      <c r="AZ205" s="113" t="str">
        <f>VLOOKUP(B205,Classification!A:D,2,0)</f>
        <v>B1</v>
      </c>
      <c r="BA205" s="101" t="str">
        <f>VLOOKUP(B205,Classification!A:D,4,0)</f>
        <v>Glucagonreceptorfamily</v>
      </c>
      <c r="BB205" s="37" t="b">
        <f t="shared" ref="BB205:BB206" si="1257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12">
        <f t="shared" ref="BC205:BC206" si="1258">_xlfn.AGGREGATE(9,6,CH205:CS205)-_xlfn.AGGREGATE(9,6,BV205:CG205)+12</f>
        <v>256</v>
      </c>
      <c r="BD205" s="11" t="s">
        <v>23</v>
      </c>
      <c r="BE205" s="9" t="s">
        <v>23</v>
      </c>
      <c r="BF205" s="125" t="s">
        <v>23</v>
      </c>
      <c r="BG205" s="52"/>
      <c r="BH205" s="52"/>
      <c r="BJ205" s="114" t="s">
        <v>1293</v>
      </c>
      <c r="BK205" s="115" t="s">
        <v>1293</v>
      </c>
      <c r="BL205" s="115" t="s">
        <v>1293</v>
      </c>
      <c r="BM205" s="115" t="s">
        <v>1293</v>
      </c>
      <c r="BN205" s="115" t="s">
        <v>1293</v>
      </c>
      <c r="BO205" s="115" t="s">
        <v>1293</v>
      </c>
      <c r="BP205" s="115" t="s">
        <v>1293</v>
      </c>
      <c r="BQ205" s="115" t="s">
        <v>1293</v>
      </c>
      <c r="BR205" s="115" t="s">
        <v>1293</v>
      </c>
      <c r="BS205" s="115" t="s">
        <v>1293</v>
      </c>
      <c r="BT205" s="115" t="s">
        <v>1293</v>
      </c>
      <c r="BU205" s="115" t="s">
        <v>1293</v>
      </c>
      <c r="BV205" s="114">
        <f t="shared" ref="BV205:BV206" si="1259">E205</f>
        <v>137</v>
      </c>
      <c r="BW205" s="116">
        <f t="shared" ref="BW205:BW206" si="1260">I205</f>
        <v>170</v>
      </c>
      <c r="BX205" s="117">
        <f t="shared" ref="BX205:BX206" si="1261">M205</f>
        <v>174</v>
      </c>
      <c r="BY205" s="116" t="str">
        <f t="shared" ref="BY205:BY206" si="1262">Q205</f>
        <v>-</v>
      </c>
      <c r="BZ205" s="117">
        <f t="shared" ref="BZ205:BZ206" si="1263">U205</f>
        <v>224</v>
      </c>
      <c r="CA205" s="116" t="str">
        <f t="shared" ref="CA205:CA206" si="1264">Y205</f>
        <v>-</v>
      </c>
      <c r="CB205" s="117">
        <f t="shared" ref="CB205:CB206" si="1265">AC205</f>
        <v>261</v>
      </c>
      <c r="CC205" s="116">
        <f t="shared" ref="CC205:CC206" si="1266">AG205</f>
        <v>296</v>
      </c>
      <c r="CD205" s="117">
        <f t="shared" ref="CD205:CD206" si="1267">AK205</f>
        <v>305</v>
      </c>
      <c r="CE205" s="116">
        <f t="shared" ref="CE205:CE206" si="1268">AO205</f>
        <v>346</v>
      </c>
      <c r="CF205" s="117">
        <f t="shared" ref="CF205:CF206" si="1269">AS205</f>
        <v>379</v>
      </c>
      <c r="CG205" s="116">
        <f t="shared" ref="CG205:CG206" si="1270">AW205</f>
        <v>406</v>
      </c>
      <c r="CH205" s="114">
        <f t="shared" ref="CH205:CH206" si="1271">G205</f>
        <v>169</v>
      </c>
      <c r="CI205" s="116">
        <f t="shared" ref="CI205:CI206" si="1272">K205</f>
        <v>173</v>
      </c>
      <c r="CJ205" s="117">
        <f t="shared" ref="CJ205:CJ206" si="1273">O205</f>
        <v>211</v>
      </c>
      <c r="CK205" s="117" t="str">
        <f t="shared" ref="CK205:CK206" si="1274">S205</f>
        <v>-</v>
      </c>
      <c r="CL205" s="117">
        <f t="shared" ref="CL205:CL206" si="1275">W205</f>
        <v>257</v>
      </c>
      <c r="CM205" s="117" t="str">
        <f t="shared" ref="CM205:CM206" si="1276">AA205</f>
        <v>-</v>
      </c>
      <c r="CN205" s="117">
        <f t="shared" ref="CN205:CN206" si="1277">AE205</f>
        <v>292</v>
      </c>
      <c r="CO205" s="117">
        <f t="shared" ref="CO205:CO206" si="1278">AI205</f>
        <v>298</v>
      </c>
      <c r="CP205" s="117">
        <f t="shared" ref="CP205:CP206" si="1279">AM205</f>
        <v>337</v>
      </c>
      <c r="CQ205" s="117">
        <f t="shared" ref="CQ205:CQ206" si="1280">AQ205</f>
        <v>369</v>
      </c>
      <c r="CR205" s="117">
        <f t="shared" ref="CR205:CR206" si="1281">AU205</f>
        <v>405</v>
      </c>
      <c r="CS205" s="117">
        <f t="shared" ref="CS205:CS206" si="1282">AY205</f>
        <v>431</v>
      </c>
      <c r="CT205" s="112">
        <f t="shared" ref="CT205:CT206" si="1283">M205-K205</f>
        <v>1</v>
      </c>
    </row>
    <row r="206" spans="1:1029" s="12" customFormat="1" x14ac:dyDescent="0.2">
      <c r="A206" s="9" t="str">
        <f t="shared" si="1256"/>
        <v>g1sgd4_rabit_5VAI</v>
      </c>
      <c r="B206" s="9" t="s">
        <v>1430</v>
      </c>
      <c r="C206" s="9" t="s">
        <v>1432</v>
      </c>
      <c r="D206" s="9" t="str">
        <f>IFERROR(MID(VLOOKUP($B206,Seqs!$A:$B,2,0),E206,1),"")</f>
        <v>P</v>
      </c>
      <c r="E206" s="9">
        <v>137</v>
      </c>
      <c r="F206" s="9" t="str">
        <f>IFERROR(MID(VLOOKUP($B206,Seqs!$A:$B,2,0),G206,1),"")</f>
        <v>G</v>
      </c>
      <c r="G206" s="9">
        <v>168</v>
      </c>
      <c r="H206" s="9" t="str">
        <f>IFERROR(MID(VLOOKUP($B206,Seqs!$A:$B,2,0),I206,1),"")</f>
        <v>R</v>
      </c>
      <c r="I206" s="112">
        <v>170</v>
      </c>
      <c r="J206" s="9" t="str">
        <f>IFERROR(MID(VLOOKUP($B206,Seqs!$A:$B,2,0),K206,1),"")</f>
        <v>H</v>
      </c>
      <c r="K206" s="112">
        <v>173</v>
      </c>
      <c r="L206" s="9" t="str">
        <f>IFERROR(MID(VLOOKUP($B206,Seqs!$A:$B,2,0),M206,1),"")</f>
        <v>C</v>
      </c>
      <c r="M206" s="112">
        <v>174</v>
      </c>
      <c r="N206" s="9" t="str">
        <f>IFERROR(MID(VLOOKUP($B206,Seqs!$A:$B,2,0),O206,1),"")</f>
        <v>Q</v>
      </c>
      <c r="O206" s="9">
        <v>211</v>
      </c>
      <c r="P206" s="9" t="str">
        <f>IFERROR(MID(VLOOKUP($B206,Seqs!$A:$B,2,0),Q206,1),"")</f>
        <v/>
      </c>
      <c r="Q206" s="9" t="s">
        <v>23</v>
      </c>
      <c r="R206" s="9" t="str">
        <f>IFERROR(MID(VLOOKUP($B206,Seqs!$A:$B,2,0),S206,1),"")</f>
        <v/>
      </c>
      <c r="S206" s="9" t="s">
        <v>23</v>
      </c>
      <c r="T206" s="9" t="str">
        <f>IFERROR(MID(VLOOKUP($B206,Seqs!$A:$B,2,0),U206,1),"")</f>
        <v>L</v>
      </c>
      <c r="U206" s="9">
        <v>224</v>
      </c>
      <c r="V206" s="9" t="str">
        <f>IFERROR(MID(VLOOKUP($B206,Seqs!$A:$B,2,0),W206,1),"")</f>
        <v>F</v>
      </c>
      <c r="W206" s="9">
        <v>257</v>
      </c>
      <c r="X206" s="9" t="str">
        <f>IFERROR(MID(VLOOKUP($B206,Seqs!$A:$B,2,0),Y206,1),"")</f>
        <v/>
      </c>
      <c r="Y206" s="9" t="s">
        <v>23</v>
      </c>
      <c r="Z206" s="9" t="str">
        <f>IFERROR(MID(VLOOKUP($B206,Seqs!$A:$B,2,0),AA206,1),"")</f>
        <v/>
      </c>
      <c r="AA206" s="9" t="s">
        <v>23</v>
      </c>
      <c r="AB206" s="9" t="str">
        <f>IFERROR(MID(VLOOKUP($B206,Seqs!$A:$B,2,0),AC206,1),"")</f>
        <v>S</v>
      </c>
      <c r="AC206" s="9">
        <v>261</v>
      </c>
      <c r="AD206" s="9" t="str">
        <f>IFERROR(MID(VLOOKUP($B206,Seqs!$A:$B,2,0),AE206,1),"")</f>
        <v>E</v>
      </c>
      <c r="AE206" s="9">
        <v>292</v>
      </c>
      <c r="AF206" s="9" t="str">
        <f>IFERROR(MID(VLOOKUP($B206,Seqs!$A:$B,2,0),AG206,1),"")</f>
        <v>C</v>
      </c>
      <c r="AG206" s="9">
        <v>296</v>
      </c>
      <c r="AH206" s="9" t="str">
        <f>IFERROR(MID(VLOOKUP($B206,Seqs!$A:$B,2,0),AI206,1),"")</f>
        <v>T</v>
      </c>
      <c r="AI206" s="9">
        <v>298</v>
      </c>
      <c r="AJ206" s="9" t="str">
        <f>IFERROR(MID(VLOOKUP($B206,Seqs!$A:$B,2,0),AK206,1),"")</f>
        <v>Y</v>
      </c>
      <c r="AK206" s="9">
        <v>305</v>
      </c>
      <c r="AL206" s="9" t="str">
        <f>IFERROR(MID(VLOOKUP($B206,Seqs!$A:$B,2,0),AM206,1),"")</f>
        <v>A</v>
      </c>
      <c r="AM206" s="9">
        <v>337</v>
      </c>
      <c r="AN206" s="9" t="str">
        <f>IFERROR(MID(VLOOKUP($B206,Seqs!$A:$B,2,0),AO206,1),"")</f>
        <v>K</v>
      </c>
      <c r="AO206" s="9">
        <v>346</v>
      </c>
      <c r="AP206" s="9" t="str">
        <f>IFERROR(MID(VLOOKUP($B206,Seqs!$A:$B,2,0),AQ206,1),"")</f>
        <v>F</v>
      </c>
      <c r="AQ206" s="9">
        <v>369</v>
      </c>
      <c r="AR206" s="9" t="str">
        <f>IFERROR(MID(VLOOKUP($B206,Seqs!$A:$B,2,0),AS206,1),"")</f>
        <v>L</v>
      </c>
      <c r="AS206" s="9">
        <v>379</v>
      </c>
      <c r="AT206" s="9" t="str">
        <f>IFERROR(MID(VLOOKUP($B206,Seqs!$A:$B,2,0),AU206,1),"")</f>
        <v>V</v>
      </c>
      <c r="AU206" s="9">
        <v>405</v>
      </c>
      <c r="AV206" s="9" t="str">
        <f>IFERROR(MID(VLOOKUP($B206,Seqs!$A:$B,2,0),AW206,1),"")</f>
        <v>N</v>
      </c>
      <c r="AW206" s="9">
        <v>406</v>
      </c>
      <c r="AX206" s="9" t="str">
        <f>IFERROR(MID(VLOOKUP($B206,Seqs!$A:$B,2,0),AY206,1),"")</f>
        <v>R</v>
      </c>
      <c r="AY206" s="9">
        <v>421</v>
      </c>
      <c r="AZ206" s="113" t="str">
        <f>VLOOKUP(B206,Classification!A:D,2,0)</f>
        <v>B1</v>
      </c>
      <c r="BA206" s="101" t="str">
        <f>VLOOKUP(B206,Classification!A:D,4,0)</f>
        <v>Glucagonreceptorfamily</v>
      </c>
      <c r="BB206" s="37" t="b">
        <f t="shared" si="1257"/>
        <v>1</v>
      </c>
      <c r="BC206" s="112">
        <f t="shared" si="1258"/>
        <v>245</v>
      </c>
      <c r="BD206" s="11" t="s">
        <v>1382</v>
      </c>
      <c r="BE206" s="9" t="s">
        <v>1297</v>
      </c>
      <c r="BF206" s="125">
        <v>4.0999999999999996</v>
      </c>
      <c r="BG206" s="52" t="s">
        <v>1433</v>
      </c>
      <c r="BH206" s="52" t="s">
        <v>1433</v>
      </c>
      <c r="BJ206" s="114" t="s">
        <v>1293</v>
      </c>
      <c r="BK206" s="115" t="s">
        <v>1293</v>
      </c>
      <c r="BL206" s="115" t="s">
        <v>1293</v>
      </c>
      <c r="BM206" s="115" t="s">
        <v>1293</v>
      </c>
      <c r="BN206" s="115" t="s">
        <v>1293</v>
      </c>
      <c r="BO206" s="115" t="s">
        <v>1293</v>
      </c>
      <c r="BP206" s="115" t="s">
        <v>1293</v>
      </c>
      <c r="BQ206" s="115" t="s">
        <v>1293</v>
      </c>
      <c r="BR206" s="115" t="s">
        <v>1293</v>
      </c>
      <c r="BS206" s="115" t="s">
        <v>1293</v>
      </c>
      <c r="BT206" s="115" t="s">
        <v>1293</v>
      </c>
      <c r="BU206" s="115" t="s">
        <v>1293</v>
      </c>
      <c r="BV206" s="114">
        <f t="shared" si="1259"/>
        <v>137</v>
      </c>
      <c r="BW206" s="116">
        <f t="shared" si="1260"/>
        <v>170</v>
      </c>
      <c r="BX206" s="117">
        <f t="shared" si="1261"/>
        <v>174</v>
      </c>
      <c r="BY206" s="116" t="str">
        <f t="shared" si="1262"/>
        <v>-</v>
      </c>
      <c r="BZ206" s="117">
        <f t="shared" si="1263"/>
        <v>224</v>
      </c>
      <c r="CA206" s="116" t="str">
        <f t="shared" si="1264"/>
        <v>-</v>
      </c>
      <c r="CB206" s="117">
        <f t="shared" si="1265"/>
        <v>261</v>
      </c>
      <c r="CC206" s="116">
        <f t="shared" si="1266"/>
        <v>296</v>
      </c>
      <c r="CD206" s="117">
        <f t="shared" si="1267"/>
        <v>305</v>
      </c>
      <c r="CE206" s="116">
        <f t="shared" si="1268"/>
        <v>346</v>
      </c>
      <c r="CF206" s="117">
        <f t="shared" si="1269"/>
        <v>379</v>
      </c>
      <c r="CG206" s="116">
        <f t="shared" si="1270"/>
        <v>406</v>
      </c>
      <c r="CH206" s="114">
        <f t="shared" si="1271"/>
        <v>168</v>
      </c>
      <c r="CI206" s="116">
        <f t="shared" si="1272"/>
        <v>173</v>
      </c>
      <c r="CJ206" s="117">
        <f t="shared" si="1273"/>
        <v>211</v>
      </c>
      <c r="CK206" s="117" t="str">
        <f t="shared" si="1274"/>
        <v>-</v>
      </c>
      <c r="CL206" s="117">
        <f t="shared" si="1275"/>
        <v>257</v>
      </c>
      <c r="CM206" s="117" t="str">
        <f t="shared" si="1276"/>
        <v>-</v>
      </c>
      <c r="CN206" s="117">
        <f t="shared" si="1277"/>
        <v>292</v>
      </c>
      <c r="CO206" s="117">
        <f t="shared" si="1278"/>
        <v>298</v>
      </c>
      <c r="CP206" s="117">
        <f t="shared" si="1279"/>
        <v>337</v>
      </c>
      <c r="CQ206" s="117">
        <f t="shared" si="1280"/>
        <v>369</v>
      </c>
      <c r="CR206" s="117">
        <f t="shared" si="1281"/>
        <v>405</v>
      </c>
      <c r="CS206" s="117">
        <f t="shared" si="1282"/>
        <v>421</v>
      </c>
      <c r="CT206" s="112">
        <f t="shared" si="1283"/>
        <v>1</v>
      </c>
    </row>
    <row r="207" spans="1:1029" x14ac:dyDescent="0.2">
      <c r="A207" s="3" t="str">
        <f t="shared" si="1114"/>
        <v>grm1_human__wt</v>
      </c>
      <c r="B207" s="3" t="s">
        <v>40</v>
      </c>
      <c r="C207" s="3" t="s">
        <v>100</v>
      </c>
      <c r="D207" s="3" t="str">
        <f>IFERROR(MID(VLOOKUP($B207,Seqs!$A:$B,2,0),E207,1),"")</f>
        <v>I</v>
      </c>
      <c r="E207" s="3">
        <v>591</v>
      </c>
      <c r="F207" s="3" t="str">
        <f>IFERROR(MID(VLOOKUP($B207,Seqs!$A:$B,2,0),G207,1),"")</f>
        <v>Y</v>
      </c>
      <c r="G207" s="3">
        <v>617</v>
      </c>
      <c r="H207" s="3" t="str">
        <f>IFERROR(MID(VLOOKUP($B207,Seqs!$A:$B,2,0),I207,1),"")</f>
        <v>T</v>
      </c>
      <c r="I207" s="23">
        <v>620</v>
      </c>
      <c r="J207" s="3" t="str">
        <f>IFERROR(MID(VLOOKUP($B207,Seqs!$A:$B,2,0),K207,1),"")</f>
        <v>S</v>
      </c>
      <c r="K207" s="23">
        <v>626</v>
      </c>
      <c r="L207" s="3" t="str">
        <f>IFERROR(MID(VLOOKUP($B207,Seqs!$A:$B,2,0),M207,1),"")</f>
        <v>S</v>
      </c>
      <c r="M207" s="3">
        <v>627</v>
      </c>
      <c r="N207" s="3" t="str">
        <f>IFERROR(MID(VLOOKUP($B207,Seqs!$A:$B,2,0),O207,1),"")</f>
        <v>I</v>
      </c>
      <c r="O207" s="3">
        <v>649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T</v>
      </c>
      <c r="U207" s="3">
        <v>654</v>
      </c>
      <c r="V207" s="3" t="str">
        <f>IFERROR(MID(VLOOKUP($B207,Seqs!$A:$B,2,0),W207,1),"")</f>
        <v>L</v>
      </c>
      <c r="W207" s="3">
        <v>686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702</v>
      </c>
      <c r="AD207" s="3" t="str">
        <f>IFERROR(MID(VLOOKUP($B207,Seqs!$A:$B,2,0),AE207,1),"")</f>
        <v>E</v>
      </c>
      <c r="AE207" s="3">
        <v>728</v>
      </c>
      <c r="AF207" s="3" t="str">
        <f>IFERROR(MID(VLOOKUP($B207,Seqs!$A:$B,2,0),AG207,1),"")</f>
        <v>C</v>
      </c>
      <c r="AG207" s="3">
        <v>746</v>
      </c>
      <c r="AH207" s="3" t="str">
        <f>IFERROR(MID(VLOOKUP($B207,Seqs!$A:$B,2,0),AI207,1),"")</f>
        <v>T</v>
      </c>
      <c r="AI207" s="3">
        <v>748</v>
      </c>
      <c r="AJ207" s="3" t="str">
        <f>IFERROR(MID(VLOOKUP($B207,Seqs!$A:$B,2,0),AK207,1),"")</f>
        <v>N</v>
      </c>
      <c r="AK207" s="3">
        <v>750</v>
      </c>
      <c r="AL207" s="3" t="str">
        <f>IFERROR(MID(VLOOKUP($B207,Seqs!$A:$B,2,0),AM207,1),"")</f>
        <v>T</v>
      </c>
      <c r="AM207" s="3">
        <v>774</v>
      </c>
      <c r="AN207" s="3" t="str">
        <f>IFERROR(MID(VLOOKUP($B207,Seqs!$A:$B,2,0),AO207,1),"")</f>
        <v>E</v>
      </c>
      <c r="AO207" s="3">
        <v>783</v>
      </c>
      <c r="AP207" s="3" t="str">
        <f>IFERROR(MID(VLOOKUP($B207,Seqs!$A:$B,2,0),AQ207,1),"")</f>
        <v>G</v>
      </c>
      <c r="AQ207" s="3">
        <v>807</v>
      </c>
      <c r="AR207" s="3" t="str">
        <f>IFERROR(MID(VLOOKUP($B207,Seqs!$A:$B,2,0),AS207,1),"")</f>
        <v>K</v>
      </c>
      <c r="AS207" s="3">
        <v>811</v>
      </c>
      <c r="AT207" s="3" t="str">
        <f>IFERROR(MID(VLOOKUP($B207,Seqs!$A:$B,2,0),AU207,1),"")</f>
        <v>K</v>
      </c>
      <c r="AU207" s="3">
        <v>841</v>
      </c>
      <c r="AV207" s="3" t="str">
        <f>IFERROR(MID(VLOOKUP($B207,Seqs!$A:$B,2,0),AW207,1),"")</f>
        <v>P</v>
      </c>
      <c r="AW207" s="3">
        <v>842</v>
      </c>
      <c r="AX207" s="3" t="str">
        <f>IFERROR(MID(VLOOKUP($B207,Seqs!$A:$B,2,0),AY207,1),"")</f>
        <v>S</v>
      </c>
      <c r="AY207" s="3">
        <v>853</v>
      </c>
      <c r="AZ207" s="79" t="str">
        <f>VLOOKUP(B207,Classification!A:D,2,0)</f>
        <v>C</v>
      </c>
      <c r="BA207" s="97" t="str">
        <f>VLOOKUP(B207,Classification!A:D,4,0)</f>
        <v>Metabotropicglutamate</v>
      </c>
      <c r="BB207" s="27" t="b">
        <f t="shared" si="1115"/>
        <v>1</v>
      </c>
      <c r="BC207" s="23">
        <f t="shared" si="1088"/>
        <v>215</v>
      </c>
      <c r="BD207" s="57" t="s">
        <v>1379</v>
      </c>
      <c r="BE207" s="3" t="s">
        <v>23</v>
      </c>
      <c r="BF207" s="124" t="s">
        <v>23</v>
      </c>
      <c r="BG207" s="50" t="s">
        <v>1379</v>
      </c>
      <c r="BH207" s="50" t="s">
        <v>1384</v>
      </c>
      <c r="BI207" s="3" t="s">
        <v>1164</v>
      </c>
      <c r="BJ207" s="72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2">
        <f t="shared" si="1089"/>
        <v>591</v>
      </c>
      <c r="BW207" s="73">
        <f t="shared" si="1090"/>
        <v>620</v>
      </c>
      <c r="BX207" s="74">
        <f t="shared" si="1091"/>
        <v>627</v>
      </c>
      <c r="BY207" s="73" t="str">
        <f t="shared" si="1092"/>
        <v>-</v>
      </c>
      <c r="BZ207" s="74">
        <f t="shared" si="1093"/>
        <v>654</v>
      </c>
      <c r="CA207" s="73" t="str">
        <f t="shared" si="1094"/>
        <v>-</v>
      </c>
      <c r="CB207" s="74">
        <f t="shared" si="1095"/>
        <v>702</v>
      </c>
      <c r="CC207" s="73">
        <f t="shared" si="1096"/>
        <v>746</v>
      </c>
      <c r="CD207" s="74">
        <f t="shared" si="1097"/>
        <v>750</v>
      </c>
      <c r="CE207" s="73">
        <f t="shared" si="1098"/>
        <v>783</v>
      </c>
      <c r="CF207" s="74">
        <f t="shared" si="1099"/>
        <v>811</v>
      </c>
      <c r="CG207" s="73">
        <f t="shared" si="1100"/>
        <v>842</v>
      </c>
      <c r="CH207" s="72">
        <f t="shared" si="1101"/>
        <v>617</v>
      </c>
      <c r="CI207" s="73">
        <f t="shared" si="1102"/>
        <v>626</v>
      </c>
      <c r="CJ207" s="74">
        <f t="shared" si="1103"/>
        <v>649</v>
      </c>
      <c r="CK207" s="74" t="str">
        <f t="shared" si="1104"/>
        <v>-</v>
      </c>
      <c r="CL207" s="74">
        <f t="shared" si="1105"/>
        <v>686</v>
      </c>
      <c r="CM207" s="74" t="str">
        <f t="shared" si="1106"/>
        <v>-</v>
      </c>
      <c r="CN207" s="74">
        <f t="shared" si="1107"/>
        <v>728</v>
      </c>
      <c r="CO207" s="74">
        <f t="shared" si="1108"/>
        <v>748</v>
      </c>
      <c r="CP207" s="74">
        <f t="shared" si="1109"/>
        <v>774</v>
      </c>
      <c r="CQ207" s="74">
        <f t="shared" si="1110"/>
        <v>807</v>
      </c>
      <c r="CR207" s="74">
        <f t="shared" si="1111"/>
        <v>841</v>
      </c>
      <c r="CS207" s="74">
        <f t="shared" si="1112"/>
        <v>853</v>
      </c>
      <c r="CT207" s="23">
        <f t="shared" si="1113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1114"/>
        <v>grm1_human_4OR2</v>
      </c>
      <c r="B208" s="3" t="s">
        <v>40</v>
      </c>
      <c r="C208" s="3" t="s">
        <v>96</v>
      </c>
      <c r="D208" s="3" t="str">
        <f>IFERROR(MID(VLOOKUP($B208,Seqs!$A:$B,2,0),E208,1),"")</f>
        <v>I</v>
      </c>
      <c r="E208" s="3">
        <v>591</v>
      </c>
      <c r="F208" s="3" t="str">
        <f>IFERROR(MID(VLOOKUP($B208,Seqs!$A:$B,2,0),G208,1),"")</f>
        <v>Y</v>
      </c>
      <c r="G208" s="3">
        <v>617</v>
      </c>
      <c r="H208" s="3" t="str">
        <f>IFERROR(MID(VLOOKUP($B208,Seqs!$A:$B,2,0),I208,1),"")</f>
        <v>T</v>
      </c>
      <c r="I208" s="23">
        <v>620</v>
      </c>
      <c r="J208" s="3" t="str">
        <f>IFERROR(MID(VLOOKUP($B208,Seqs!$A:$B,2,0),K208,1),"")</f>
        <v>S</v>
      </c>
      <c r="K208" s="23">
        <v>626</v>
      </c>
      <c r="L208" s="3" t="str">
        <f>IFERROR(MID(VLOOKUP($B208,Seqs!$A:$B,2,0),M208,1),"")</f>
        <v>S</v>
      </c>
      <c r="M208" s="3">
        <v>627</v>
      </c>
      <c r="N208" s="3" t="str">
        <f>IFERROR(MID(VLOOKUP($B208,Seqs!$A:$B,2,0),O208,1),"")</f>
        <v>I</v>
      </c>
      <c r="O208" s="3">
        <v>649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T</v>
      </c>
      <c r="U208" s="3">
        <v>654</v>
      </c>
      <c r="V208" s="3" t="str">
        <f>IFERROR(MID(VLOOKUP($B208,Seqs!$A:$B,2,0),W208,1),"")</f>
        <v>L</v>
      </c>
      <c r="W208" s="3">
        <v>686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9">
        <v>702</v>
      </c>
      <c r="AD208" s="3" t="str">
        <f>IFERROR(MID(VLOOKUP($B208,Seqs!$A:$B,2,0),AE208,1),"")</f>
        <v>E</v>
      </c>
      <c r="AE208" s="3">
        <v>728</v>
      </c>
      <c r="AF208" s="3" t="str">
        <f>IFERROR(MID(VLOOKUP($B208,Seqs!$A:$B,2,0),AG208,1),"")</f>
        <v>C</v>
      </c>
      <c r="AG208" s="3">
        <v>746</v>
      </c>
      <c r="AH208" s="3" t="str">
        <f>IFERROR(MID(VLOOKUP($B208,Seqs!$A:$B,2,0),AI208,1),"")</f>
        <v>T</v>
      </c>
      <c r="AI208" s="3">
        <v>748</v>
      </c>
      <c r="AJ208" s="3" t="str">
        <f>IFERROR(MID(VLOOKUP($B208,Seqs!$A:$B,2,0),AK208,1),"")</f>
        <v>N</v>
      </c>
      <c r="AK208" s="3">
        <v>750</v>
      </c>
      <c r="AL208" s="3" t="str">
        <f>IFERROR(MID(VLOOKUP($B208,Seqs!$A:$B,2,0),AM208,1),"")</f>
        <v>T</v>
      </c>
      <c r="AM208" s="3">
        <v>774</v>
      </c>
      <c r="AN208" s="3" t="str">
        <f>IFERROR(MID(VLOOKUP($B208,Seqs!$A:$B,2,0),AO208,1),"")</f>
        <v>E</v>
      </c>
      <c r="AO208" s="3">
        <v>783</v>
      </c>
      <c r="AP208" s="3" t="str">
        <f>IFERROR(MID(VLOOKUP($B208,Seqs!$A:$B,2,0),AQ208,1),"")</f>
        <v>G</v>
      </c>
      <c r="AQ208" s="3">
        <v>807</v>
      </c>
      <c r="AR208" s="3" t="str">
        <f>IFERROR(MID(VLOOKUP($B208,Seqs!$A:$B,2,0),AS208,1),"")</f>
        <v>K</v>
      </c>
      <c r="AS208" s="3">
        <v>811</v>
      </c>
      <c r="AT208" s="3" t="str">
        <f>IFERROR(MID(VLOOKUP($B208,Seqs!$A:$B,2,0),AU208,1),"")</f>
        <v>K</v>
      </c>
      <c r="AU208" s="3">
        <v>841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9" t="str">
        <f>VLOOKUP(B208,Classification!A:D,2,0)</f>
        <v>C</v>
      </c>
      <c r="BA208" s="97" t="str">
        <f>VLOOKUP(B208,Classification!A:D,4,0)</f>
        <v>Metabotropicglutamate</v>
      </c>
      <c r="BB208" s="27" t="b">
        <f t="shared" si="1115"/>
        <v>1</v>
      </c>
      <c r="BC208" s="23">
        <f t="shared" si="1088"/>
        <v>204</v>
      </c>
      <c r="BD208" s="2" t="s">
        <v>1383</v>
      </c>
      <c r="BE208" s="3" t="s">
        <v>1381</v>
      </c>
      <c r="BF208" s="124">
        <v>2.8</v>
      </c>
      <c r="BG208" s="50" t="s">
        <v>1384</v>
      </c>
      <c r="BH208" s="50" t="s">
        <v>1384</v>
      </c>
      <c r="BJ208" s="72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2">
        <f t="shared" si="1089"/>
        <v>591</v>
      </c>
      <c r="BW208" s="73">
        <f t="shared" si="1090"/>
        <v>620</v>
      </c>
      <c r="BX208" s="74">
        <f t="shared" si="1091"/>
        <v>627</v>
      </c>
      <c r="BY208" s="73" t="str">
        <f t="shared" si="1092"/>
        <v>-</v>
      </c>
      <c r="BZ208" s="74">
        <f t="shared" si="1093"/>
        <v>654</v>
      </c>
      <c r="CA208" s="73" t="str">
        <f t="shared" si="1094"/>
        <v>-</v>
      </c>
      <c r="CB208" s="74">
        <f t="shared" si="1095"/>
        <v>702</v>
      </c>
      <c r="CC208" s="73">
        <f t="shared" si="1096"/>
        <v>746</v>
      </c>
      <c r="CD208" s="74">
        <f t="shared" si="1097"/>
        <v>750</v>
      </c>
      <c r="CE208" s="73">
        <f t="shared" si="1098"/>
        <v>783</v>
      </c>
      <c r="CF208" s="74">
        <f t="shared" si="1099"/>
        <v>811</v>
      </c>
      <c r="CG208" s="73" t="str">
        <f t="shared" si="1100"/>
        <v>-</v>
      </c>
      <c r="CH208" s="72">
        <f t="shared" si="1101"/>
        <v>617</v>
      </c>
      <c r="CI208" s="73">
        <f t="shared" si="1102"/>
        <v>626</v>
      </c>
      <c r="CJ208" s="74">
        <f t="shared" si="1103"/>
        <v>649</v>
      </c>
      <c r="CK208" s="74" t="str">
        <f t="shared" si="1104"/>
        <v>-</v>
      </c>
      <c r="CL208" s="74">
        <f t="shared" si="1105"/>
        <v>686</v>
      </c>
      <c r="CM208" s="74" t="str">
        <f t="shared" si="1106"/>
        <v>-</v>
      </c>
      <c r="CN208" s="74">
        <f t="shared" si="1107"/>
        <v>728</v>
      </c>
      <c r="CO208" s="74">
        <f t="shared" si="1108"/>
        <v>748</v>
      </c>
      <c r="CP208" s="74">
        <f t="shared" si="1109"/>
        <v>774</v>
      </c>
      <c r="CQ208" s="74">
        <f t="shared" si="1110"/>
        <v>807</v>
      </c>
      <c r="CR208" s="74">
        <f t="shared" si="1111"/>
        <v>841</v>
      </c>
      <c r="CS208" s="74" t="str">
        <f t="shared" si="1112"/>
        <v>-</v>
      </c>
      <c r="CT208" s="23">
        <f t="shared" si="1113"/>
        <v>1</v>
      </c>
    </row>
    <row r="209" spans="1:1030" x14ac:dyDescent="0.2">
      <c r="A209" s="3" t="str">
        <f t="shared" si="1114"/>
        <v>grm5_human__wt</v>
      </c>
      <c r="B209" s="3" t="s">
        <v>41</v>
      </c>
      <c r="C209" s="3" t="s">
        <v>100</v>
      </c>
      <c r="D209" s="3" t="str">
        <f>IFERROR(MID(VLOOKUP($B209,Seqs!$A:$B,2,0),E209,1),"")</f>
        <v>P</v>
      </c>
      <c r="E209" s="3">
        <v>578</v>
      </c>
      <c r="F209" s="3" t="str">
        <f>IFERROR(MID(VLOOKUP($B209,Seqs!$A:$B,2,0),G209,1),"")</f>
        <v>Y</v>
      </c>
      <c r="G209" s="3">
        <v>604</v>
      </c>
      <c r="H209" s="3" t="str">
        <f>IFERROR(MID(VLOOKUP($B209,Seqs!$A:$B,2,0),I209,1),"")</f>
        <v>T</v>
      </c>
      <c r="I209" s="23">
        <v>607</v>
      </c>
      <c r="J209" s="3" t="str">
        <f>IFERROR(MID(VLOOKUP($B209,Seqs!$A:$B,2,0),K209,1),"")</f>
        <v>S</v>
      </c>
      <c r="K209" s="23">
        <v>613</v>
      </c>
      <c r="L209" s="3" t="str">
        <f>IFERROR(MID(VLOOKUP($B209,Seqs!$A:$B,2,0),M209,1),"")</f>
        <v>S</v>
      </c>
      <c r="M209" s="3">
        <v>614</v>
      </c>
      <c r="N209" s="3" t="str">
        <f>IFERROR(MID(VLOOKUP($B209,Seqs!$A:$B,2,0),O209,1),"")</f>
        <v>I</v>
      </c>
      <c r="O209" s="3">
        <v>636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Q</v>
      </c>
      <c r="U209" s="3">
        <v>641</v>
      </c>
      <c r="V209" s="3" t="str">
        <f>IFERROR(MID(VLOOKUP($B209,Seqs!$A:$B,2,0),W209,1),"")</f>
        <v>L</v>
      </c>
      <c r="W209" s="3">
        <v>673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689</v>
      </c>
      <c r="AD209" s="3" t="str">
        <f>IFERROR(MID(VLOOKUP($B209,Seqs!$A:$B,2,0),AE209,1),"")</f>
        <v>E</v>
      </c>
      <c r="AE209" s="3">
        <v>715</v>
      </c>
      <c r="AF209" s="3" t="str">
        <f>IFERROR(MID(VLOOKUP($B209,Seqs!$A:$B,2,0),AG209,1),"")</f>
        <v>C</v>
      </c>
      <c r="AG209" s="3">
        <v>733</v>
      </c>
      <c r="AH209" s="3" t="str">
        <f>IFERROR(MID(VLOOKUP($B209,Seqs!$A:$B,2,0),AI209,1),"")</f>
        <v>T</v>
      </c>
      <c r="AI209" s="3">
        <v>735</v>
      </c>
      <c r="AJ209" s="3" t="str">
        <f>IFERROR(MID(VLOOKUP($B209,Seqs!$A:$B,2,0),AK209,1),"")</f>
        <v>N</v>
      </c>
      <c r="AK209" s="3">
        <v>737</v>
      </c>
      <c r="AL209" s="3" t="str">
        <f>IFERROR(MID(VLOOKUP($B209,Seqs!$A:$B,2,0),AM209,1),"")</f>
        <v>T</v>
      </c>
      <c r="AM209" s="3">
        <v>761</v>
      </c>
      <c r="AN209" s="3" t="str">
        <f>IFERROR(MID(VLOOKUP($B209,Seqs!$A:$B,2,0),AO209,1),"")</f>
        <v>E</v>
      </c>
      <c r="AO209" s="3">
        <v>770</v>
      </c>
      <c r="AP209" s="3" t="str">
        <f>IFERROR(MID(VLOOKUP($B209,Seqs!$A:$B,2,0),AQ209,1),"")</f>
        <v>G</v>
      </c>
      <c r="AQ209" s="3">
        <v>794</v>
      </c>
      <c r="AR209" s="3" t="str">
        <f>IFERROR(MID(VLOOKUP($B209,Seqs!$A:$B,2,0),AS209,1),"")</f>
        <v>K</v>
      </c>
      <c r="AS209" s="3">
        <v>798</v>
      </c>
      <c r="AT209" s="3" t="str">
        <f>IFERROR(MID(VLOOKUP($B209,Seqs!$A:$B,2,0),AU209,1),"")</f>
        <v>K</v>
      </c>
      <c r="AU209" s="3">
        <v>828</v>
      </c>
      <c r="AV209" s="3" t="str">
        <f>IFERROR(MID(VLOOKUP($B209,Seqs!$A:$B,2,0),AW209,1),"")</f>
        <v>P</v>
      </c>
      <c r="AW209" s="3">
        <v>829</v>
      </c>
      <c r="AX209" s="3" t="str">
        <f>IFERROR(MID(VLOOKUP($B209,Seqs!$A:$B,2,0),AY209,1),"")</f>
        <v>S</v>
      </c>
      <c r="AY209" s="3">
        <v>840</v>
      </c>
      <c r="AZ209" s="79" t="str">
        <f>VLOOKUP(B209,Classification!A:D,2,0)</f>
        <v>C</v>
      </c>
      <c r="BA209" s="97" t="str">
        <f>VLOOKUP(B209,Classification!A:D,4,0)</f>
        <v>Metabotropicglutamate</v>
      </c>
      <c r="BB209" s="27" t="b">
        <f t="shared" si="1115"/>
        <v>1</v>
      </c>
      <c r="BC209" s="23">
        <f t="shared" si="1088"/>
        <v>215</v>
      </c>
      <c r="BD209" s="57" t="s">
        <v>1379</v>
      </c>
      <c r="BE209" s="3" t="s">
        <v>23</v>
      </c>
      <c r="BF209" s="124" t="s">
        <v>23</v>
      </c>
      <c r="BG209" s="50" t="s">
        <v>1379</v>
      </c>
      <c r="BH209" s="50" t="s">
        <v>1384</v>
      </c>
      <c r="BJ209" s="72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2">
        <f t="shared" si="1089"/>
        <v>578</v>
      </c>
      <c r="BW209" s="73">
        <f t="shared" si="1090"/>
        <v>607</v>
      </c>
      <c r="BX209" s="74">
        <f t="shared" si="1091"/>
        <v>614</v>
      </c>
      <c r="BY209" s="73" t="str">
        <f t="shared" si="1092"/>
        <v>-</v>
      </c>
      <c r="BZ209" s="74">
        <f t="shared" si="1093"/>
        <v>641</v>
      </c>
      <c r="CA209" s="73" t="str">
        <f t="shared" si="1094"/>
        <v>-</v>
      </c>
      <c r="CB209" s="74">
        <f t="shared" si="1095"/>
        <v>689</v>
      </c>
      <c r="CC209" s="73">
        <f t="shared" si="1096"/>
        <v>733</v>
      </c>
      <c r="CD209" s="74">
        <f t="shared" si="1097"/>
        <v>737</v>
      </c>
      <c r="CE209" s="73">
        <f t="shared" si="1098"/>
        <v>770</v>
      </c>
      <c r="CF209" s="74">
        <f t="shared" si="1099"/>
        <v>798</v>
      </c>
      <c r="CG209" s="73">
        <f t="shared" si="1100"/>
        <v>829</v>
      </c>
      <c r="CH209" s="72">
        <f t="shared" si="1101"/>
        <v>604</v>
      </c>
      <c r="CI209" s="73">
        <f t="shared" si="1102"/>
        <v>613</v>
      </c>
      <c r="CJ209" s="74">
        <f t="shared" si="1103"/>
        <v>636</v>
      </c>
      <c r="CK209" s="74" t="str">
        <f t="shared" si="1104"/>
        <v>-</v>
      </c>
      <c r="CL209" s="74">
        <f t="shared" si="1105"/>
        <v>673</v>
      </c>
      <c r="CM209" s="74" t="str">
        <f t="shared" si="1106"/>
        <v>-</v>
      </c>
      <c r="CN209" s="74">
        <f t="shared" si="1107"/>
        <v>715</v>
      </c>
      <c r="CO209" s="74">
        <f t="shared" si="1108"/>
        <v>735</v>
      </c>
      <c r="CP209" s="74">
        <f t="shared" si="1109"/>
        <v>761</v>
      </c>
      <c r="CQ209" s="74">
        <f t="shared" si="1110"/>
        <v>794</v>
      </c>
      <c r="CR209" s="74">
        <f t="shared" si="1111"/>
        <v>828</v>
      </c>
      <c r="CS209" s="74">
        <f t="shared" si="1112"/>
        <v>840</v>
      </c>
      <c r="CT209" s="23">
        <f t="shared" si="1113"/>
        <v>1</v>
      </c>
    </row>
    <row r="210" spans="1:1030" x14ac:dyDescent="0.2">
      <c r="A210" s="3" t="str">
        <f t="shared" si="1114"/>
        <v>grm5_human_4OO9</v>
      </c>
      <c r="B210" s="3" t="s">
        <v>41</v>
      </c>
      <c r="C210" s="3" t="s">
        <v>57</v>
      </c>
      <c r="D210" s="3" t="str">
        <f>IFERROR(MID(VLOOKUP($B210,Seqs!$A:$B,2,0),E210,1),"")</f>
        <v>P</v>
      </c>
      <c r="E210" s="3">
        <v>578</v>
      </c>
      <c r="F210" s="3" t="str">
        <f>IFERROR(MID(VLOOKUP($B210,Seqs!$A:$B,2,0),G210,1),"")</f>
        <v>Y</v>
      </c>
      <c r="G210" s="3">
        <v>604</v>
      </c>
      <c r="H210" s="3" t="str">
        <f>IFERROR(MID(VLOOKUP($B210,Seqs!$A:$B,2,0),I210,1),"")</f>
        <v>T</v>
      </c>
      <c r="I210" s="23">
        <v>607</v>
      </c>
      <c r="J210" s="3" t="str">
        <f>IFERROR(MID(VLOOKUP($B210,Seqs!$A:$B,2,0),K210,1),"")</f>
        <v>S</v>
      </c>
      <c r="K210" s="23">
        <v>613</v>
      </c>
      <c r="L210" s="3" t="str">
        <f>IFERROR(MID(VLOOKUP($B210,Seqs!$A:$B,2,0),M210,1),"")</f>
        <v>S</v>
      </c>
      <c r="M210" s="3">
        <v>614</v>
      </c>
      <c r="N210" s="3" t="str">
        <f>IFERROR(MID(VLOOKUP($B210,Seqs!$A:$B,2,0),O210,1),"")</f>
        <v>I</v>
      </c>
      <c r="O210" s="3">
        <v>636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Q</v>
      </c>
      <c r="U210" s="3">
        <v>641</v>
      </c>
      <c r="V210" s="3" t="str">
        <f>IFERROR(MID(VLOOKUP($B210,Seqs!$A:$B,2,0),W210,1),"")</f>
        <v>K</v>
      </c>
      <c r="W210" s="3">
        <v>678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689</v>
      </c>
      <c r="AD210" s="3" t="str">
        <f>IFERROR(MID(VLOOKUP($B210,Seqs!$A:$B,2,0),AE210,1),"")</f>
        <v>E</v>
      </c>
      <c r="AE210" s="3">
        <v>715</v>
      </c>
      <c r="AF210" s="3" t="str">
        <f>IFERROR(MID(VLOOKUP($B210,Seqs!$A:$B,2,0),AG210,1),"")</f>
        <v>C</v>
      </c>
      <c r="AG210" s="3">
        <v>733</v>
      </c>
      <c r="AH210" s="3" t="str">
        <f>IFERROR(MID(VLOOKUP($B210,Seqs!$A:$B,2,0),AI210,1),"")</f>
        <v>T</v>
      </c>
      <c r="AI210" s="3">
        <v>735</v>
      </c>
      <c r="AJ210" s="3" t="str">
        <f>IFERROR(MID(VLOOKUP($B210,Seqs!$A:$B,2,0),AK210,1),"")</f>
        <v>N</v>
      </c>
      <c r="AK210" s="3">
        <v>737</v>
      </c>
      <c r="AL210" s="3" t="str">
        <f>IFERROR(MID(VLOOKUP($B210,Seqs!$A:$B,2,0),AM210,1),"")</f>
        <v>T</v>
      </c>
      <c r="AM210" s="3">
        <v>761</v>
      </c>
      <c r="AN210" s="3" t="str">
        <f>IFERROR(MID(VLOOKUP($B210,Seqs!$A:$B,2,0),AO210,1),"")</f>
        <v>E</v>
      </c>
      <c r="AO210" s="3">
        <v>770</v>
      </c>
      <c r="AP210" s="3" t="str">
        <f>IFERROR(MID(VLOOKUP($B210,Seqs!$A:$B,2,0),AQ210,1),"")</f>
        <v>G</v>
      </c>
      <c r="AQ210" s="3">
        <v>794</v>
      </c>
      <c r="AR210" s="3" t="str">
        <f>IFERROR(MID(VLOOKUP($B210,Seqs!$A:$B,2,0),AS210,1),"")</f>
        <v>K</v>
      </c>
      <c r="AS210" s="3">
        <v>798</v>
      </c>
      <c r="AT210" s="3" t="str">
        <f>IFERROR(MID(VLOOKUP($B210,Seqs!$A:$B,2,0),AU210,1),"")</f>
        <v>K</v>
      </c>
      <c r="AU210" s="3">
        <v>828</v>
      </c>
      <c r="AV210" s="3" t="str">
        <f>IFERROR(MID(VLOOKUP($B210,Seqs!$A:$B,2,0),AW210,1),"")</f>
        <v>P</v>
      </c>
      <c r="AW210" s="3">
        <v>829</v>
      </c>
      <c r="AX210" s="3" t="str">
        <f>IFERROR(MID(VLOOKUP($B210,Seqs!$A:$B,2,0),AY210,1),"")</f>
        <v>N</v>
      </c>
      <c r="AY210" s="3">
        <v>832</v>
      </c>
      <c r="AZ210" s="79" t="str">
        <f>VLOOKUP(B210,Classification!A:D,2,0)</f>
        <v>C</v>
      </c>
      <c r="BA210" s="97" t="str">
        <f>VLOOKUP(B210,Classification!A:D,4,0)</f>
        <v>Metabotropicglutamate</v>
      </c>
      <c r="BB210" s="27" t="b">
        <f t="shared" si="1115"/>
        <v>1</v>
      </c>
      <c r="BC210" s="23">
        <f t="shared" si="1088"/>
        <v>212</v>
      </c>
      <c r="BD210" s="2" t="s">
        <v>1383</v>
      </c>
      <c r="BE210" s="3" t="s">
        <v>1381</v>
      </c>
      <c r="BF210" s="124">
        <v>2.6</v>
      </c>
      <c r="BG210" s="50" t="s">
        <v>1384</v>
      </c>
      <c r="BH210" s="50" t="s">
        <v>1384</v>
      </c>
      <c r="BJ210" s="72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2">
        <f t="shared" si="1089"/>
        <v>578</v>
      </c>
      <c r="BW210" s="73">
        <f t="shared" si="1090"/>
        <v>607</v>
      </c>
      <c r="BX210" s="74">
        <f t="shared" si="1091"/>
        <v>614</v>
      </c>
      <c r="BY210" s="73" t="str">
        <f t="shared" si="1092"/>
        <v>-</v>
      </c>
      <c r="BZ210" s="74">
        <f t="shared" si="1093"/>
        <v>641</v>
      </c>
      <c r="CA210" s="73" t="str">
        <f t="shared" si="1094"/>
        <v>-</v>
      </c>
      <c r="CB210" s="74">
        <f t="shared" si="1095"/>
        <v>689</v>
      </c>
      <c r="CC210" s="73">
        <f t="shared" si="1096"/>
        <v>733</v>
      </c>
      <c r="CD210" s="74">
        <f t="shared" si="1097"/>
        <v>737</v>
      </c>
      <c r="CE210" s="73">
        <f t="shared" si="1098"/>
        <v>770</v>
      </c>
      <c r="CF210" s="74">
        <f t="shared" si="1099"/>
        <v>798</v>
      </c>
      <c r="CG210" s="73">
        <f t="shared" si="1100"/>
        <v>829</v>
      </c>
      <c r="CH210" s="72">
        <f t="shared" si="1101"/>
        <v>604</v>
      </c>
      <c r="CI210" s="73">
        <f t="shared" si="1102"/>
        <v>613</v>
      </c>
      <c r="CJ210" s="74">
        <f t="shared" si="1103"/>
        <v>636</v>
      </c>
      <c r="CK210" s="74" t="str">
        <f t="shared" si="1104"/>
        <v>-</v>
      </c>
      <c r="CL210" s="74">
        <f t="shared" si="1105"/>
        <v>678</v>
      </c>
      <c r="CM210" s="74" t="str">
        <f t="shared" si="1106"/>
        <v>-</v>
      </c>
      <c r="CN210" s="74">
        <f t="shared" si="1107"/>
        <v>715</v>
      </c>
      <c r="CO210" s="74">
        <f t="shared" si="1108"/>
        <v>735</v>
      </c>
      <c r="CP210" s="74">
        <f t="shared" si="1109"/>
        <v>761</v>
      </c>
      <c r="CQ210" s="74">
        <f t="shared" si="1110"/>
        <v>794</v>
      </c>
      <c r="CR210" s="74">
        <f t="shared" si="1111"/>
        <v>828</v>
      </c>
      <c r="CS210" s="74">
        <f t="shared" si="1112"/>
        <v>832</v>
      </c>
      <c r="CT210" s="23">
        <f t="shared" si="1113"/>
        <v>1</v>
      </c>
    </row>
    <row r="211" spans="1:1030" x14ac:dyDescent="0.2">
      <c r="A211" s="3" t="str">
        <f t="shared" si="1114"/>
        <v>grm5_human_5CGC</v>
      </c>
      <c r="B211" s="3" t="s">
        <v>41</v>
      </c>
      <c r="C211" s="3" t="s">
        <v>58</v>
      </c>
      <c r="D211" s="3" t="str">
        <f>IFERROR(MID(VLOOKUP($B211,Seqs!$A:$B,2,0),E211,1),"")</f>
        <v>P</v>
      </c>
      <c r="E211" s="3">
        <v>578</v>
      </c>
      <c r="F211" s="3" t="str">
        <f>IFERROR(MID(VLOOKUP($B211,Seqs!$A:$B,2,0),G211,1),"")</f>
        <v>Y</v>
      </c>
      <c r="G211" s="3">
        <v>604</v>
      </c>
      <c r="H211" s="3" t="str">
        <f>IFERROR(MID(VLOOKUP($B211,Seqs!$A:$B,2,0),I211,1),"")</f>
        <v>T</v>
      </c>
      <c r="I211" s="23">
        <v>607</v>
      </c>
      <c r="J211" s="3" t="str">
        <f>IFERROR(MID(VLOOKUP($B211,Seqs!$A:$B,2,0),K211,1),"")</f>
        <v>S</v>
      </c>
      <c r="K211" s="23">
        <v>613</v>
      </c>
      <c r="L211" s="3" t="str">
        <f>IFERROR(MID(VLOOKUP($B211,Seqs!$A:$B,2,0),M211,1),"")</f>
        <v>S</v>
      </c>
      <c r="M211" s="3">
        <v>614</v>
      </c>
      <c r="N211" s="3" t="str">
        <f>IFERROR(MID(VLOOKUP($B211,Seqs!$A:$B,2,0),O211,1),"")</f>
        <v>I</v>
      </c>
      <c r="O211" s="3">
        <v>636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Q</v>
      </c>
      <c r="U211" s="3">
        <v>641</v>
      </c>
      <c r="V211" s="3" t="str">
        <f>IFERROR(MID(VLOOKUP($B211,Seqs!$A:$B,2,0),W211,1),"")</f>
        <v>K</v>
      </c>
      <c r="W211" s="3">
        <v>678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9">
        <v>689</v>
      </c>
      <c r="AD211" s="3" t="str">
        <f>IFERROR(MID(VLOOKUP($B211,Seqs!$A:$B,2,0),AE211,1),"")</f>
        <v>E</v>
      </c>
      <c r="AE211" s="3">
        <v>715</v>
      </c>
      <c r="AF211" s="3" t="str">
        <f>IFERROR(MID(VLOOKUP($B211,Seqs!$A:$B,2,0),AG211,1),"")</f>
        <v>C</v>
      </c>
      <c r="AG211" s="3">
        <v>733</v>
      </c>
      <c r="AH211" s="3" t="str">
        <f>IFERROR(MID(VLOOKUP($B211,Seqs!$A:$B,2,0),AI211,1),"")</f>
        <v>T</v>
      </c>
      <c r="AI211" s="3">
        <v>735</v>
      </c>
      <c r="AJ211" s="3" t="str">
        <f>IFERROR(MID(VLOOKUP($B211,Seqs!$A:$B,2,0),AK211,1),"")</f>
        <v>N</v>
      </c>
      <c r="AK211" s="3">
        <v>737</v>
      </c>
      <c r="AL211" s="3" t="str">
        <f>IFERROR(MID(VLOOKUP($B211,Seqs!$A:$B,2,0),AM211,1),"")</f>
        <v>T</v>
      </c>
      <c r="AM211" s="3">
        <v>761</v>
      </c>
      <c r="AN211" s="3" t="str">
        <f>IFERROR(MID(VLOOKUP($B211,Seqs!$A:$B,2,0),AO211,1),"")</f>
        <v>E</v>
      </c>
      <c r="AO211" s="3">
        <v>770</v>
      </c>
      <c r="AP211" s="3" t="str">
        <f>IFERROR(MID(VLOOKUP($B211,Seqs!$A:$B,2,0),AQ211,1),"")</f>
        <v>G</v>
      </c>
      <c r="AQ211" s="3">
        <v>794</v>
      </c>
      <c r="AR211" s="3" t="str">
        <f>IFERROR(MID(VLOOKUP($B211,Seqs!$A:$B,2,0),AS211,1),"")</f>
        <v>K</v>
      </c>
      <c r="AS211" s="3">
        <v>798</v>
      </c>
      <c r="AT211" s="3" t="str">
        <f>IFERROR(MID(VLOOKUP($B211,Seqs!$A:$B,2,0),AU211,1),"")</f>
        <v>K</v>
      </c>
      <c r="AU211" s="3">
        <v>828</v>
      </c>
      <c r="AV211" s="3" t="str">
        <f>IFERROR(MID(VLOOKUP($B211,Seqs!$A:$B,2,0),AW211,1),"")</f>
        <v>P</v>
      </c>
      <c r="AW211" s="3">
        <v>829</v>
      </c>
      <c r="AX211" s="3" t="str">
        <f>IFERROR(MID(VLOOKUP($B211,Seqs!$A:$B,2,0),AY211,1),"")</f>
        <v>N</v>
      </c>
      <c r="AY211" s="3">
        <v>832</v>
      </c>
      <c r="AZ211" s="79" t="str">
        <f>VLOOKUP(B211,Classification!A:D,2,0)</f>
        <v>C</v>
      </c>
      <c r="BA211" s="97" t="str">
        <f>VLOOKUP(B211,Classification!A:D,4,0)</f>
        <v>Metabotropicglutamate</v>
      </c>
      <c r="BB211" s="27" t="b">
        <f t="shared" si="1115"/>
        <v>1</v>
      </c>
      <c r="BC211" s="23">
        <f t="shared" si="1088"/>
        <v>212</v>
      </c>
      <c r="BD211" s="4" t="s">
        <v>23</v>
      </c>
      <c r="BE211" s="3" t="s">
        <v>1381</v>
      </c>
      <c r="BF211" s="124">
        <v>3.1</v>
      </c>
      <c r="BG211" s="50" t="s">
        <v>1384</v>
      </c>
      <c r="BH211" s="50" t="s">
        <v>1384</v>
      </c>
      <c r="BJ211" s="72" t="s">
        <v>1293</v>
      </c>
      <c r="BK211" s="58" t="s">
        <v>1293</v>
      </c>
      <c r="BL211" s="58" t="s">
        <v>1293</v>
      </c>
      <c r="BM211" s="58" t="s">
        <v>1293</v>
      </c>
      <c r="BN211" s="58" t="s">
        <v>1293</v>
      </c>
      <c r="BO211" s="58" t="s">
        <v>1293</v>
      </c>
      <c r="BP211" s="58" t="s">
        <v>1293</v>
      </c>
      <c r="BQ211" s="58" t="s">
        <v>1293</v>
      </c>
      <c r="BR211" s="58" t="s">
        <v>1293</v>
      </c>
      <c r="BS211" s="58" t="s">
        <v>1293</v>
      </c>
      <c r="BT211" s="58" t="s">
        <v>1293</v>
      </c>
      <c r="BU211" s="58" t="s">
        <v>1293</v>
      </c>
      <c r="BV211" s="72">
        <f t="shared" si="1089"/>
        <v>578</v>
      </c>
      <c r="BW211" s="73">
        <f t="shared" si="1090"/>
        <v>607</v>
      </c>
      <c r="BX211" s="74">
        <f t="shared" si="1091"/>
        <v>614</v>
      </c>
      <c r="BY211" s="73" t="str">
        <f t="shared" si="1092"/>
        <v>-</v>
      </c>
      <c r="BZ211" s="74">
        <f t="shared" si="1093"/>
        <v>641</v>
      </c>
      <c r="CA211" s="73" t="str">
        <f t="shared" si="1094"/>
        <v>-</v>
      </c>
      <c r="CB211" s="74">
        <f t="shared" si="1095"/>
        <v>689</v>
      </c>
      <c r="CC211" s="73">
        <f t="shared" si="1096"/>
        <v>733</v>
      </c>
      <c r="CD211" s="74">
        <f t="shared" si="1097"/>
        <v>737</v>
      </c>
      <c r="CE211" s="73">
        <f t="shared" si="1098"/>
        <v>770</v>
      </c>
      <c r="CF211" s="74">
        <f t="shared" si="1099"/>
        <v>798</v>
      </c>
      <c r="CG211" s="73">
        <f t="shared" si="1100"/>
        <v>829</v>
      </c>
      <c r="CH211" s="72">
        <f t="shared" si="1101"/>
        <v>604</v>
      </c>
      <c r="CI211" s="73">
        <f t="shared" si="1102"/>
        <v>613</v>
      </c>
      <c r="CJ211" s="74">
        <f t="shared" si="1103"/>
        <v>636</v>
      </c>
      <c r="CK211" s="74" t="str">
        <f t="shared" si="1104"/>
        <v>-</v>
      </c>
      <c r="CL211" s="74">
        <f t="shared" si="1105"/>
        <v>678</v>
      </c>
      <c r="CM211" s="74" t="str">
        <f t="shared" si="1106"/>
        <v>-</v>
      </c>
      <c r="CN211" s="74">
        <f t="shared" si="1107"/>
        <v>715</v>
      </c>
      <c r="CO211" s="74">
        <f t="shared" si="1108"/>
        <v>735</v>
      </c>
      <c r="CP211" s="74">
        <f t="shared" si="1109"/>
        <v>761</v>
      </c>
      <c r="CQ211" s="74">
        <f t="shared" si="1110"/>
        <v>794</v>
      </c>
      <c r="CR211" s="74">
        <f t="shared" si="1111"/>
        <v>828</v>
      </c>
      <c r="CS211" s="74">
        <f t="shared" si="1112"/>
        <v>832</v>
      </c>
      <c r="CT211" s="23">
        <f t="shared" si="1113"/>
        <v>1</v>
      </c>
    </row>
    <row r="212" spans="1:1030" x14ac:dyDescent="0.2">
      <c r="A212" s="3" t="str">
        <f t="shared" si="1114"/>
        <v>grm5_human_5CGD</v>
      </c>
      <c r="B212" s="3" t="s">
        <v>41</v>
      </c>
      <c r="C212" s="3" t="s">
        <v>59</v>
      </c>
      <c r="D212" s="3" t="str">
        <f>IFERROR(MID(VLOOKUP($B212,Seqs!$A:$B,2,0),E212,1),"")</f>
        <v>P</v>
      </c>
      <c r="E212" s="3">
        <v>578</v>
      </c>
      <c r="F212" s="3" t="str">
        <f>IFERROR(MID(VLOOKUP($B212,Seqs!$A:$B,2,0),G212,1),"")</f>
        <v>Y</v>
      </c>
      <c r="G212" s="3">
        <v>604</v>
      </c>
      <c r="H212" s="3" t="str">
        <f>IFERROR(MID(VLOOKUP($B212,Seqs!$A:$B,2,0),I212,1),"")</f>
        <v>T</v>
      </c>
      <c r="I212" s="23">
        <v>607</v>
      </c>
      <c r="J212" s="3" t="str">
        <f>IFERROR(MID(VLOOKUP($B212,Seqs!$A:$B,2,0),K212,1),"")</f>
        <v>S</v>
      </c>
      <c r="K212" s="23">
        <v>613</v>
      </c>
      <c r="L212" s="3" t="str">
        <f>IFERROR(MID(VLOOKUP($B212,Seqs!$A:$B,2,0),M212,1),"")</f>
        <v>S</v>
      </c>
      <c r="M212" s="3">
        <v>614</v>
      </c>
      <c r="N212" s="3" t="str">
        <f>IFERROR(MID(VLOOKUP($B212,Seqs!$A:$B,2,0),O212,1),"")</f>
        <v>I</v>
      </c>
      <c r="O212" s="3">
        <v>636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Q</v>
      </c>
      <c r="U212" s="3">
        <v>641</v>
      </c>
      <c r="V212" s="3" t="str">
        <f>IFERROR(MID(VLOOKUP($B212,Seqs!$A:$B,2,0),W212,1),"")</f>
        <v>K</v>
      </c>
      <c r="W212" s="3">
        <v>678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9">
        <v>689</v>
      </c>
      <c r="AD212" s="3" t="str">
        <f>IFERROR(MID(VLOOKUP($B212,Seqs!$A:$B,2,0),AE212,1),"")</f>
        <v>E</v>
      </c>
      <c r="AE212" s="3">
        <v>715</v>
      </c>
      <c r="AF212" s="3" t="str">
        <f>IFERROR(MID(VLOOKUP($B212,Seqs!$A:$B,2,0),AG212,1),"")</f>
        <v>C</v>
      </c>
      <c r="AG212" s="3">
        <v>733</v>
      </c>
      <c r="AH212" s="3" t="str">
        <f>IFERROR(MID(VLOOKUP($B212,Seqs!$A:$B,2,0),AI212,1),"")</f>
        <v>T</v>
      </c>
      <c r="AI212" s="3">
        <v>735</v>
      </c>
      <c r="AJ212" s="3" t="str">
        <f>IFERROR(MID(VLOOKUP($B212,Seqs!$A:$B,2,0),AK212,1),"")</f>
        <v>N</v>
      </c>
      <c r="AK212" s="3">
        <v>737</v>
      </c>
      <c r="AL212" s="3" t="str">
        <f>IFERROR(MID(VLOOKUP($B212,Seqs!$A:$B,2,0),AM212,1),"")</f>
        <v>T</v>
      </c>
      <c r="AM212" s="3">
        <v>761</v>
      </c>
      <c r="AN212" s="3" t="str">
        <f>IFERROR(MID(VLOOKUP($B212,Seqs!$A:$B,2,0),AO212,1),"")</f>
        <v>E</v>
      </c>
      <c r="AO212" s="3">
        <v>770</v>
      </c>
      <c r="AP212" s="3" t="str">
        <f>IFERROR(MID(VLOOKUP($B212,Seqs!$A:$B,2,0),AQ212,1),"")</f>
        <v>G</v>
      </c>
      <c r="AQ212" s="3">
        <v>794</v>
      </c>
      <c r="AR212" s="3" t="str">
        <f>IFERROR(MID(VLOOKUP($B212,Seqs!$A:$B,2,0),AS212,1),"")</f>
        <v>K</v>
      </c>
      <c r="AS212" s="3">
        <v>798</v>
      </c>
      <c r="AT212" s="3" t="str">
        <f>IFERROR(MID(VLOOKUP($B212,Seqs!$A:$B,2,0),AU212,1),"")</f>
        <v>K</v>
      </c>
      <c r="AU212" s="3">
        <v>828</v>
      </c>
      <c r="AV212" s="3" t="str">
        <f>IFERROR(MID(VLOOKUP($B212,Seqs!$A:$B,2,0),AW212,1),"")</f>
        <v>P</v>
      </c>
      <c r="AW212" s="3">
        <v>829</v>
      </c>
      <c r="AX212" s="3" t="str">
        <f>IFERROR(MID(VLOOKUP($B212,Seqs!$A:$B,2,0),AY212,1),"")</f>
        <v>R</v>
      </c>
      <c r="AY212" s="3">
        <v>831</v>
      </c>
      <c r="AZ212" s="79" t="str">
        <f>VLOOKUP(B212,Classification!A:D,2,0)</f>
        <v>C</v>
      </c>
      <c r="BA212" s="97" t="str">
        <f>VLOOKUP(B212,Classification!A:D,4,0)</f>
        <v>Metabotropicglutamate</v>
      </c>
      <c r="BB212" s="27" t="b">
        <f t="shared" si="1115"/>
        <v>1</v>
      </c>
      <c r="BC212" s="23">
        <f t="shared" si="1088"/>
        <v>211</v>
      </c>
      <c r="BD212" s="4" t="s">
        <v>23</v>
      </c>
      <c r="BE212" s="3" t="s">
        <v>1381</v>
      </c>
      <c r="BF212" s="124">
        <v>2.6</v>
      </c>
      <c r="BG212" s="50" t="s">
        <v>1384</v>
      </c>
      <c r="BH212" s="50" t="s">
        <v>1384</v>
      </c>
      <c r="BJ212" s="72" t="s">
        <v>1293</v>
      </c>
      <c r="BK212" s="58" t="s">
        <v>1293</v>
      </c>
      <c r="BL212" s="58" t="s">
        <v>1293</v>
      </c>
      <c r="BM212" s="58" t="s">
        <v>1293</v>
      </c>
      <c r="BN212" s="58" t="s">
        <v>1293</v>
      </c>
      <c r="BO212" s="58" t="s">
        <v>1293</v>
      </c>
      <c r="BP212" s="58" t="s">
        <v>1293</v>
      </c>
      <c r="BQ212" s="58" t="s">
        <v>1293</v>
      </c>
      <c r="BR212" s="58" t="s">
        <v>1293</v>
      </c>
      <c r="BS212" s="58" t="s">
        <v>1293</v>
      </c>
      <c r="BT212" s="58" t="s">
        <v>1293</v>
      </c>
      <c r="BU212" s="58" t="s">
        <v>1293</v>
      </c>
      <c r="BV212" s="72">
        <f t="shared" si="1089"/>
        <v>578</v>
      </c>
      <c r="BW212" s="73">
        <f t="shared" si="1090"/>
        <v>607</v>
      </c>
      <c r="BX212" s="74">
        <f t="shared" si="1091"/>
        <v>614</v>
      </c>
      <c r="BY212" s="73" t="str">
        <f t="shared" si="1092"/>
        <v>-</v>
      </c>
      <c r="BZ212" s="74">
        <f t="shared" si="1093"/>
        <v>641</v>
      </c>
      <c r="CA212" s="73" t="str">
        <f t="shared" si="1094"/>
        <v>-</v>
      </c>
      <c r="CB212" s="74">
        <f t="shared" si="1095"/>
        <v>689</v>
      </c>
      <c r="CC212" s="73">
        <f t="shared" si="1096"/>
        <v>733</v>
      </c>
      <c r="CD212" s="74">
        <f t="shared" si="1097"/>
        <v>737</v>
      </c>
      <c r="CE212" s="73">
        <f t="shared" si="1098"/>
        <v>770</v>
      </c>
      <c r="CF212" s="74">
        <f t="shared" si="1099"/>
        <v>798</v>
      </c>
      <c r="CG212" s="73">
        <f t="shared" si="1100"/>
        <v>829</v>
      </c>
      <c r="CH212" s="72">
        <f t="shared" si="1101"/>
        <v>604</v>
      </c>
      <c r="CI212" s="73">
        <f t="shared" si="1102"/>
        <v>613</v>
      </c>
      <c r="CJ212" s="74">
        <f t="shared" si="1103"/>
        <v>636</v>
      </c>
      <c r="CK212" s="74" t="str">
        <f t="shared" si="1104"/>
        <v>-</v>
      </c>
      <c r="CL212" s="74">
        <f t="shared" si="1105"/>
        <v>678</v>
      </c>
      <c r="CM212" s="74" t="str">
        <f t="shared" si="1106"/>
        <v>-</v>
      </c>
      <c r="CN212" s="74">
        <f t="shared" si="1107"/>
        <v>715</v>
      </c>
      <c r="CO212" s="74">
        <f t="shared" si="1108"/>
        <v>735</v>
      </c>
      <c r="CP212" s="74">
        <f t="shared" si="1109"/>
        <v>761</v>
      </c>
      <c r="CQ212" s="74">
        <f t="shared" si="1110"/>
        <v>794</v>
      </c>
      <c r="CR212" s="74">
        <f t="shared" si="1111"/>
        <v>828</v>
      </c>
      <c r="CS212" s="74">
        <f t="shared" si="1112"/>
        <v>831</v>
      </c>
      <c r="CT212" s="23">
        <f t="shared" si="1113"/>
        <v>1</v>
      </c>
      <c r="AMP212" s="3"/>
    </row>
    <row r="213" spans="1:1030" x14ac:dyDescent="0.2">
      <c r="A213" s="3" t="str">
        <f t="shared" si="1114"/>
        <v>smo_human__wt</v>
      </c>
      <c r="B213" s="3" t="s">
        <v>33</v>
      </c>
      <c r="C213" s="3" t="s">
        <v>100</v>
      </c>
      <c r="D213" s="3" t="str">
        <f>IFERROR(MID(VLOOKUP($B213,Seqs!$A:$B,2,0),E213,1),"")</f>
        <v>E</v>
      </c>
      <c r="E213" s="3">
        <v>224</v>
      </c>
      <c r="F213" s="3" t="str">
        <f>IFERROR(MID(VLOOKUP($B213,Seqs!$A:$B,2,0),G213,1),"")</f>
        <v>D</v>
      </c>
      <c r="G213" s="3">
        <v>255</v>
      </c>
      <c r="H213" s="3" t="str">
        <f>IFERROR(MID(VLOOKUP($B213,Seqs!$A:$B,2,0),I213,1),"")</f>
        <v>W</v>
      </c>
      <c r="I213" s="23">
        <v>256</v>
      </c>
      <c r="J213" s="3" t="str">
        <f>IFERROR(MID(VLOOKUP($B213,Seqs!$A:$B,2,0),K213,1),"")</f>
        <v>N</v>
      </c>
      <c r="K213" s="23">
        <v>260</v>
      </c>
      <c r="L213" s="3" t="str">
        <f>IFERROR(MID(VLOOKUP($B213,Seqs!$A:$B,2,0),M213,1),"")</f>
        <v>R</v>
      </c>
      <c r="M213" s="3">
        <v>261</v>
      </c>
      <c r="N213" s="3" t="str">
        <f>IFERROR(MID(VLOOKUP($B213,Seqs!$A:$B,2,0),O213,1),"")</f>
        <v>F</v>
      </c>
      <c r="O213" s="3">
        <v>285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L</v>
      </c>
      <c r="U213" s="3">
        <v>312</v>
      </c>
      <c r="V213" s="3" t="str">
        <f>IFERROR(MID(VLOOKUP($B213,Seqs!$A:$B,2,0),W213,1),"")</f>
        <v>T</v>
      </c>
      <c r="W213" s="3">
        <v>348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L</v>
      </c>
      <c r="AC213" s="9">
        <v>353</v>
      </c>
      <c r="AD213" s="3" t="str">
        <f>IFERROR(MID(VLOOKUP($B213,Seqs!$A:$B,2,0),AE213,1),"")</f>
        <v>V</v>
      </c>
      <c r="AE213" s="3">
        <v>378</v>
      </c>
      <c r="AF213" s="3" t="str">
        <f>IFERROR(MID(VLOOKUP($B213,Seqs!$A:$B,2,0),AG213,1),"")</f>
        <v>C</v>
      </c>
      <c r="AG213" s="3">
        <v>390</v>
      </c>
      <c r="AH213" s="3" t="str">
        <f>IFERROR(MID(VLOOKUP($B213,Seqs!$A:$B,2,0),AI213,1),"")</f>
        <v>V</v>
      </c>
      <c r="AI213" s="3">
        <v>392</v>
      </c>
      <c r="AJ213" s="3" t="str">
        <f>IFERROR(MID(VLOOKUP($B213,Seqs!$A:$B,2,0),AK213,1),"")</f>
        <v>Y</v>
      </c>
      <c r="AK213" s="3">
        <v>397</v>
      </c>
      <c r="AL213" s="3" t="str">
        <f>IFERROR(MID(VLOOKUP($B213,Seqs!$A:$B,2,0),AM213,1),"")</f>
        <v>H</v>
      </c>
      <c r="AM213" s="3">
        <v>433</v>
      </c>
      <c r="AN213" s="3" t="str">
        <f>IFERROR(MID(VLOOKUP($B213,Seqs!$A:$B,2,0),AO213,1),"")</f>
        <v>A</v>
      </c>
      <c r="AO213" s="3">
        <v>442</v>
      </c>
      <c r="AP213" s="3" t="str">
        <f>IFERROR(MID(VLOOKUP($B213,Seqs!$A:$B,2,0),AQ213,1),"")</f>
        <v>I</v>
      </c>
      <c r="AQ213" s="3">
        <v>496</v>
      </c>
      <c r="AR213" s="3" t="str">
        <f>IFERROR(MID(VLOOKUP($B213,Seqs!$A:$B,2,0),AS213,1),"")</f>
        <v>L</v>
      </c>
      <c r="AS213" s="3">
        <v>515</v>
      </c>
      <c r="AT213" s="3" t="str">
        <f>IFERROR(MID(VLOOKUP($B213,Seqs!$A:$B,2,0),AU213,1),"")</f>
        <v>W</v>
      </c>
      <c r="AU213" s="3">
        <v>537</v>
      </c>
      <c r="AV213" s="3" t="str">
        <f>IFERROR(MID(VLOOKUP($B213,Seqs!$A:$B,2,0),AW213,1),"")</f>
        <v>T</v>
      </c>
      <c r="AW213" s="3">
        <v>538</v>
      </c>
      <c r="AX213" s="3" t="str">
        <f>IFERROR(MID(VLOOKUP($B213,Seqs!$A:$B,2,0),AY213,1),"")</f>
        <v>T</v>
      </c>
      <c r="AY213" s="3">
        <v>553</v>
      </c>
      <c r="AZ213" s="79" t="str">
        <f>VLOOKUP(B213,Classification!A:D,2,0)</f>
        <v>F</v>
      </c>
      <c r="BA213" s="97" t="str">
        <f>VLOOKUP(B213,Classification!A:D,4,0)</f>
        <v>Frizzled</v>
      </c>
      <c r="BB213" s="27" t="b">
        <f t="shared" si="1115"/>
        <v>1</v>
      </c>
      <c r="BC213" s="23">
        <f t="shared" si="1088"/>
        <v>261</v>
      </c>
      <c r="BD213" s="57" t="s">
        <v>1379</v>
      </c>
      <c r="BE213" s="3" t="s">
        <v>23</v>
      </c>
      <c r="BF213" s="124" t="s">
        <v>23</v>
      </c>
      <c r="BG213" s="50" t="s">
        <v>1379</v>
      </c>
      <c r="BH213" s="50" t="s">
        <v>1384</v>
      </c>
      <c r="BJ213" s="72" t="s">
        <v>1293</v>
      </c>
      <c r="BK213" s="58" t="s">
        <v>1293</v>
      </c>
      <c r="BL213" s="58" t="s">
        <v>1293</v>
      </c>
      <c r="BM213" s="58" t="s">
        <v>1293</v>
      </c>
      <c r="BN213" s="58" t="s">
        <v>1293</v>
      </c>
      <c r="BO213" s="58" t="s">
        <v>1293</v>
      </c>
      <c r="BP213" s="58" t="s">
        <v>1293</v>
      </c>
      <c r="BQ213" s="58" t="s">
        <v>1293</v>
      </c>
      <c r="BR213" s="58" t="s">
        <v>1293</v>
      </c>
      <c r="BS213" s="58" t="s">
        <v>1293</v>
      </c>
      <c r="BT213" s="58" t="s">
        <v>1293</v>
      </c>
      <c r="BU213" s="58" t="s">
        <v>1293</v>
      </c>
      <c r="BV213" s="72">
        <f t="shared" si="1089"/>
        <v>224</v>
      </c>
      <c r="BW213" s="73">
        <f t="shared" si="1090"/>
        <v>256</v>
      </c>
      <c r="BX213" s="74">
        <f t="shared" si="1091"/>
        <v>261</v>
      </c>
      <c r="BY213" s="73" t="str">
        <f t="shared" si="1092"/>
        <v>-</v>
      </c>
      <c r="BZ213" s="74">
        <f t="shared" si="1093"/>
        <v>312</v>
      </c>
      <c r="CA213" s="73" t="str">
        <f t="shared" si="1094"/>
        <v>-</v>
      </c>
      <c r="CB213" s="74">
        <f t="shared" si="1095"/>
        <v>353</v>
      </c>
      <c r="CC213" s="73">
        <f t="shared" si="1096"/>
        <v>390</v>
      </c>
      <c r="CD213" s="74">
        <f t="shared" si="1097"/>
        <v>397</v>
      </c>
      <c r="CE213" s="73">
        <f t="shared" si="1098"/>
        <v>442</v>
      </c>
      <c r="CF213" s="74">
        <f t="shared" si="1099"/>
        <v>515</v>
      </c>
      <c r="CG213" s="73">
        <f t="shared" si="1100"/>
        <v>538</v>
      </c>
      <c r="CH213" s="72">
        <f t="shared" si="1101"/>
        <v>255</v>
      </c>
      <c r="CI213" s="73">
        <f t="shared" si="1102"/>
        <v>260</v>
      </c>
      <c r="CJ213" s="74">
        <f t="shared" si="1103"/>
        <v>285</v>
      </c>
      <c r="CK213" s="74" t="str">
        <f t="shared" si="1104"/>
        <v>-</v>
      </c>
      <c r="CL213" s="74">
        <f t="shared" si="1105"/>
        <v>348</v>
      </c>
      <c r="CM213" s="74" t="str">
        <f t="shared" si="1106"/>
        <v>-</v>
      </c>
      <c r="CN213" s="74">
        <f t="shared" si="1107"/>
        <v>378</v>
      </c>
      <c r="CO213" s="74">
        <f t="shared" si="1108"/>
        <v>392</v>
      </c>
      <c r="CP213" s="74">
        <f t="shared" si="1109"/>
        <v>433</v>
      </c>
      <c r="CQ213" s="74">
        <f t="shared" si="1110"/>
        <v>496</v>
      </c>
      <c r="CR213" s="74">
        <f t="shared" si="1111"/>
        <v>537</v>
      </c>
      <c r="CS213" s="74">
        <f t="shared" si="1112"/>
        <v>553</v>
      </c>
      <c r="CT213" s="23">
        <f t="shared" si="1113"/>
        <v>1</v>
      </c>
    </row>
    <row r="214" spans="1:1030" x14ac:dyDescent="0.2">
      <c r="A214" s="3" t="str">
        <f t="shared" si="1114"/>
        <v>smo_human_4JKV</v>
      </c>
      <c r="B214" s="3" t="s">
        <v>33</v>
      </c>
      <c r="C214" s="3" t="s">
        <v>86</v>
      </c>
      <c r="D214" s="3" t="str">
        <f>IFERROR(MID(VLOOKUP($B214,Seqs!$A:$B,2,0),E214,1),"")</f>
        <v>E</v>
      </c>
      <c r="E214" s="3">
        <v>224</v>
      </c>
      <c r="F214" s="3" t="str">
        <f>IFERROR(MID(VLOOKUP($B214,Seqs!$A:$B,2,0),G214,1),"")</f>
        <v>D</v>
      </c>
      <c r="G214" s="3">
        <v>255</v>
      </c>
      <c r="H214" s="3" t="str">
        <f>IFERROR(MID(VLOOKUP($B214,Seqs!$A:$B,2,0),I214,1),"")</f>
        <v>W</v>
      </c>
      <c r="I214" s="23">
        <v>256</v>
      </c>
      <c r="J214" s="3" t="str">
        <f>IFERROR(MID(VLOOKUP($B214,Seqs!$A:$B,2,0),K214,1),"")</f>
        <v>N</v>
      </c>
      <c r="K214" s="23">
        <v>260</v>
      </c>
      <c r="L214" s="3" t="str">
        <f>IFERROR(MID(VLOOKUP($B214,Seqs!$A:$B,2,0),M214,1),"")</f>
        <v>R</v>
      </c>
      <c r="M214" s="3">
        <v>261</v>
      </c>
      <c r="N214" s="3" t="str">
        <f>IFERROR(MID(VLOOKUP($B214,Seqs!$A:$B,2,0),O214,1),"")</f>
        <v>F</v>
      </c>
      <c r="O214" s="3">
        <v>285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L</v>
      </c>
      <c r="U214" s="3">
        <v>312</v>
      </c>
      <c r="V214" s="3" t="str">
        <f>IFERROR(MID(VLOOKUP($B214,Seqs!$A:$B,2,0),W214,1),"")</f>
        <v>T</v>
      </c>
      <c r="W214" s="3">
        <v>348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F</v>
      </c>
      <c r="AC214" s="9">
        <v>360</v>
      </c>
      <c r="AD214" s="3" t="str">
        <f>IFERROR(MID(VLOOKUP($B214,Seqs!$A:$B,2,0),AE214,1),"")</f>
        <v>V</v>
      </c>
      <c r="AE214" s="3">
        <v>378</v>
      </c>
      <c r="AF214" s="3" t="str">
        <f>IFERROR(MID(VLOOKUP($B214,Seqs!$A:$B,2,0),AG214,1),"")</f>
        <v>C</v>
      </c>
      <c r="AG214" s="3">
        <v>390</v>
      </c>
      <c r="AH214" s="3" t="str">
        <f>IFERROR(MID(VLOOKUP($B214,Seqs!$A:$B,2,0),AI214,1),"")</f>
        <v>V</v>
      </c>
      <c r="AI214" s="3">
        <v>392</v>
      </c>
      <c r="AJ214" s="3" t="str">
        <f>IFERROR(MID(VLOOKUP($B214,Seqs!$A:$B,2,0),AK214,1),"")</f>
        <v>Y</v>
      </c>
      <c r="AK214" s="3">
        <v>397</v>
      </c>
      <c r="AL214" s="3" t="str">
        <f>IFERROR(MID(VLOOKUP($B214,Seqs!$A:$B,2,0),AM214,1),"")</f>
        <v>H</v>
      </c>
      <c r="AM214" s="3">
        <v>433</v>
      </c>
      <c r="AN214" s="3" t="str">
        <f>IFERROR(MID(VLOOKUP($B214,Seqs!$A:$B,2,0),AO214,1),"")</f>
        <v>A</v>
      </c>
      <c r="AO214" s="3">
        <v>442</v>
      </c>
      <c r="AP214" s="3" t="str">
        <f>IFERROR(MID(VLOOKUP($B214,Seqs!$A:$B,2,0),AQ214,1),"")</f>
        <v>N</v>
      </c>
      <c r="AQ214" s="3">
        <v>493</v>
      </c>
      <c r="AR214" s="3" t="str">
        <f>IFERROR(MID(VLOOKUP($B214,Seqs!$A:$B,2,0),AS214,1),"")</f>
        <v>L</v>
      </c>
      <c r="AS214" s="3">
        <v>515</v>
      </c>
      <c r="AT214" s="3" t="str">
        <f>IFERROR(MID(VLOOKUP($B214,Seqs!$A:$B,2,0),AU214,1),"")</f>
        <v>W</v>
      </c>
      <c r="AU214" s="3">
        <v>537</v>
      </c>
      <c r="AV214" s="3" t="str">
        <f>IFERROR(MID(VLOOKUP($B214,Seqs!$A:$B,2,0),AW214,1),"")</f>
        <v>T</v>
      </c>
      <c r="AW214" s="3">
        <v>538</v>
      </c>
      <c r="AX214" s="3" t="str">
        <f>IFERROR(MID(VLOOKUP($B214,Seqs!$A:$B,2,0),AY214,1),"")</f>
        <v>C</v>
      </c>
      <c r="AY214" s="3">
        <v>550</v>
      </c>
      <c r="AZ214" s="79" t="str">
        <f>VLOOKUP(B214,Classification!A:D,2,0)</f>
        <v>F</v>
      </c>
      <c r="BA214" s="97" t="str">
        <f>VLOOKUP(B214,Classification!A:D,4,0)</f>
        <v>Frizzled</v>
      </c>
      <c r="BB214" s="27" t="b">
        <f t="shared" si="1115"/>
        <v>1</v>
      </c>
      <c r="BC214" s="23">
        <f t="shared" si="1088"/>
        <v>248</v>
      </c>
      <c r="BD214" s="4" t="s">
        <v>23</v>
      </c>
      <c r="BE214" s="3" t="s">
        <v>1381</v>
      </c>
      <c r="BF214" s="124">
        <v>2.4500000000000002</v>
      </c>
      <c r="BG214" s="50" t="s">
        <v>1384</v>
      </c>
      <c r="BH214" s="50" t="s">
        <v>1384</v>
      </c>
      <c r="BJ214" s="72" t="s">
        <v>1293</v>
      </c>
      <c r="BK214" s="58" t="s">
        <v>1293</v>
      </c>
      <c r="BL214" s="58" t="s">
        <v>1293</v>
      </c>
      <c r="BM214" s="58" t="s">
        <v>1293</v>
      </c>
      <c r="BN214" s="58" t="s">
        <v>1293</v>
      </c>
      <c r="BO214" s="58" t="s">
        <v>1293</v>
      </c>
      <c r="BP214" s="58" t="s">
        <v>1293</v>
      </c>
      <c r="BQ214" s="58" t="s">
        <v>1293</v>
      </c>
      <c r="BR214" s="58" t="s">
        <v>1293</v>
      </c>
      <c r="BS214" s="58" t="s">
        <v>1293</v>
      </c>
      <c r="BT214" s="58" t="s">
        <v>1293</v>
      </c>
      <c r="BU214" s="58" t="s">
        <v>1293</v>
      </c>
      <c r="BV214" s="72">
        <f t="shared" si="1089"/>
        <v>224</v>
      </c>
      <c r="BW214" s="73">
        <f t="shared" si="1090"/>
        <v>256</v>
      </c>
      <c r="BX214" s="74">
        <f t="shared" si="1091"/>
        <v>261</v>
      </c>
      <c r="BY214" s="73" t="str">
        <f t="shared" si="1092"/>
        <v>-</v>
      </c>
      <c r="BZ214" s="74">
        <f t="shared" si="1093"/>
        <v>312</v>
      </c>
      <c r="CA214" s="73" t="str">
        <f t="shared" si="1094"/>
        <v>-</v>
      </c>
      <c r="CB214" s="74">
        <f t="shared" si="1095"/>
        <v>360</v>
      </c>
      <c r="CC214" s="73">
        <f t="shared" si="1096"/>
        <v>390</v>
      </c>
      <c r="CD214" s="74">
        <f t="shared" si="1097"/>
        <v>397</v>
      </c>
      <c r="CE214" s="73">
        <f t="shared" si="1098"/>
        <v>442</v>
      </c>
      <c r="CF214" s="74">
        <f t="shared" si="1099"/>
        <v>515</v>
      </c>
      <c r="CG214" s="73">
        <f t="shared" si="1100"/>
        <v>538</v>
      </c>
      <c r="CH214" s="72">
        <f t="shared" si="1101"/>
        <v>255</v>
      </c>
      <c r="CI214" s="73">
        <f t="shared" si="1102"/>
        <v>260</v>
      </c>
      <c r="CJ214" s="74">
        <f t="shared" si="1103"/>
        <v>285</v>
      </c>
      <c r="CK214" s="74" t="str">
        <f t="shared" si="1104"/>
        <v>-</v>
      </c>
      <c r="CL214" s="74">
        <f t="shared" si="1105"/>
        <v>348</v>
      </c>
      <c r="CM214" s="74" t="str">
        <f t="shared" si="1106"/>
        <v>-</v>
      </c>
      <c r="CN214" s="74">
        <f t="shared" si="1107"/>
        <v>378</v>
      </c>
      <c r="CO214" s="74">
        <f t="shared" si="1108"/>
        <v>392</v>
      </c>
      <c r="CP214" s="74">
        <f t="shared" si="1109"/>
        <v>433</v>
      </c>
      <c r="CQ214" s="74">
        <f t="shared" si="1110"/>
        <v>493</v>
      </c>
      <c r="CR214" s="74">
        <f t="shared" si="1111"/>
        <v>537</v>
      </c>
      <c r="CS214" s="74">
        <f t="shared" si="1112"/>
        <v>550</v>
      </c>
      <c r="CT214" s="23">
        <f t="shared" si="1113"/>
        <v>1</v>
      </c>
    </row>
    <row r="215" spans="1:1030" x14ac:dyDescent="0.2">
      <c r="A215" s="3" t="str">
        <f t="shared" si="1114"/>
        <v>smo_human_4N4W</v>
      </c>
      <c r="B215" s="3" t="s">
        <v>33</v>
      </c>
      <c r="C215" s="3" t="s">
        <v>1048</v>
      </c>
      <c r="D215" s="3" t="str">
        <f>IFERROR(MID(VLOOKUP($B215,Seqs!$A:$B,2,0),E215,1),"")</f>
        <v>E</v>
      </c>
      <c r="E215" s="3">
        <v>224</v>
      </c>
      <c r="F215" s="3" t="str">
        <f>IFERROR(MID(VLOOKUP($B215,Seqs!$A:$B,2,0),G215,1),"")</f>
        <v>D</v>
      </c>
      <c r="G215" s="3">
        <v>255</v>
      </c>
      <c r="H215" s="3" t="str">
        <f>IFERROR(MID(VLOOKUP($B215,Seqs!$A:$B,2,0),I215,1),"")</f>
        <v>W</v>
      </c>
      <c r="I215" s="23">
        <v>256</v>
      </c>
      <c r="J215" s="3" t="str">
        <f>IFERROR(MID(VLOOKUP($B215,Seqs!$A:$B,2,0),K215,1),"")</f>
        <v>N</v>
      </c>
      <c r="K215" s="23">
        <v>260</v>
      </c>
      <c r="L215" s="3" t="str">
        <f>IFERROR(MID(VLOOKUP($B215,Seqs!$A:$B,2,0),M215,1),"")</f>
        <v>R</v>
      </c>
      <c r="M215" s="3">
        <v>261</v>
      </c>
      <c r="N215" s="3" t="str">
        <f>IFERROR(MID(VLOOKUP($B215,Seqs!$A:$B,2,0),O215,1),"")</f>
        <v>F</v>
      </c>
      <c r="O215" s="3">
        <v>285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L</v>
      </c>
      <c r="U215" s="3">
        <v>312</v>
      </c>
      <c r="V215" s="3" t="str">
        <f>IFERROR(MID(VLOOKUP($B215,Seqs!$A:$B,2,0),W215,1),"")</f>
        <v>A</v>
      </c>
      <c r="W215" s="3">
        <v>345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K</v>
      </c>
      <c r="AC215" s="9">
        <v>356</v>
      </c>
      <c r="AD215" s="3" t="str">
        <f>IFERROR(MID(VLOOKUP($B215,Seqs!$A:$B,2,0),AE215,1),"")</f>
        <v>V</v>
      </c>
      <c r="AE215" s="3">
        <v>378</v>
      </c>
      <c r="AF215" s="3" t="str">
        <f>IFERROR(MID(VLOOKUP($B215,Seqs!$A:$B,2,0),AG215,1),"")</f>
        <v>C</v>
      </c>
      <c r="AG215" s="3">
        <v>390</v>
      </c>
      <c r="AH215" s="3" t="str">
        <f>IFERROR(MID(VLOOKUP($B215,Seqs!$A:$B,2,0),AI215,1),"")</f>
        <v>V</v>
      </c>
      <c r="AI215" s="3">
        <v>392</v>
      </c>
      <c r="AJ215" s="3" t="str">
        <f>IFERROR(MID(VLOOKUP($B215,Seqs!$A:$B,2,0),AK215,1),"")</f>
        <v>Y</v>
      </c>
      <c r="AK215" s="3">
        <v>397</v>
      </c>
      <c r="AL215" s="3" t="str">
        <f>IFERROR(MID(VLOOKUP($B215,Seqs!$A:$B,2,0),AM215,1),"")</f>
        <v>H</v>
      </c>
      <c r="AM215" s="3">
        <v>433</v>
      </c>
      <c r="AN215" s="3" t="str">
        <f>IFERROR(MID(VLOOKUP($B215,Seqs!$A:$B,2,0),AO215,1),"")</f>
        <v>S</v>
      </c>
      <c r="AO215" s="3">
        <v>443</v>
      </c>
      <c r="AP215" s="3" t="str">
        <f>IFERROR(MID(VLOOKUP($B215,Seqs!$A:$B,2,0),AQ215,1),"")</f>
        <v>Q</v>
      </c>
      <c r="AQ215" s="3">
        <v>491</v>
      </c>
      <c r="AR215" s="3" t="str">
        <f>IFERROR(MID(VLOOKUP($B215,Seqs!$A:$B,2,0),AS215,1),"")</f>
        <v>L</v>
      </c>
      <c r="AS215" s="3">
        <v>515</v>
      </c>
      <c r="AT215" s="3" t="str">
        <f>IFERROR(MID(VLOOKUP($B215,Seqs!$A:$B,2,0),AU215,1),"")</f>
        <v>W</v>
      </c>
      <c r="AU215" s="3">
        <v>537</v>
      </c>
      <c r="AV215" s="3" t="str">
        <f>IFERROR(MID(VLOOKUP($B215,Seqs!$A:$B,2,0),AW215,1),"")</f>
        <v>T</v>
      </c>
      <c r="AW215" s="3">
        <v>538</v>
      </c>
      <c r="AX215" s="3" t="str">
        <f>IFERROR(MID(VLOOKUP($B215,Seqs!$A:$B,2,0),AY215,1),"")</f>
        <v>L</v>
      </c>
      <c r="AY215" s="3">
        <v>552</v>
      </c>
      <c r="AZ215" s="79" t="str">
        <f>VLOOKUP(B215,Classification!A:D,2,0)</f>
        <v>F</v>
      </c>
      <c r="BA215" s="97" t="str">
        <f>VLOOKUP(B215,Classification!A:D,4,0)</f>
        <v>Frizzled</v>
      </c>
      <c r="BB215" s="27" t="b">
        <f t="shared" si="1115"/>
        <v>1</v>
      </c>
      <c r="BC215" s="23">
        <f t="shared" si="1088"/>
        <v>248</v>
      </c>
      <c r="BD215" s="2" t="s">
        <v>23</v>
      </c>
      <c r="BE215" s="3" t="s">
        <v>1381</v>
      </c>
      <c r="BF215" s="124">
        <v>2.8</v>
      </c>
      <c r="BG215" s="50" t="s">
        <v>1384</v>
      </c>
      <c r="BH215" s="50" t="s">
        <v>1384</v>
      </c>
      <c r="BJ215" s="72" t="s">
        <v>1293</v>
      </c>
      <c r="BK215" s="58" t="s">
        <v>1293</v>
      </c>
      <c r="BL215" s="58" t="s">
        <v>1293</v>
      </c>
      <c r="BM215" s="58" t="s">
        <v>1293</v>
      </c>
      <c r="BN215" s="58" t="s">
        <v>1293</v>
      </c>
      <c r="BO215" s="58" t="s">
        <v>1293</v>
      </c>
      <c r="BP215" s="58" t="s">
        <v>1293</v>
      </c>
      <c r="BQ215" s="58" t="s">
        <v>1293</v>
      </c>
      <c r="BR215" s="58" t="s">
        <v>1293</v>
      </c>
      <c r="BS215" s="58" t="s">
        <v>1293</v>
      </c>
      <c r="BT215" s="58" t="s">
        <v>1293</v>
      </c>
      <c r="BU215" s="58" t="s">
        <v>1293</v>
      </c>
      <c r="BV215" s="72">
        <f t="shared" si="1089"/>
        <v>224</v>
      </c>
      <c r="BW215" s="73">
        <f t="shared" si="1090"/>
        <v>256</v>
      </c>
      <c r="BX215" s="74">
        <f t="shared" si="1091"/>
        <v>261</v>
      </c>
      <c r="BY215" s="73" t="str">
        <f t="shared" si="1092"/>
        <v>-</v>
      </c>
      <c r="BZ215" s="74">
        <f t="shared" si="1093"/>
        <v>312</v>
      </c>
      <c r="CA215" s="73" t="str">
        <f t="shared" si="1094"/>
        <v>-</v>
      </c>
      <c r="CB215" s="74">
        <f t="shared" si="1095"/>
        <v>356</v>
      </c>
      <c r="CC215" s="73">
        <f t="shared" si="1096"/>
        <v>390</v>
      </c>
      <c r="CD215" s="74">
        <f t="shared" si="1097"/>
        <v>397</v>
      </c>
      <c r="CE215" s="73">
        <f t="shared" si="1098"/>
        <v>443</v>
      </c>
      <c r="CF215" s="74">
        <f t="shared" si="1099"/>
        <v>515</v>
      </c>
      <c r="CG215" s="73">
        <f t="shared" si="1100"/>
        <v>538</v>
      </c>
      <c r="CH215" s="72">
        <f t="shared" si="1101"/>
        <v>255</v>
      </c>
      <c r="CI215" s="73">
        <f t="shared" si="1102"/>
        <v>260</v>
      </c>
      <c r="CJ215" s="74">
        <f t="shared" si="1103"/>
        <v>285</v>
      </c>
      <c r="CK215" s="74" t="str">
        <f t="shared" si="1104"/>
        <v>-</v>
      </c>
      <c r="CL215" s="74">
        <f t="shared" si="1105"/>
        <v>345</v>
      </c>
      <c r="CM215" s="74" t="str">
        <f t="shared" si="1106"/>
        <v>-</v>
      </c>
      <c r="CN215" s="74">
        <f t="shared" si="1107"/>
        <v>378</v>
      </c>
      <c r="CO215" s="74">
        <f t="shared" si="1108"/>
        <v>392</v>
      </c>
      <c r="CP215" s="74">
        <f t="shared" si="1109"/>
        <v>433</v>
      </c>
      <c r="CQ215" s="74">
        <f t="shared" si="1110"/>
        <v>491</v>
      </c>
      <c r="CR215" s="74">
        <f t="shared" si="1111"/>
        <v>537</v>
      </c>
      <c r="CS215" s="74">
        <f t="shared" si="1112"/>
        <v>552</v>
      </c>
      <c r="CT215" s="23">
        <f t="shared" si="1113"/>
        <v>1</v>
      </c>
    </row>
    <row r="216" spans="1:1030" x14ac:dyDescent="0.2">
      <c r="A216" s="3" t="str">
        <f t="shared" si="1114"/>
        <v>smo_human_4O9R</v>
      </c>
      <c r="B216" s="3" t="s">
        <v>33</v>
      </c>
      <c r="C216" s="3" t="s">
        <v>1050</v>
      </c>
      <c r="D216" s="3" t="str">
        <f>IFERROR(MID(VLOOKUP($B216,Seqs!$A:$B,2,0),E216,1),"")</f>
        <v>E</v>
      </c>
      <c r="E216" s="3">
        <v>224</v>
      </c>
      <c r="F216" s="3" t="str">
        <f>IFERROR(MID(VLOOKUP($B216,Seqs!$A:$B,2,0),G216,1),"")</f>
        <v>D</v>
      </c>
      <c r="G216" s="3">
        <v>255</v>
      </c>
      <c r="H216" s="3" t="str">
        <f>IFERROR(MID(VLOOKUP($B216,Seqs!$A:$B,2,0),I216,1),"")</f>
        <v>W</v>
      </c>
      <c r="I216" s="23">
        <v>256</v>
      </c>
      <c r="J216" s="3" t="str">
        <f>IFERROR(MID(VLOOKUP($B216,Seqs!$A:$B,2,0),K216,1),"")</f>
        <v>N</v>
      </c>
      <c r="K216" s="23">
        <v>260</v>
      </c>
      <c r="L216" s="3" t="str">
        <f>IFERROR(MID(VLOOKUP($B216,Seqs!$A:$B,2,0),M216,1),"")</f>
        <v>R</v>
      </c>
      <c r="M216" s="3">
        <v>261</v>
      </c>
      <c r="N216" s="3" t="str">
        <f>IFERROR(MID(VLOOKUP($B216,Seqs!$A:$B,2,0),O216,1),"")</f>
        <v>F</v>
      </c>
      <c r="O216" s="3">
        <v>285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L</v>
      </c>
      <c r="U216" s="3">
        <v>312</v>
      </c>
      <c r="V216" s="3" t="str">
        <f>IFERROR(MID(VLOOKUP($B216,Seqs!$A:$B,2,0),W216,1),"")</f>
        <v>F</v>
      </c>
      <c r="W216" s="3">
        <v>343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F</v>
      </c>
      <c r="AC216" s="9">
        <v>360</v>
      </c>
      <c r="AD216" s="3" t="str">
        <f>IFERROR(MID(VLOOKUP($B216,Seqs!$A:$B,2,0),AE216,1),"")</f>
        <v>V</v>
      </c>
      <c r="AE216" s="3">
        <v>378</v>
      </c>
      <c r="AF216" s="3" t="str">
        <f>IFERROR(MID(VLOOKUP($B216,Seqs!$A:$B,2,0),AG216,1),"")</f>
        <v>C</v>
      </c>
      <c r="AG216" s="3">
        <v>390</v>
      </c>
      <c r="AH216" s="3" t="str">
        <f>IFERROR(MID(VLOOKUP($B216,Seqs!$A:$B,2,0),AI216,1),"")</f>
        <v>V</v>
      </c>
      <c r="AI216" s="3">
        <v>392</v>
      </c>
      <c r="AJ216" s="3" t="str">
        <f>IFERROR(MID(VLOOKUP($B216,Seqs!$A:$B,2,0),AK216,1),"")</f>
        <v>Y</v>
      </c>
      <c r="AK216" s="3">
        <v>397</v>
      </c>
      <c r="AL216" s="3" t="str">
        <f>IFERROR(MID(VLOOKUP($B216,Seqs!$A:$B,2,0),AM216,1),"")</f>
        <v>H</v>
      </c>
      <c r="AM216" s="3">
        <v>433</v>
      </c>
      <c r="AN216" s="3" t="str">
        <f>IFERROR(MID(VLOOKUP($B216,Seqs!$A:$B,2,0),AO216,1),"")</f>
        <v>E</v>
      </c>
      <c r="AO216" s="3">
        <v>447</v>
      </c>
      <c r="AP216" s="3" t="str">
        <f>IFERROR(MID(VLOOKUP($B216,Seqs!$A:$B,2,0),AQ216,1),"")</f>
        <v>N</v>
      </c>
      <c r="AQ216" s="3">
        <v>493</v>
      </c>
      <c r="AR216" s="3" t="str">
        <f>IFERROR(MID(VLOOKUP($B216,Seqs!$A:$B,2,0),AS216,1),"")</f>
        <v>L</v>
      </c>
      <c r="AS216" s="3">
        <v>515</v>
      </c>
      <c r="AT216" s="3" t="str">
        <f>IFERROR(MID(VLOOKUP($B216,Seqs!$A:$B,2,0),AU216,1),"")</f>
        <v>W</v>
      </c>
      <c r="AU216" s="3">
        <v>537</v>
      </c>
      <c r="AV216" s="3" t="str">
        <f>IFERROR(MID(VLOOKUP($B216,Seqs!$A:$B,2,0),AW216,1),"")</f>
        <v>T</v>
      </c>
      <c r="AW216" s="3">
        <v>538</v>
      </c>
      <c r="AX216" s="3" t="str">
        <f>IFERROR(MID(VLOOKUP($B216,Seqs!$A:$B,2,0),AY216,1),"")</f>
        <v>W</v>
      </c>
      <c r="AY216" s="3">
        <v>549</v>
      </c>
      <c r="AZ216" s="80" t="str">
        <f>VLOOKUP(B216,Classification!A:D,2,0)</f>
        <v>F</v>
      </c>
      <c r="BA216" s="97" t="str">
        <f>VLOOKUP(B216,Classification!A:D,4,0)</f>
        <v>Frizzled</v>
      </c>
      <c r="BB216" s="94" t="b">
        <f t="shared" si="1115"/>
        <v>1</v>
      </c>
      <c r="BC216" s="23">
        <f t="shared" si="1088"/>
        <v>237</v>
      </c>
      <c r="BD216" s="76" t="s">
        <v>23</v>
      </c>
      <c r="BE216" s="3" t="s">
        <v>1381</v>
      </c>
      <c r="BF216" s="124">
        <v>3.2</v>
      </c>
      <c r="BG216" s="50" t="s">
        <v>1384</v>
      </c>
      <c r="BH216" s="50" t="s">
        <v>1384</v>
      </c>
      <c r="BJ216" s="77" t="s">
        <v>1293</v>
      </c>
      <c r="BK216" s="58" t="s">
        <v>1293</v>
      </c>
      <c r="BL216" s="58" t="s">
        <v>1293</v>
      </c>
      <c r="BM216" s="58" t="s">
        <v>1293</v>
      </c>
      <c r="BN216" s="58" t="s">
        <v>1293</v>
      </c>
      <c r="BO216" s="58" t="s">
        <v>1293</v>
      </c>
      <c r="BP216" s="58" t="s">
        <v>1293</v>
      </c>
      <c r="BQ216" s="58" t="s">
        <v>1293</v>
      </c>
      <c r="BR216" s="58" t="s">
        <v>1293</v>
      </c>
      <c r="BS216" s="58" t="s">
        <v>1293</v>
      </c>
      <c r="BT216" s="58" t="s">
        <v>1293</v>
      </c>
      <c r="BU216" s="58" t="s">
        <v>1293</v>
      </c>
      <c r="BV216" s="77">
        <f t="shared" si="1089"/>
        <v>224</v>
      </c>
      <c r="BW216" s="73">
        <f t="shared" si="1090"/>
        <v>256</v>
      </c>
      <c r="BX216" s="74">
        <f t="shared" si="1091"/>
        <v>261</v>
      </c>
      <c r="BY216" s="73" t="str">
        <f t="shared" si="1092"/>
        <v>-</v>
      </c>
      <c r="BZ216" s="74">
        <f t="shared" si="1093"/>
        <v>312</v>
      </c>
      <c r="CA216" s="73" t="str">
        <f t="shared" si="1094"/>
        <v>-</v>
      </c>
      <c r="CB216" s="74">
        <f t="shared" si="1095"/>
        <v>360</v>
      </c>
      <c r="CC216" s="73">
        <f t="shared" si="1096"/>
        <v>390</v>
      </c>
      <c r="CD216" s="74">
        <f t="shared" si="1097"/>
        <v>397</v>
      </c>
      <c r="CE216" s="73">
        <f t="shared" si="1098"/>
        <v>447</v>
      </c>
      <c r="CF216" s="74">
        <f t="shared" si="1099"/>
        <v>515</v>
      </c>
      <c r="CG216" s="73">
        <f t="shared" si="1100"/>
        <v>538</v>
      </c>
      <c r="CH216" s="77">
        <f t="shared" si="1101"/>
        <v>255</v>
      </c>
      <c r="CI216" s="73">
        <f t="shared" si="1102"/>
        <v>260</v>
      </c>
      <c r="CJ216" s="74">
        <f t="shared" si="1103"/>
        <v>285</v>
      </c>
      <c r="CK216" s="74" t="str">
        <f t="shared" si="1104"/>
        <v>-</v>
      </c>
      <c r="CL216" s="74">
        <f t="shared" si="1105"/>
        <v>343</v>
      </c>
      <c r="CM216" s="74" t="str">
        <f t="shared" si="1106"/>
        <v>-</v>
      </c>
      <c r="CN216" s="74">
        <f t="shared" si="1107"/>
        <v>378</v>
      </c>
      <c r="CO216" s="74">
        <f t="shared" si="1108"/>
        <v>392</v>
      </c>
      <c r="CP216" s="74">
        <f t="shared" si="1109"/>
        <v>433</v>
      </c>
      <c r="CQ216" s="74">
        <f t="shared" si="1110"/>
        <v>493</v>
      </c>
      <c r="CR216" s="74">
        <f t="shared" si="1111"/>
        <v>537</v>
      </c>
      <c r="CS216" s="74">
        <f t="shared" si="1112"/>
        <v>549</v>
      </c>
      <c r="CT216" s="23">
        <f t="shared" si="1113"/>
        <v>1</v>
      </c>
    </row>
    <row r="217" spans="1:1030" s="6" customFormat="1" x14ac:dyDescent="0.2">
      <c r="A217" s="3" t="str">
        <f t="shared" si="1114"/>
        <v>smo_human_4QIM</v>
      </c>
      <c r="B217" s="3" t="s">
        <v>33</v>
      </c>
      <c r="C217" s="3" t="s">
        <v>1052</v>
      </c>
      <c r="D217" s="3" t="str">
        <f>IFERROR(MID(VLOOKUP($B217,Seqs!$A:$B,2,0),E217,1),"")</f>
        <v>E</v>
      </c>
      <c r="E217" s="3">
        <v>224</v>
      </c>
      <c r="F217" s="3" t="str">
        <f>IFERROR(MID(VLOOKUP($B217,Seqs!$A:$B,2,0),G217,1),"")</f>
        <v>D</v>
      </c>
      <c r="G217" s="3">
        <v>255</v>
      </c>
      <c r="H217" s="3" t="str">
        <f>IFERROR(MID(VLOOKUP($B217,Seqs!$A:$B,2,0),I217,1),"")</f>
        <v>W</v>
      </c>
      <c r="I217" s="23">
        <v>256</v>
      </c>
      <c r="J217" s="3" t="str">
        <f>IFERROR(MID(VLOOKUP($B217,Seqs!$A:$B,2,0),K217,1),"")</f>
        <v>N</v>
      </c>
      <c r="K217" s="23">
        <v>260</v>
      </c>
      <c r="L217" s="3" t="str">
        <f>IFERROR(MID(VLOOKUP($B217,Seqs!$A:$B,2,0),M217,1),"")</f>
        <v>R</v>
      </c>
      <c r="M217" s="3">
        <v>261</v>
      </c>
      <c r="N217" s="3" t="str">
        <f>IFERROR(MID(VLOOKUP($B217,Seqs!$A:$B,2,0),O217,1),"")</f>
        <v>F</v>
      </c>
      <c r="O217" s="3">
        <v>285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L</v>
      </c>
      <c r="U217" s="3">
        <v>312</v>
      </c>
      <c r="V217" s="3" t="str">
        <f>IFERROR(MID(VLOOKUP($B217,Seqs!$A:$B,2,0),W217,1),"")</f>
        <v>A</v>
      </c>
      <c r="W217" s="3">
        <v>345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K</v>
      </c>
      <c r="AC217" s="9">
        <v>356</v>
      </c>
      <c r="AD217" s="3" t="str">
        <f>IFERROR(MID(VLOOKUP($B217,Seqs!$A:$B,2,0),AE217,1),"")</f>
        <v>V</v>
      </c>
      <c r="AE217" s="3">
        <v>378</v>
      </c>
      <c r="AF217" s="3" t="str">
        <f>IFERROR(MID(VLOOKUP($B217,Seqs!$A:$B,2,0),AG217,1),"")</f>
        <v>C</v>
      </c>
      <c r="AG217" s="3">
        <v>390</v>
      </c>
      <c r="AH217" s="3" t="str">
        <f>IFERROR(MID(VLOOKUP($B217,Seqs!$A:$B,2,0),AI217,1),"")</f>
        <v>V</v>
      </c>
      <c r="AI217" s="3">
        <v>392</v>
      </c>
      <c r="AJ217" s="3" t="str">
        <f>IFERROR(MID(VLOOKUP($B217,Seqs!$A:$B,2,0),AK217,1),"")</f>
        <v>Y</v>
      </c>
      <c r="AK217" s="3">
        <v>397</v>
      </c>
      <c r="AL217" s="3" t="str">
        <f>IFERROR(MID(VLOOKUP($B217,Seqs!$A:$B,2,0),AM217,1),"")</f>
        <v>H</v>
      </c>
      <c r="AM217" s="3">
        <v>433</v>
      </c>
      <c r="AN217" s="3" t="str">
        <f>IFERROR(MID(VLOOKUP($B217,Seqs!$A:$B,2,0),AO217,1),"")</f>
        <v>E</v>
      </c>
      <c r="AO217" s="3">
        <v>447</v>
      </c>
      <c r="AP217" s="3" t="str">
        <f>IFERROR(MID(VLOOKUP($B217,Seqs!$A:$B,2,0),AQ217,1),"")</f>
        <v>N</v>
      </c>
      <c r="AQ217" s="3">
        <v>493</v>
      </c>
      <c r="AR217" s="3" t="str">
        <f>IFERROR(MID(VLOOKUP($B217,Seqs!$A:$B,2,0),AS217,1),"")</f>
        <v>L</v>
      </c>
      <c r="AS217" s="3">
        <v>515</v>
      </c>
      <c r="AT217" s="3" t="str">
        <f>IFERROR(MID(VLOOKUP($B217,Seqs!$A:$B,2,0),AU217,1),"")</f>
        <v>W</v>
      </c>
      <c r="AU217" s="3">
        <v>537</v>
      </c>
      <c r="AV217" s="3" t="str">
        <f>IFERROR(MID(VLOOKUP($B217,Seqs!$A:$B,2,0),AW217,1),"")</f>
        <v>T</v>
      </c>
      <c r="AW217" s="3">
        <v>538</v>
      </c>
      <c r="AX217" s="3" t="str">
        <f>IFERROR(MID(VLOOKUP($B217,Seqs!$A:$B,2,0),AY217,1),"")</f>
        <v>T</v>
      </c>
      <c r="AY217" s="3">
        <v>553</v>
      </c>
      <c r="AZ217" s="80" t="str">
        <f>VLOOKUP(B217,Classification!A:D,2,0)</f>
        <v>F</v>
      </c>
      <c r="BA217" s="97" t="str">
        <f>VLOOKUP(B217,Classification!A:D,4,0)</f>
        <v>Frizzled</v>
      </c>
      <c r="BB217" s="94" t="b">
        <f t="shared" si="1115"/>
        <v>1</v>
      </c>
      <c r="BC217" s="23">
        <f t="shared" si="1088"/>
        <v>247</v>
      </c>
      <c r="BD217" s="76" t="s">
        <v>23</v>
      </c>
      <c r="BE217" s="3" t="s">
        <v>1381</v>
      </c>
      <c r="BF217" s="124">
        <v>2.61</v>
      </c>
      <c r="BG217" s="50" t="s">
        <v>1384</v>
      </c>
      <c r="BH217" s="50" t="s">
        <v>1384</v>
      </c>
      <c r="BI217" s="3"/>
      <c r="BJ217" s="77" t="s">
        <v>1293</v>
      </c>
      <c r="BK217" s="58" t="s">
        <v>1293</v>
      </c>
      <c r="BL217" s="58" t="s">
        <v>1293</v>
      </c>
      <c r="BM217" s="58" t="s">
        <v>1293</v>
      </c>
      <c r="BN217" s="58" t="s">
        <v>1293</v>
      </c>
      <c r="BO217" s="58" t="s">
        <v>1293</v>
      </c>
      <c r="BP217" s="58" t="s">
        <v>1293</v>
      </c>
      <c r="BQ217" s="58" t="s">
        <v>1293</v>
      </c>
      <c r="BR217" s="58" t="s">
        <v>1293</v>
      </c>
      <c r="BS217" s="58" t="s">
        <v>1293</v>
      </c>
      <c r="BT217" s="58" t="s">
        <v>1293</v>
      </c>
      <c r="BU217" s="58" t="s">
        <v>1293</v>
      </c>
      <c r="BV217" s="77">
        <f t="shared" si="1089"/>
        <v>224</v>
      </c>
      <c r="BW217" s="73">
        <f t="shared" si="1090"/>
        <v>256</v>
      </c>
      <c r="BX217" s="74">
        <f t="shared" si="1091"/>
        <v>261</v>
      </c>
      <c r="BY217" s="73" t="str">
        <f t="shared" si="1092"/>
        <v>-</v>
      </c>
      <c r="BZ217" s="74">
        <f t="shared" si="1093"/>
        <v>312</v>
      </c>
      <c r="CA217" s="73" t="str">
        <f t="shared" si="1094"/>
        <v>-</v>
      </c>
      <c r="CB217" s="74">
        <f t="shared" si="1095"/>
        <v>356</v>
      </c>
      <c r="CC217" s="73">
        <f t="shared" si="1096"/>
        <v>390</v>
      </c>
      <c r="CD217" s="74">
        <f t="shared" si="1097"/>
        <v>397</v>
      </c>
      <c r="CE217" s="73">
        <f t="shared" si="1098"/>
        <v>447</v>
      </c>
      <c r="CF217" s="74">
        <f t="shared" si="1099"/>
        <v>515</v>
      </c>
      <c r="CG217" s="73">
        <f t="shared" si="1100"/>
        <v>538</v>
      </c>
      <c r="CH217" s="77">
        <f t="shared" si="1101"/>
        <v>255</v>
      </c>
      <c r="CI217" s="73">
        <f t="shared" si="1102"/>
        <v>260</v>
      </c>
      <c r="CJ217" s="74">
        <f t="shared" si="1103"/>
        <v>285</v>
      </c>
      <c r="CK217" s="74" t="str">
        <f t="shared" si="1104"/>
        <v>-</v>
      </c>
      <c r="CL217" s="74">
        <f t="shared" si="1105"/>
        <v>345</v>
      </c>
      <c r="CM217" s="74" t="str">
        <f t="shared" si="1106"/>
        <v>-</v>
      </c>
      <c r="CN217" s="74">
        <f t="shared" si="1107"/>
        <v>378</v>
      </c>
      <c r="CO217" s="74">
        <f t="shared" si="1108"/>
        <v>392</v>
      </c>
      <c r="CP217" s="74">
        <f t="shared" si="1109"/>
        <v>433</v>
      </c>
      <c r="CQ217" s="74">
        <f t="shared" si="1110"/>
        <v>493</v>
      </c>
      <c r="CR217" s="74">
        <f t="shared" si="1111"/>
        <v>537</v>
      </c>
      <c r="CS217" s="74">
        <f t="shared" si="1112"/>
        <v>553</v>
      </c>
      <c r="CT217" s="23">
        <f t="shared" si="1113"/>
        <v>1</v>
      </c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  <c r="AMK217" s="3"/>
      <c r="AML217" s="3"/>
      <c r="AMM217" s="3"/>
      <c r="AMN217" s="3"/>
      <c r="AMO217" s="3"/>
      <c r="AMP217" s="1"/>
    </row>
    <row r="218" spans="1:1030" s="6" customFormat="1" x14ac:dyDescent="0.2">
      <c r="A218" s="3" t="str">
        <f t="shared" si="1114"/>
        <v>smo_human_4QIN</v>
      </c>
      <c r="B218" s="3" t="s">
        <v>33</v>
      </c>
      <c r="C218" s="3" t="s">
        <v>56</v>
      </c>
      <c r="D218" s="3" t="str">
        <f>IFERROR(MID(VLOOKUP($B218,Seqs!$A:$B,2,0),E218,1),"")</f>
        <v>E</v>
      </c>
      <c r="E218" s="3">
        <v>224</v>
      </c>
      <c r="F218" s="3" t="str">
        <f>IFERROR(MID(VLOOKUP($B218,Seqs!$A:$B,2,0),G218,1),"")</f>
        <v>D</v>
      </c>
      <c r="G218" s="3">
        <v>255</v>
      </c>
      <c r="H218" s="3" t="str">
        <f>IFERROR(MID(VLOOKUP($B218,Seqs!$A:$B,2,0),I218,1),"")</f>
        <v>W</v>
      </c>
      <c r="I218" s="23">
        <v>256</v>
      </c>
      <c r="J218" s="3" t="str">
        <f>IFERROR(MID(VLOOKUP($B218,Seqs!$A:$B,2,0),K218,1),"")</f>
        <v>N</v>
      </c>
      <c r="K218" s="23">
        <v>260</v>
      </c>
      <c r="L218" s="3" t="str">
        <f>IFERROR(MID(VLOOKUP($B218,Seqs!$A:$B,2,0),M218,1),"")</f>
        <v>R</v>
      </c>
      <c r="M218" s="3">
        <v>261</v>
      </c>
      <c r="N218" s="3" t="str">
        <f>IFERROR(MID(VLOOKUP($B218,Seqs!$A:$B,2,0),O218,1),"")</f>
        <v>F</v>
      </c>
      <c r="O218" s="3">
        <v>285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L</v>
      </c>
      <c r="U218" s="3">
        <v>312</v>
      </c>
      <c r="V218" s="3" t="str">
        <f>IFERROR(MID(VLOOKUP($B218,Seqs!$A:$B,2,0),W218,1),"")</f>
        <v>A</v>
      </c>
      <c r="W218" s="3">
        <v>345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L</v>
      </c>
      <c r="AC218" s="9">
        <v>353</v>
      </c>
      <c r="AD218" s="3" t="str">
        <f>IFERROR(MID(VLOOKUP($B218,Seqs!$A:$B,2,0),AE218,1),"")</f>
        <v>V</v>
      </c>
      <c r="AE218" s="3">
        <v>378</v>
      </c>
      <c r="AF218" s="3" t="str">
        <f>IFERROR(MID(VLOOKUP($B218,Seqs!$A:$B,2,0),AG218,1),"")</f>
        <v>C</v>
      </c>
      <c r="AG218" s="3">
        <v>390</v>
      </c>
      <c r="AH218" s="3" t="str">
        <f>IFERROR(MID(VLOOKUP($B218,Seqs!$A:$B,2,0),AI218,1),"")</f>
        <v>V</v>
      </c>
      <c r="AI218" s="3">
        <v>392</v>
      </c>
      <c r="AJ218" s="3" t="str">
        <f>IFERROR(MID(VLOOKUP($B218,Seqs!$A:$B,2,0),AK218,1),"")</f>
        <v>Y</v>
      </c>
      <c r="AK218" s="3">
        <v>397</v>
      </c>
      <c r="AL218" s="3" t="str">
        <f>IFERROR(MID(VLOOKUP($B218,Seqs!$A:$B,2,0),AM218,1),"")</f>
        <v>H</v>
      </c>
      <c r="AM218" s="3">
        <v>433</v>
      </c>
      <c r="AN218" s="3" t="str">
        <f>IFERROR(MID(VLOOKUP($B218,Seqs!$A:$B,2,0),AO218,1),"")</f>
        <v>E</v>
      </c>
      <c r="AO218" s="3">
        <v>447</v>
      </c>
      <c r="AP218" s="3" t="str">
        <f>IFERROR(MID(VLOOKUP($B218,Seqs!$A:$B,2,0),AQ218,1),"")</f>
        <v>A</v>
      </c>
      <c r="AQ218" s="3">
        <v>492</v>
      </c>
      <c r="AR218" s="3" t="str">
        <f>IFERROR(MID(VLOOKUP($B218,Seqs!$A:$B,2,0),AS218,1),"")</f>
        <v>L</v>
      </c>
      <c r="AS218" s="3">
        <v>515</v>
      </c>
      <c r="AT218" s="3" t="str">
        <f>IFERROR(MID(VLOOKUP($B218,Seqs!$A:$B,2,0),AU218,1),"")</f>
        <v>W</v>
      </c>
      <c r="AU218" s="3">
        <v>537</v>
      </c>
      <c r="AV218" s="3" t="str">
        <f>IFERROR(MID(VLOOKUP($B218,Seqs!$A:$B,2,0),AW218,1),"")</f>
        <v>T</v>
      </c>
      <c r="AW218" s="3">
        <v>538</v>
      </c>
      <c r="AX218" s="3" t="str">
        <f>IFERROR(MID(VLOOKUP($B218,Seqs!$A:$B,2,0),AY218,1),"")</f>
        <v>R</v>
      </c>
      <c r="AY218" s="3">
        <v>551</v>
      </c>
      <c r="AZ218" s="80" t="str">
        <f>VLOOKUP(B218,Classification!A:D,2,0)</f>
        <v>F</v>
      </c>
      <c r="BA218" s="97" t="str">
        <f>VLOOKUP(B218,Classification!A:D,4,0)</f>
        <v>Frizzled</v>
      </c>
      <c r="BB218" s="94" t="b">
        <f t="shared" si="1115"/>
        <v>1</v>
      </c>
      <c r="BC218" s="23">
        <f t="shared" si="1088"/>
        <v>247</v>
      </c>
      <c r="BD218" s="76" t="s">
        <v>23</v>
      </c>
      <c r="BE218" s="3" t="s">
        <v>1381</v>
      </c>
      <c r="BF218" s="124">
        <v>2.6</v>
      </c>
      <c r="BG218" s="50" t="s">
        <v>1384</v>
      </c>
      <c r="BH218" s="50" t="s">
        <v>1384</v>
      </c>
      <c r="BI218" s="3"/>
      <c r="BJ218" s="77" t="s">
        <v>1293</v>
      </c>
      <c r="BK218" s="58" t="s">
        <v>1293</v>
      </c>
      <c r="BL218" s="58" t="s">
        <v>1293</v>
      </c>
      <c r="BM218" s="58" t="s">
        <v>1293</v>
      </c>
      <c r="BN218" s="58" t="s">
        <v>1293</v>
      </c>
      <c r="BO218" s="58" t="s">
        <v>1293</v>
      </c>
      <c r="BP218" s="58" t="s">
        <v>1293</v>
      </c>
      <c r="BQ218" s="58" t="s">
        <v>1293</v>
      </c>
      <c r="BR218" s="58" t="s">
        <v>1293</v>
      </c>
      <c r="BS218" s="58" t="s">
        <v>1293</v>
      </c>
      <c r="BT218" s="58" t="s">
        <v>1293</v>
      </c>
      <c r="BU218" s="58" t="s">
        <v>1293</v>
      </c>
      <c r="BV218" s="77">
        <f t="shared" si="1089"/>
        <v>224</v>
      </c>
      <c r="BW218" s="73">
        <f t="shared" si="1090"/>
        <v>256</v>
      </c>
      <c r="BX218" s="74">
        <f t="shared" si="1091"/>
        <v>261</v>
      </c>
      <c r="BY218" s="73" t="str">
        <f t="shared" si="1092"/>
        <v>-</v>
      </c>
      <c r="BZ218" s="74">
        <f t="shared" si="1093"/>
        <v>312</v>
      </c>
      <c r="CA218" s="73" t="str">
        <f t="shared" si="1094"/>
        <v>-</v>
      </c>
      <c r="CB218" s="74">
        <f t="shared" si="1095"/>
        <v>353</v>
      </c>
      <c r="CC218" s="73">
        <f t="shared" si="1096"/>
        <v>390</v>
      </c>
      <c r="CD218" s="74">
        <f t="shared" si="1097"/>
        <v>397</v>
      </c>
      <c r="CE218" s="73">
        <f t="shared" si="1098"/>
        <v>447</v>
      </c>
      <c r="CF218" s="74">
        <f t="shared" si="1099"/>
        <v>515</v>
      </c>
      <c r="CG218" s="73">
        <f t="shared" si="1100"/>
        <v>538</v>
      </c>
      <c r="CH218" s="77">
        <f t="shared" si="1101"/>
        <v>255</v>
      </c>
      <c r="CI218" s="73">
        <f t="shared" si="1102"/>
        <v>260</v>
      </c>
      <c r="CJ218" s="74">
        <f t="shared" si="1103"/>
        <v>285</v>
      </c>
      <c r="CK218" s="74" t="str">
        <f t="shared" si="1104"/>
        <v>-</v>
      </c>
      <c r="CL218" s="74">
        <f t="shared" si="1105"/>
        <v>345</v>
      </c>
      <c r="CM218" s="74" t="str">
        <f t="shared" si="1106"/>
        <v>-</v>
      </c>
      <c r="CN218" s="74">
        <f t="shared" si="1107"/>
        <v>378</v>
      </c>
      <c r="CO218" s="74">
        <f t="shared" si="1108"/>
        <v>392</v>
      </c>
      <c r="CP218" s="74">
        <f t="shared" si="1109"/>
        <v>433</v>
      </c>
      <c r="CQ218" s="74">
        <f t="shared" si="1110"/>
        <v>492</v>
      </c>
      <c r="CR218" s="74">
        <f t="shared" si="1111"/>
        <v>537</v>
      </c>
      <c r="CS218" s="74">
        <f t="shared" si="1112"/>
        <v>551</v>
      </c>
      <c r="CT218" s="23">
        <f t="shared" si="1113"/>
        <v>1</v>
      </c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  <c r="AMK218" s="3"/>
      <c r="AML218" s="3"/>
      <c r="AMM218" s="3"/>
      <c r="AMN218" s="3"/>
      <c r="AMO218" s="3"/>
      <c r="AMP218" s="1"/>
    </row>
    <row r="219" spans="1:1030" s="6" customFormat="1" x14ac:dyDescent="0.2">
      <c r="A219" s="3" t="str">
        <f t="shared" si="1114"/>
        <v>smo_human_5L7D</v>
      </c>
      <c r="B219" s="3" t="s">
        <v>33</v>
      </c>
      <c r="C219" s="3" t="s">
        <v>1358</v>
      </c>
      <c r="D219" s="3" t="str">
        <f>IFERROR(MID(VLOOKUP($B219,Seqs!$A:$B,2,0),E219,1),"")</f>
        <v>E</v>
      </c>
      <c r="E219" s="3">
        <v>224</v>
      </c>
      <c r="F219" s="3" t="str">
        <f>IFERROR(MID(VLOOKUP($B219,Seqs!$A:$B,2,0),G219,1),"")</f>
        <v>D</v>
      </c>
      <c r="G219" s="3">
        <v>255</v>
      </c>
      <c r="H219" s="3" t="str">
        <f>IFERROR(MID(VLOOKUP($B219,Seqs!$A:$B,2,0),I219,1),"")</f>
        <v>W</v>
      </c>
      <c r="I219" s="23">
        <v>256</v>
      </c>
      <c r="J219" s="3" t="str">
        <f>IFERROR(MID(VLOOKUP($B219,Seqs!$A:$B,2,0),K219,1),"")</f>
        <v>N</v>
      </c>
      <c r="K219" s="23">
        <v>260</v>
      </c>
      <c r="L219" s="3" t="str">
        <f>IFERROR(MID(VLOOKUP($B219,Seqs!$A:$B,2,0),M219,1),"")</f>
        <v>R</v>
      </c>
      <c r="M219" s="3">
        <v>261</v>
      </c>
      <c r="N219" s="3" t="str">
        <f>IFERROR(MID(VLOOKUP($B219,Seqs!$A:$B,2,0),O219,1),"")</f>
        <v>F</v>
      </c>
      <c r="O219" s="3">
        <v>285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L</v>
      </c>
      <c r="U219" s="3">
        <v>312</v>
      </c>
      <c r="V219" s="3" t="str">
        <f>IFERROR(MID(VLOOKUP($B219,Seqs!$A:$B,2,0),W219,1),"")</f>
        <v>L</v>
      </c>
      <c r="W219" s="3">
        <v>346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L</v>
      </c>
      <c r="AC219" s="9">
        <v>353</v>
      </c>
      <c r="AD219" s="3" t="str">
        <f>IFERROR(MID(VLOOKUP($B219,Seqs!$A:$B,2,0),AE219,1),"")</f>
        <v>V</v>
      </c>
      <c r="AE219" s="3">
        <v>378</v>
      </c>
      <c r="AF219" s="3" t="str">
        <f>IFERROR(MID(VLOOKUP($B219,Seqs!$A:$B,2,0),AG219,1),"")</f>
        <v>C</v>
      </c>
      <c r="AG219" s="3">
        <v>390</v>
      </c>
      <c r="AH219" s="3" t="str">
        <f>IFERROR(MID(VLOOKUP($B219,Seqs!$A:$B,2,0),AI219,1),"")</f>
        <v>V</v>
      </c>
      <c r="AI219" s="3">
        <v>392</v>
      </c>
      <c r="AJ219" s="3" t="str">
        <f>IFERROR(MID(VLOOKUP($B219,Seqs!$A:$B,2,0),AK219,1),"")</f>
        <v>Y</v>
      </c>
      <c r="AK219" s="3">
        <v>397</v>
      </c>
      <c r="AL219" s="3" t="str">
        <f>IFERROR(MID(VLOOKUP($B219,Seqs!$A:$B,2,0),AM219,1),"")</f>
        <v>S</v>
      </c>
      <c r="AM219" s="3">
        <v>428</v>
      </c>
      <c r="AN219" s="3" t="str">
        <f>IFERROR(MID(VLOOKUP($B219,Seqs!$A:$B,2,0),AO219,1),"")</f>
        <v>E</v>
      </c>
      <c r="AO219" s="3">
        <v>447</v>
      </c>
      <c r="AP219" s="3" t="str">
        <f>IFERROR(MID(VLOOKUP($B219,Seqs!$A:$B,2,0),AQ219,1),"")</f>
        <v>I</v>
      </c>
      <c r="AQ219" s="3">
        <v>496</v>
      </c>
      <c r="AR219" s="3" t="str">
        <f>IFERROR(MID(VLOOKUP($B219,Seqs!$A:$B,2,0),AS219,1),"")</f>
        <v>L</v>
      </c>
      <c r="AS219" s="3">
        <v>515</v>
      </c>
      <c r="AT219" s="3" t="str">
        <f>IFERROR(MID(VLOOKUP($B219,Seqs!$A:$B,2,0),AU219,1),"")</f>
        <v>W</v>
      </c>
      <c r="AU219" s="3">
        <v>537</v>
      </c>
      <c r="AV219" s="3" t="str">
        <f>IFERROR(MID(VLOOKUP($B219,Seqs!$A:$B,2,0),AW219,1),"")</f>
        <v>T</v>
      </c>
      <c r="AW219" s="3">
        <v>538</v>
      </c>
      <c r="AX219" s="3" t="str">
        <f>IFERROR(MID(VLOOKUP($B219,Seqs!$A:$B,2,0),AY219,1),"")</f>
        <v>T</v>
      </c>
      <c r="AY219" s="3">
        <v>553</v>
      </c>
      <c r="AZ219" s="80" t="str">
        <f>VLOOKUP(B219,Classification!A:D,2,0)</f>
        <v>F</v>
      </c>
      <c r="BA219" s="97" t="str">
        <f>VLOOKUP(B219,Classification!A:D,4,0)</f>
        <v>Frizzled</v>
      </c>
      <c r="BB219" s="94" t="b">
        <f t="shared" si="1115"/>
        <v>1</v>
      </c>
      <c r="BC219" s="23">
        <f t="shared" si="1088"/>
        <v>249</v>
      </c>
      <c r="BD219" s="76" t="s">
        <v>1383</v>
      </c>
      <c r="BE219" s="3" t="s">
        <v>1381</v>
      </c>
      <c r="BF219" s="124">
        <v>3.2</v>
      </c>
      <c r="BG219" s="50" t="s">
        <v>1</v>
      </c>
      <c r="BH219" s="50" t="s">
        <v>1384</v>
      </c>
      <c r="BI219" s="3" t="s">
        <v>1367</v>
      </c>
      <c r="BJ219" s="77" t="s">
        <v>1293</v>
      </c>
      <c r="BK219" s="58" t="s">
        <v>1293</v>
      </c>
      <c r="BL219" s="58" t="s">
        <v>1293</v>
      </c>
      <c r="BM219" s="58" t="s">
        <v>1293</v>
      </c>
      <c r="BN219" s="58" t="s">
        <v>1293</v>
      </c>
      <c r="BO219" s="58" t="s">
        <v>1293</v>
      </c>
      <c r="BP219" s="58" t="s">
        <v>1293</v>
      </c>
      <c r="BQ219" s="58" t="s">
        <v>1293</v>
      </c>
      <c r="BR219" s="58" t="s">
        <v>1293</v>
      </c>
      <c r="BS219" s="58" t="s">
        <v>1293</v>
      </c>
      <c r="BT219" s="58" t="s">
        <v>1293</v>
      </c>
      <c r="BU219" s="58" t="s">
        <v>1293</v>
      </c>
      <c r="BV219" s="77">
        <f t="shared" si="1089"/>
        <v>224</v>
      </c>
      <c r="BW219" s="73">
        <f t="shared" si="1090"/>
        <v>256</v>
      </c>
      <c r="BX219" s="74">
        <f t="shared" si="1091"/>
        <v>261</v>
      </c>
      <c r="BY219" s="73" t="str">
        <f t="shared" si="1092"/>
        <v>-</v>
      </c>
      <c r="BZ219" s="74">
        <f t="shared" si="1093"/>
        <v>312</v>
      </c>
      <c r="CA219" s="73" t="str">
        <f t="shared" si="1094"/>
        <v>-</v>
      </c>
      <c r="CB219" s="74">
        <f t="shared" si="1095"/>
        <v>353</v>
      </c>
      <c r="CC219" s="73">
        <f t="shared" si="1096"/>
        <v>390</v>
      </c>
      <c r="CD219" s="74">
        <f t="shared" si="1097"/>
        <v>397</v>
      </c>
      <c r="CE219" s="73">
        <f t="shared" si="1098"/>
        <v>447</v>
      </c>
      <c r="CF219" s="74">
        <f t="shared" si="1099"/>
        <v>515</v>
      </c>
      <c r="CG219" s="73">
        <f t="shared" si="1100"/>
        <v>538</v>
      </c>
      <c r="CH219" s="77">
        <f t="shared" si="1101"/>
        <v>255</v>
      </c>
      <c r="CI219" s="73">
        <f t="shared" si="1102"/>
        <v>260</v>
      </c>
      <c r="CJ219" s="74">
        <f t="shared" si="1103"/>
        <v>285</v>
      </c>
      <c r="CK219" s="74" t="str">
        <f t="shared" si="1104"/>
        <v>-</v>
      </c>
      <c r="CL219" s="74">
        <f t="shared" si="1105"/>
        <v>346</v>
      </c>
      <c r="CM219" s="74" t="str">
        <f t="shared" si="1106"/>
        <v>-</v>
      </c>
      <c r="CN219" s="74">
        <f t="shared" si="1107"/>
        <v>378</v>
      </c>
      <c r="CO219" s="74">
        <f t="shared" si="1108"/>
        <v>392</v>
      </c>
      <c r="CP219" s="74">
        <f t="shared" si="1109"/>
        <v>428</v>
      </c>
      <c r="CQ219" s="74">
        <f t="shared" si="1110"/>
        <v>496</v>
      </c>
      <c r="CR219" s="74">
        <f t="shared" si="1111"/>
        <v>537</v>
      </c>
      <c r="CS219" s="74">
        <f t="shared" si="1112"/>
        <v>553</v>
      </c>
      <c r="CT219" s="23">
        <f t="shared" si="1113"/>
        <v>1</v>
      </c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1"/>
    </row>
    <row r="220" spans="1:1030" s="6" customFormat="1" x14ac:dyDescent="0.2">
      <c r="A220" s="3" t="str">
        <f t="shared" si="1114"/>
        <v>smo_human_5L7I</v>
      </c>
      <c r="B220" s="3" t="s">
        <v>33</v>
      </c>
      <c r="C220" s="3" t="s">
        <v>1359</v>
      </c>
      <c r="D220" s="3" t="str">
        <f>IFERROR(MID(VLOOKUP($B220,Seqs!$A:$B,2,0),E220,1),"")</f>
        <v>E</v>
      </c>
      <c r="E220" s="3">
        <v>224</v>
      </c>
      <c r="F220" s="3" t="str">
        <f>IFERROR(MID(VLOOKUP($B220,Seqs!$A:$B,2,0),G220,1),"")</f>
        <v>D</v>
      </c>
      <c r="G220" s="3">
        <v>255</v>
      </c>
      <c r="H220" s="3" t="str">
        <f>IFERROR(MID(VLOOKUP($B220,Seqs!$A:$B,2,0),I220,1),"")</f>
        <v>W</v>
      </c>
      <c r="I220" s="23">
        <v>256</v>
      </c>
      <c r="J220" s="3" t="str">
        <f>IFERROR(MID(VLOOKUP($B220,Seqs!$A:$B,2,0),K220,1),"")</f>
        <v>N</v>
      </c>
      <c r="K220" s="23">
        <v>260</v>
      </c>
      <c r="L220" s="3" t="str">
        <f>IFERROR(MID(VLOOKUP($B220,Seqs!$A:$B,2,0),M220,1),"")</f>
        <v>R</v>
      </c>
      <c r="M220" s="3">
        <v>261</v>
      </c>
      <c r="N220" s="3" t="str">
        <f>IFERROR(MID(VLOOKUP($B220,Seqs!$A:$B,2,0),O220,1),"")</f>
        <v>F</v>
      </c>
      <c r="O220" s="3">
        <v>285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L</v>
      </c>
      <c r="U220" s="3">
        <v>312</v>
      </c>
      <c r="V220" s="3" t="str">
        <f>IFERROR(MID(VLOOKUP($B220,Seqs!$A:$B,2,0),W220,1),"")</f>
        <v>L</v>
      </c>
      <c r="W220" s="3">
        <v>346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S</v>
      </c>
      <c r="AC220" s="9">
        <v>354</v>
      </c>
      <c r="AD220" s="3" t="str">
        <f>IFERROR(MID(VLOOKUP($B220,Seqs!$A:$B,2,0),AE220,1),"")</f>
        <v>V</v>
      </c>
      <c r="AE220" s="3">
        <v>378</v>
      </c>
      <c r="AF220" s="3" t="str">
        <f>IFERROR(MID(VLOOKUP($B220,Seqs!$A:$B,2,0),AG220,1),"")</f>
        <v>C</v>
      </c>
      <c r="AG220" s="3">
        <v>390</v>
      </c>
      <c r="AH220" s="3" t="str">
        <f>IFERROR(MID(VLOOKUP($B220,Seqs!$A:$B,2,0),AI220,1),"")</f>
        <v>V</v>
      </c>
      <c r="AI220" s="3">
        <v>392</v>
      </c>
      <c r="AJ220" s="3" t="str">
        <f>IFERROR(MID(VLOOKUP($B220,Seqs!$A:$B,2,0),AK220,1),"")</f>
        <v>Y</v>
      </c>
      <c r="AK220" s="3">
        <v>397</v>
      </c>
      <c r="AL220" s="3" t="str">
        <f>IFERROR(MID(VLOOKUP($B220,Seqs!$A:$B,2,0),AM220,1),"")</f>
        <v>S</v>
      </c>
      <c r="AM220" s="3">
        <v>428</v>
      </c>
      <c r="AN220" s="3" t="str">
        <f>IFERROR(MID(VLOOKUP($B220,Seqs!$A:$B,2,0),AO220,1),"")</f>
        <v>E</v>
      </c>
      <c r="AO220" s="3">
        <v>447</v>
      </c>
      <c r="AP220" s="3" t="str">
        <f>IFERROR(MID(VLOOKUP($B220,Seqs!$A:$B,2,0),AQ220,1),"")</f>
        <v>N</v>
      </c>
      <c r="AQ220" s="3">
        <v>493</v>
      </c>
      <c r="AR220" s="3" t="str">
        <f>IFERROR(MID(VLOOKUP($B220,Seqs!$A:$B,2,0),AS220,1),"")</f>
        <v>L</v>
      </c>
      <c r="AS220" s="3">
        <v>515</v>
      </c>
      <c r="AT220" s="3" t="str">
        <f>IFERROR(MID(VLOOKUP($B220,Seqs!$A:$B,2,0),AU220,1),"")</f>
        <v>W</v>
      </c>
      <c r="AU220" s="3">
        <v>537</v>
      </c>
      <c r="AV220" s="3" t="str">
        <f>IFERROR(MID(VLOOKUP($B220,Seqs!$A:$B,2,0),AW220,1),"")</f>
        <v>T</v>
      </c>
      <c r="AW220" s="3">
        <v>538</v>
      </c>
      <c r="AX220" s="3" t="str">
        <f>IFERROR(MID(VLOOKUP($B220,Seqs!$A:$B,2,0),AY220,1),"")</f>
        <v>R</v>
      </c>
      <c r="AY220" s="3">
        <v>551</v>
      </c>
      <c r="AZ220" s="80" t="str">
        <f>VLOOKUP(B220,Classification!A:D,2,0)</f>
        <v>F</v>
      </c>
      <c r="BA220" s="97" t="str">
        <f>VLOOKUP(B220,Classification!A:D,4,0)</f>
        <v>Frizzled</v>
      </c>
      <c r="BB220" s="94" t="b">
        <f t="shared" si="1115"/>
        <v>1</v>
      </c>
      <c r="BC220" s="23">
        <f t="shared" si="1088"/>
        <v>243</v>
      </c>
      <c r="BD220" s="76" t="s">
        <v>23</v>
      </c>
      <c r="BE220" s="3" t="s">
        <v>1381</v>
      </c>
      <c r="BF220" s="124">
        <v>3.3</v>
      </c>
      <c r="BG220" s="50" t="s">
        <v>1287</v>
      </c>
      <c r="BH220" s="50" t="s">
        <v>1384</v>
      </c>
      <c r="BI220" s="3" t="s">
        <v>1368</v>
      </c>
      <c r="BJ220" s="77" t="s">
        <v>1293</v>
      </c>
      <c r="BK220" s="58" t="s">
        <v>1293</v>
      </c>
      <c r="BL220" s="58" t="s">
        <v>1293</v>
      </c>
      <c r="BM220" s="58" t="s">
        <v>1293</v>
      </c>
      <c r="BN220" s="58" t="s">
        <v>1293</v>
      </c>
      <c r="BO220" s="58" t="s">
        <v>1293</v>
      </c>
      <c r="BP220" s="58" t="s">
        <v>1293</v>
      </c>
      <c r="BQ220" s="58" t="s">
        <v>1293</v>
      </c>
      <c r="BR220" s="58" t="s">
        <v>1293</v>
      </c>
      <c r="BS220" s="58" t="s">
        <v>1293</v>
      </c>
      <c r="BT220" s="58" t="s">
        <v>1293</v>
      </c>
      <c r="BU220" s="58" t="s">
        <v>1293</v>
      </c>
      <c r="BV220" s="77">
        <f t="shared" si="1089"/>
        <v>224</v>
      </c>
      <c r="BW220" s="73">
        <f t="shared" si="1090"/>
        <v>256</v>
      </c>
      <c r="BX220" s="74">
        <f t="shared" si="1091"/>
        <v>261</v>
      </c>
      <c r="BY220" s="73" t="str">
        <f t="shared" si="1092"/>
        <v>-</v>
      </c>
      <c r="BZ220" s="74">
        <f t="shared" si="1093"/>
        <v>312</v>
      </c>
      <c r="CA220" s="73" t="str">
        <f t="shared" si="1094"/>
        <v>-</v>
      </c>
      <c r="CB220" s="74">
        <f t="shared" si="1095"/>
        <v>354</v>
      </c>
      <c r="CC220" s="73">
        <f t="shared" si="1096"/>
        <v>390</v>
      </c>
      <c r="CD220" s="74">
        <f t="shared" si="1097"/>
        <v>397</v>
      </c>
      <c r="CE220" s="73">
        <f t="shared" si="1098"/>
        <v>447</v>
      </c>
      <c r="CF220" s="74">
        <f t="shared" si="1099"/>
        <v>515</v>
      </c>
      <c r="CG220" s="73">
        <f t="shared" si="1100"/>
        <v>538</v>
      </c>
      <c r="CH220" s="77">
        <f t="shared" si="1101"/>
        <v>255</v>
      </c>
      <c r="CI220" s="73">
        <f t="shared" si="1102"/>
        <v>260</v>
      </c>
      <c r="CJ220" s="74">
        <f t="shared" si="1103"/>
        <v>285</v>
      </c>
      <c r="CK220" s="74" t="str">
        <f t="shared" si="1104"/>
        <v>-</v>
      </c>
      <c r="CL220" s="74">
        <f t="shared" si="1105"/>
        <v>346</v>
      </c>
      <c r="CM220" s="74" t="str">
        <f t="shared" si="1106"/>
        <v>-</v>
      </c>
      <c r="CN220" s="74">
        <f t="shared" si="1107"/>
        <v>378</v>
      </c>
      <c r="CO220" s="74">
        <f t="shared" si="1108"/>
        <v>392</v>
      </c>
      <c r="CP220" s="74">
        <f t="shared" si="1109"/>
        <v>428</v>
      </c>
      <c r="CQ220" s="74">
        <f t="shared" si="1110"/>
        <v>493</v>
      </c>
      <c r="CR220" s="74">
        <f t="shared" si="1111"/>
        <v>537</v>
      </c>
      <c r="CS220" s="74">
        <f t="shared" si="1112"/>
        <v>551</v>
      </c>
      <c r="CT220" s="23">
        <f t="shared" si="1113"/>
        <v>1</v>
      </c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  <c r="AMK220" s="3"/>
      <c r="AML220" s="3"/>
      <c r="AMM220" s="3"/>
      <c r="AMN220" s="3"/>
      <c r="AMO220" s="3"/>
      <c r="AMP220" s="1"/>
    </row>
    <row r="221" spans="1:1030" x14ac:dyDescent="0.2">
      <c r="C221" s="2"/>
    </row>
    <row r="222" spans="1:1030" x14ac:dyDescent="0.2">
      <c r="C222" s="2"/>
    </row>
    <row r="223" spans="1:1030" x14ac:dyDescent="0.2">
      <c r="C223" s="2"/>
      <c r="E223" s="3">
        <f>COUNTIF(C2:C220,"&lt;&gt;_wt")</f>
        <v>171</v>
      </c>
    </row>
    <row r="224" spans="1:1030" x14ac:dyDescent="0.2">
      <c r="C224" s="2"/>
    </row>
    <row r="299" spans="52:86" x14ac:dyDescent="0.2">
      <c r="AZ299" s="79"/>
      <c r="BA299" s="28"/>
      <c r="BB299" s="16"/>
      <c r="BD299" s="2"/>
      <c r="BJ299" s="72"/>
      <c r="BV299" s="72"/>
      <c r="CH29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83 BB41 BB16:BB20 BB23:BB27">
    <cfRule type="cellIs" dxfId="51" priority="10" operator="equal">
      <formula>0</formula>
    </cfRule>
  </conditionalFormatting>
  <conditionalFormatting sqref="BB174:BB175">
    <cfRule type="cellIs" dxfId="50" priority="11" operator="equal">
      <formula>0</formula>
    </cfRule>
  </conditionalFormatting>
  <conditionalFormatting sqref="BB7">
    <cfRule type="cellIs" dxfId="49" priority="12" operator="equal">
      <formula>0</formula>
    </cfRule>
  </conditionalFormatting>
  <conditionalFormatting sqref="BB183">
    <cfRule type="cellIs" dxfId="48" priority="13" operator="equal">
      <formula>0</formula>
    </cfRule>
  </conditionalFormatting>
  <conditionalFormatting sqref="E183 AW183 AU183 AS183 AQ183 AO183 AM183 AK183 AI183 AG183 AE183 AC183 AA183 Y183 W183 U183 S183 Q183 O183 M183 K183 I183 G183">
    <cfRule type="cellIs" dxfId="47" priority="14" operator="equal">
      <formula>"G"</formula>
    </cfRule>
    <cfRule type="cellIs" dxfId="46" priority="15" operator="equal">
      <formula>"P"</formula>
    </cfRule>
  </conditionalFormatting>
  <conditionalFormatting sqref="BB15">
    <cfRule type="cellIs" dxfId="45" priority="16" operator="equal">
      <formula>0</formula>
    </cfRule>
  </conditionalFormatting>
  <conditionalFormatting sqref="BB6">
    <cfRule type="cellIs" dxfId="44" priority="20" operator="equal">
      <formula>0</formula>
    </cfRule>
  </conditionalFormatting>
  <conditionalFormatting sqref="E6 AW6 AU6 AS6 AQ6 AO6 AM6 AK6 AI6 AG6 AE6 AC6 AA6 Y6 W6 U6 S6 Q6 O6 M6 K6 I6 G6">
    <cfRule type="cellIs" dxfId="43" priority="22" operator="equal">
      <formula>"G"</formula>
    </cfRule>
    <cfRule type="cellIs" dxfId="42" priority="23" operator="equal">
      <formula>"P"</formula>
    </cfRule>
  </conditionalFormatting>
  <conditionalFormatting sqref="BB1:BB20 BB23:BB1048576">
    <cfRule type="cellIs" dxfId="41" priority="8" operator="equal">
      <formula>FALSE</formula>
    </cfRule>
  </conditionalFormatting>
  <conditionalFormatting sqref="BG23:BG34 BG14:BG20 BH14:BH34 BG1:BH13 BG35:BH1048576">
    <cfRule type="cellIs" dxfId="40" priority="7" operator="equal">
      <formula>"?"</formula>
    </cfRule>
  </conditionalFormatting>
  <conditionalFormatting sqref="BB21:BB22">
    <cfRule type="cellIs" dxfId="39" priority="6" operator="equal">
      <formula>FALSE</formula>
    </cfRule>
  </conditionalFormatting>
  <conditionalFormatting sqref="BG21:BG22">
    <cfRule type="cellIs" dxfId="38" priority="5" operator="equal">
      <formula>"?"</formula>
    </cfRule>
  </conditionalFormatting>
  <conditionalFormatting sqref="BE2:BE1048576">
    <cfRule type="notContainsText" dxfId="37" priority="2" operator="notContains" text="In">
      <formula>ISERROR(SEARCH("In",BE2))</formula>
    </cfRule>
    <cfRule type="containsText" dxfId="36" priority="3" operator="containsText" text="Inter">
      <formula>NOT(ISERROR(SEARCH("Inter",BE2)))</formula>
    </cfRule>
    <cfRule type="containsText" dxfId="35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BE2:BE299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27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28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28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64</v>
      </c>
      <c r="Y47" s="2">
        <f>IFERROR(50+VLOOKUP($A47,'SegEnds_Xtal_Prot#'!$A:$AY,49,FALSE)-VLOOKUP($B47,'SegEnds_NonXtal_Prot#'!$A:$AL,37,FALSE),"-")</f>
        <v>46</v>
      </c>
      <c r="Z47" s="2">
        <f>IFERROR(50+VLOOKUP($A47,'SegEnds_Xtal_Prot#'!$A:$AY,51,FALSE)-VLOOKUP($B47,'SegEnds_NonXtal_Prot#'!$A:$AL,37,FALSE),"-")</f>
        <v>57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64</v>
      </c>
      <c r="Y48" s="2">
        <f>IFERROR(50+VLOOKUP($A48,'SegEnds_Xtal_Prot#'!$A:$AY,49,FALSE)-VLOOKUP($B48,'SegEnds_NonXtal_Prot#'!$A:$AL,37,FALSE),"-")</f>
        <v>46</v>
      </c>
      <c r="Z48" s="2">
        <f>IFERROR(50+VLOOKUP($A48,'SegEnds_Xtal_Prot#'!$A:$AY,51,FALSE)-VLOOKUP($B48,'SegEnds_NonXtal_Prot#'!$A:$AL,37,FALSE),"-")</f>
        <v>57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28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8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57</v>
      </c>
      <c r="BI60" s="4">
        <f t="shared" si="6"/>
        <v>34</v>
      </c>
      <c r="BJ60" s="4">
        <f t="shared" si="6"/>
        <v>64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46</v>
      </c>
      <c r="BL61" s="4">
        <f t="shared" si="7"/>
        <v>57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4</v>
      </c>
      <c r="BI62" s="4">
        <f t="shared" si="8"/>
        <v>7</v>
      </c>
      <c r="BJ62" s="4">
        <f t="shared" si="8"/>
        <v>8</v>
      </c>
      <c r="BK62" s="4">
        <f t="shared" si="8"/>
        <v>1</v>
      </c>
      <c r="BL62" s="4">
        <f t="shared" si="8"/>
        <v>15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64</v>
      </c>
      <c r="BK63" s="4">
        <f t="shared" si="9"/>
        <v>46</v>
      </c>
      <c r="BL63" s="4">
        <f t="shared" si="9"/>
        <v>57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64</v>
      </c>
      <c r="BK64" s="4">
        <f t="shared" si="10"/>
        <v>46</v>
      </c>
      <c r="BL64" s="4">
        <f t="shared" si="10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20</v>
      </c>
      <c r="BF66" s="4">
        <f t="shared" si="12"/>
        <v>23</v>
      </c>
      <c r="BG66" s="4">
        <f t="shared" si="12"/>
        <v>22</v>
      </c>
      <c r="BH66" s="4">
        <f t="shared" si="12"/>
        <v>21</v>
      </c>
      <c r="BI66" s="4">
        <f t="shared" si="12"/>
        <v>18</v>
      </c>
      <c r="BJ66" s="4">
        <f t="shared" si="12"/>
        <v>9</v>
      </c>
      <c r="BK66" s="4">
        <f t="shared" si="12"/>
        <v>1</v>
      </c>
      <c r="BL66" s="4">
        <f t="shared" si="12"/>
        <v>38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257" activePane="bottomLeft" state="frozenSplit"/>
      <selection pane="bottomLeft" activeCell="S274" sqref="S274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28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1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1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1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11">
        <f>VLOOKUP($B47&amp;"__wt",'SegEnds_Xtal_BW#'!$A:$Z,14,FALSE)</f>
        <v>56</v>
      </c>
      <c r="O47" s="111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1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1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1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1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drd3_human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v>60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NoXtal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5ht2b_human</v>
      </c>
      <c r="C69" s="5">
        <f>VLOOKUP($B69&amp;"__wt",'SegEnds_Xtal_BW#'!$A:$Z,3,FALSE)</f>
        <v>32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1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58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1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1">
        <v>56</v>
      </c>
      <c r="O85" s="111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1">
        <v>56</v>
      </c>
      <c r="O86" s="111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1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1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1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1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11"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11"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1">
        <v>50</v>
      </c>
      <c r="R98" s="111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1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11"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1">
        <v>50</v>
      </c>
      <c r="R114" s="111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1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95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1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1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1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11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9">
        <v>50</v>
      </c>
      <c r="R128" s="119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1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oprm_mouse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hrh1_human</v>
      </c>
      <c r="C136" s="5">
        <f>VLOOKUP($B136&amp;"__wt",'SegEnds_Xtal_BW#'!$A:$Z,3,FALSE)</f>
        <v>34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1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ox2r_human</v>
      </c>
      <c r="C150" s="5">
        <f>VLOOKUP($B150&amp;"__wt",'SegEnds_Xtal_BW#'!$A:$Z,3,FALSE)</f>
        <v>31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1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1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1">
        <v>33</v>
      </c>
      <c r="T161" s="1">
        <f t="array" ref="T161">INDEX('ICL3'!$G$2:$G$40,MATCH(MIN(ABS(AH161-'ICL3'!$F$2:$F$40)),ABS(AH161-'ICL3'!$F$2:$F$40),0))</f>
        <v>68</v>
      </c>
      <c r="U161" s="111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1">
        <v>33</v>
      </c>
      <c r="T162" s="1">
        <f t="array" ref="T162">INDEX('ICL3'!$G$2:$G$40,MATCH(MIN(ABS(AH162-'ICL3'!$F$2:$F$40)),ABS(AH162-'ICL3'!$F$2:$F$40),0))</f>
        <v>67</v>
      </c>
      <c r="U162" s="111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1">
        <v>33</v>
      </c>
      <c r="T163" s="1">
        <f t="array" ref="T163">INDEX('ICL3'!$G$2:$G$40,MATCH(MIN(ABS(AH163-'ICL3'!$F$2:$F$40)),ABS(AH163-'ICL3'!$F$2:$F$40),0))</f>
        <v>67</v>
      </c>
      <c r="U163" s="111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1">
        <v>33</v>
      </c>
      <c r="T164" s="1">
        <f t="array" ref="T164">INDEX('ICL3'!$G$2:$G$40,MATCH(MIN(ABS(AH164-'ICL3'!$F$2:$F$40)),ABS(AH164-'ICL3'!$F$2:$F$40),0))</f>
        <v>67</v>
      </c>
      <c r="U164" s="111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1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1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1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63</v>
      </c>
      <c r="I185" s="1">
        <f>VLOOKUP($B185&amp;"__wt",'SegEnds_Xtal_BW#'!$A:$Z,9,FALSE)</f>
        <v>47</v>
      </c>
      <c r="J185" s="1">
        <f>VLOOKUP($B185&amp;"__wt",'SegEnds_Xtal_BW#'!$A:$Z,10,FALSE)</f>
        <v>53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1">
        <v>56</v>
      </c>
      <c r="O185" s="89">
        <f>VLOOKUP($B185&amp;"__wt",'SegEnds_Xtal_BW#'!$A:$Z,15,FALSE)</f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">
        <f>VLOOKUP($B185&amp;"__wt",'SegEnds_Xtal_BW#'!$A:$Z,19,FALSE)</f>
        <v>36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agtr1_human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agtr1_human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11">
        <v>48</v>
      </c>
      <c r="F196" s="111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ntr1_rat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1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cxcr4_human</v>
      </c>
      <c r="C220" s="5">
        <f>VLOOKUP($B220&amp;"__wt",'SegEnds_Xtal_BW#'!$A:$Z,3,FALSE)</f>
        <v>24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ccr5_human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1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1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1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1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1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1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400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30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18</v>
      </c>
      <c r="AD261" s="1">
        <f>VLOOKUP(A261,'SegEnds_NonXtal_Prot#'!A:AL,16,FALSE)-VLOOKUP(A261,'SegEnds_NonXtal_Prot#'!A:AL,10,FALSE)</f>
        <v>50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43</v>
      </c>
      <c r="AH261" s="1">
        <f>VLOOKUP(A261,'SegEnds_NonXtal_Prot#'!A:AL,31,FALSE)-VLOOKUP(A261,'SegEnds_NonXtal_Prot#'!A:AL,28,FALSE)</f>
        <v>43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2" t="s">
        <v>175</v>
      </c>
      <c r="B265" s="12" t="str">
        <f>VLOOKUP(A265,Xtal_Templ!A:B,2,FALSE)</f>
        <v>ccr9_human</v>
      </c>
      <c r="C265" s="13">
        <f>VLOOKUP($B265&amp;"__wt",'SegEnds_Xtal_BW#'!$A:$Z,3,FALSE)</f>
        <v>27</v>
      </c>
      <c r="D265" s="12">
        <f>VLOOKUP($B265&amp;"__wt",'SegEnds_Xtal_BW#'!$A:$Z,4,FALSE)</f>
        <v>60</v>
      </c>
      <c r="E265" s="12">
        <f>VLOOKUP($B265&amp;"__wt",'SegEnds_Xtal_BW#'!$A:$Z,5,FALSE)</f>
        <v>48</v>
      </c>
      <c r="F265" s="12">
        <f>VLOOKUP($B265&amp;"__wt",'SegEnds_Xtal_BW#'!$A:$Z,6,FALSE)</f>
        <v>51</v>
      </c>
      <c r="G265" s="12">
        <v>37</v>
      </c>
      <c r="H265" s="12">
        <v>66</v>
      </c>
      <c r="I265" s="12">
        <f>VLOOKUP($B265&amp;"__wt",'SegEnds_Xtal_BW#'!$A:$Z,9,FALSE)</f>
        <v>49</v>
      </c>
      <c r="J265" s="12">
        <f>VLOOKUP($B265&amp;"__wt",'SegEnds_Xtal_BW#'!$A:$Z,10,FALSE)</f>
        <v>52</v>
      </c>
      <c r="K265" s="12">
        <v>24</v>
      </c>
      <c r="L265" s="12">
        <f>VLOOKUP($B265&amp;"__wt",'SegEnds_Xtal_BW#'!$A:$Z,12,FALSE)</f>
        <v>56</v>
      </c>
      <c r="M265" s="12">
        <f>VLOOKUP($B265&amp;"__wt",'SegEnds_Xtal_BW#'!$A:$Z,13,FALSE)</f>
        <v>50</v>
      </c>
      <c r="N265" s="12">
        <v>58</v>
      </c>
      <c r="O265" s="89">
        <v>38</v>
      </c>
      <c r="P265" s="12">
        <f>VLOOKUP($B265&amp;"__wt",'SegEnds_Xtal_BW#'!$A:$Z,16,FALSE)</f>
        <v>64</v>
      </c>
      <c r="Q265" s="12">
        <f>VLOOKUP($B265&amp;"__wt",'SegEnds_Xtal_BW#'!$A:$Z,17,FALSE)</f>
        <v>50</v>
      </c>
      <c r="R265" s="12">
        <f>VLOOKUP($B265&amp;"__wt",'SegEnds_Xtal_BW#'!$A:$Z,18,FALSE)</f>
        <v>52</v>
      </c>
      <c r="S265" s="12">
        <f>VLOOKUP($B265&amp;"__wt",'SegEnds_Xtal_BW#'!$A:$Z,19,FALSE)</f>
        <v>33</v>
      </c>
      <c r="T265" s="12">
        <f t="array" ref="T265">INDEX('ICL3'!$G$2:$G$40,MATCH(MIN(ABS(AH265-'ICL3'!$F$2:$F$40)),ABS(AH265-'ICL3'!$F$2:$F$40),0))</f>
        <v>68</v>
      </c>
      <c r="U265" s="12">
        <f t="array" ref="U265">INDEX('ICL3'!$H$2:$H$40,MATCH(MIN(ABS(AH265-'ICL3'!$F$2:$F$40)),ABS(AH265-'ICL3'!$F$2:$F$40),0))</f>
        <v>30</v>
      </c>
      <c r="V265" s="12">
        <v>65</v>
      </c>
      <c r="W265" s="12">
        <v>24</v>
      </c>
      <c r="X265" s="12">
        <f>VLOOKUP($B265&amp;"__wt",'SegEnds_Xtal_BW#'!$A:$Z,24,FALSE)</f>
        <v>56</v>
      </c>
      <c r="Y265" s="12">
        <f>VLOOKUP($B265&amp;"__wt",'SegEnds_Xtal_BW#'!$A:$Z,25,FALSE)</f>
        <v>47</v>
      </c>
      <c r="Z265" s="12">
        <f>VLOOKUP($B265&amp;"__wt",'SegEnds_Xtal_BW#'!$A:$Z,26,FALSE)</f>
        <v>67</v>
      </c>
      <c r="AA265" s="37" t="str">
        <f>VLOOKUP(A265,Classification!A:B,2,FALSE)</f>
        <v>A</v>
      </c>
      <c r="AB265" s="12">
        <f>VLOOKUP(A265,'SegEnds_NonXtal_Prot#'!A:AL,10,FALSE)-VLOOKUP(A265,'SegEnds_NonXtal_Prot#'!A:AL,7,FALSE)</f>
        <v>15</v>
      </c>
      <c r="AC265" s="12">
        <f>VLOOKUP(A265,'SegEnds_NonXtal_Prot#'!A:AL,13,FALSE)-VLOOKUP(A265,'SegEnds_NonXtal_Prot#'!A:AL,10,FALSE)</f>
        <v>18</v>
      </c>
      <c r="AD265" s="12">
        <f>VLOOKUP(A265,'SegEnds_NonXtal_Prot#'!A:AL,16,FALSE)-VLOOKUP(A265,'SegEnds_NonXtal_Prot#'!A:AL,10,FALSE)</f>
        <v>50</v>
      </c>
      <c r="AE265" s="1">
        <f>VLOOKUP(A265,'SegEnds_NonXtal_Prot#'!A:AL,22,FALSE)-VLOOKUP(A265,'SegEnds_NonXtal_Prot#'!A:AL,19,FALSE)</f>
        <v>22</v>
      </c>
      <c r="AF265" s="12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52</v>
      </c>
      <c r="AH265" s="12">
        <f>VLOOKUP(A265,'SegEnds_NonXtal_Prot#'!A:AL,31,FALSE)-VLOOKUP(A265,'SegEnds_NonXtal_Prot#'!A:AL,28,FALSE)</f>
        <v>43</v>
      </c>
      <c r="AI265" s="12">
        <f>VLOOKUP(A265,'SegEnds_NonXtal_Prot#'!A:AL,34,FALSE)-VLOOKUP(A265,'SegEnds_NonXtal_Prot#'!A:AL,31,FALSE)</f>
        <v>45</v>
      </c>
      <c r="AJ265" s="12" t="str">
        <f>IF(ISERROR(MATCH(A265,'SegEnds_Xtal_Prot#'!B:B, 0)), "NoXtal", "Xtal")</f>
        <v>NoXtal</v>
      </c>
    </row>
    <row r="266" spans="1:36" x14ac:dyDescent="0.2">
      <c r="A266" s="12" t="s">
        <v>177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f>VLOOKUP($B266&amp;"__wt",'SegEnds_Xtal_BW#'!$A:$Z,14,FALSE)</f>
        <v>56</v>
      </c>
      <c r="O266" s="89">
        <f>VLOOKUP($B266&amp;"__wt",'SegEnds_Xtal_BW#'!$A:$Z,15,FALSE)</f>
        <v>35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28</v>
      </c>
      <c r="AG266" s="1">
        <f>VLOOKUP(A266,'SegEnds_NonXtal_Prot#'!A:AL,28,FALSE)-VLOOKUP(A266,'SegEnds_NonXtal_Prot#'!A:AL,22,FALSE)</f>
        <v>53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Xtal</v>
      </c>
    </row>
    <row r="267" spans="1:36" x14ac:dyDescent="0.2">
      <c r="A267" s="1" t="s">
        <v>185</v>
      </c>
      <c r="B267" s="1" t="str">
        <f>VLOOKUP(A267,Xtal_Templ!A:B,2,FALSE)</f>
        <v>ccr2_human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11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31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19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53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186</v>
      </c>
      <c r="B268" s="1" t="str">
        <f>VLOOKUP(A268,Xtal_Templ!A:B,2,FALSE)</f>
        <v>ccr9_human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1">
        <v>56</v>
      </c>
      <c r="O268" s="111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67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187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24</v>
      </c>
      <c r="AG269" s="1">
        <f>VLOOKUP(A269,'SegEnds_NonXtal_Prot#'!A:AL,28,FALSE)-VLOOKUP(A269,'SegEnds_NonXtal_Prot#'!A:AL,22,FALSE)</f>
        <v>51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1172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9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25</v>
      </c>
      <c r="AG270" s="1">
        <f>VLOOKUP(A270,'SegEnds_NonXtal_Prot#'!A:AL,28,FALSE)-VLOOKUP(A270,'SegEnds_NonXtal_Prot#'!A:AL,22,FALSE)</f>
        <v>50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Xtal</v>
      </c>
    </row>
    <row r="271" spans="1:36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28</v>
      </c>
      <c r="AG271" s="1">
        <f>VLOOKUP(A271,'SegEnds_NonXtal_Prot#'!A:AL,28,FALSE)-VLOOKUP(A271,'SegEnds_NonXtal_Prot#'!A:AL,22,FALSE)</f>
        <v>56</v>
      </c>
      <c r="AH271" s="1">
        <f>VLOOKUP(A271,'SegEnds_NonXtal_Prot#'!A:AL,31,FALSE)-VLOOKUP(A271,'SegEnds_NonXtal_Prot#'!A:AL,28,FALSE)</f>
        <v>44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64</v>
      </c>
      <c r="W272" s="1">
        <v>24</v>
      </c>
      <c r="X272" s="6">
        <f>VLOOKUP($B272&amp;"__wt",'SegEnds_Xtal_BW#'!$A:$Z,24,FALSE)</f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16</v>
      </c>
      <c r="AC272" s="1">
        <f>VLOOKUP(A272,'SegEnds_NonXtal_Prot#'!A:AL,13,FALSE)-VLOOKUP(A272,'SegEnds_NonXtal_Prot#'!A:AL,10,FALSE)</f>
        <v>20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20</v>
      </c>
      <c r="AG272" s="1">
        <f>VLOOKUP(A272,'SegEnds_NonXtal_Prot#'!A:AL,28,FALSE)-VLOOKUP(A272,'SegEnds_NonXtal_Prot#'!A:AL,22,FALSE)</f>
        <v>72</v>
      </c>
      <c r="AH272" s="1">
        <f>VLOOKUP(A272,'SegEnds_NonXtal_Prot#'!A:AL,31,FALSE)-VLOOKUP(A272,'SegEnds_NonXtal_Prot#'!A:AL,28,FALSE)</f>
        <v>74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28</v>
      </c>
      <c r="T273" s="1">
        <f t="array" ref="T273">INDEX('ICL3'!$G$2:$G$40,MATCH(MIN(ABS(AH273-'ICL3'!$F$2:$F$40)),ABS(AH273-'ICL3'!$F$2:$F$40),0))</f>
        <v>72</v>
      </c>
      <c r="U273" s="1">
        <f t="array" ref="U273">INDEX('ICL3'!$H$2:$H$40,MATCH(MIN(ABS(AH273-'ICL3'!$F$2:$F$40)),ABS(AH273-'ICL3'!$F$2:$F$40),0))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57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57</v>
      </c>
      <c r="AH273" s="1">
        <f>VLOOKUP(A273,'SegEnds_NonXtal_Prot#'!A:AL,31,FALSE)-VLOOKUP(A273,'SegEnds_NonXtal_Prot#'!A:AL,28,FALSE)</f>
        <v>54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196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28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30</v>
      </c>
      <c r="AG274" s="1">
        <f>VLOOKUP(A274,'SegEnds_NonXtal_Prot#'!A:AL,28,FALSE)-VLOOKUP(A274,'SegEnds_NonXtal_Prot#'!A:AL,22,FALSE)</f>
        <v>59</v>
      </c>
      <c r="AH274" s="1">
        <f>VLOOKUP(A274,'SegEnds_NonXtal_Prot#'!A:AL,31,FALSE)-VLOOKUP(A274,'SegEnds_NonXtal_Prot#'!A:AL,28,FALSE)</f>
        <v>53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Xtal</v>
      </c>
    </row>
    <row r="275" spans="1:36" s="12" customFormat="1" x14ac:dyDescent="0.2">
      <c r="A275" s="1" t="s">
        <v>219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INDEX('ICL3'!$G$2:$G$40,MATCH(MIN(ABS(AH275-'ICL3'!$F$2:$F$40)),ABS(AH275-'ICL3'!$F$2:$F$40),0))</f>
        <v>68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17</v>
      </c>
      <c r="AD275" s="1">
        <f>VLOOKUP(A275,'SegEnds_NonXtal_Prot#'!A:AL,16,FALSE)-VLOOKUP(A275,'SegEnds_NonXtal_Prot#'!A:AL,10,FALSE)</f>
        <v>49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47</v>
      </c>
      <c r="AH275" s="1">
        <f>VLOOKUP(A275,'SegEnds_NonXtal_Prot#'!A:AL,31,FALSE)-VLOOKUP(A275,'SegEnds_NonXtal_Prot#'!A:AL,28,FALSE)</f>
        <v>49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NoXtal</v>
      </c>
    </row>
    <row r="276" spans="1:36" x14ac:dyDescent="0.2">
      <c r="A276" s="1" t="s">
        <v>246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67</v>
      </c>
      <c r="U276" s="1">
        <f t="array" ref="U276">INDEX('ICL3'!$H$2:$H$40,MATCH(MIN(ABS(AH276-'ICL3'!$F$2:$F$40)),ABS(AH276-'ICL3'!$F$2:$F$40),0))</f>
        <v>28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23</v>
      </c>
      <c r="AG276" s="1">
        <f>VLOOKUP(A276,'SegEnds_NonXtal_Prot#'!A:AL,28,FALSE)-VLOOKUP(A276,'SegEnds_NonXtal_Prot#'!A:AL,22,FALSE)</f>
        <v>50</v>
      </c>
      <c r="AH276" s="1">
        <f>VLOOKUP(A276,'SegEnds_NonXtal_Prot#'!A:AL,31,FALSE)-VLOOKUP(A276,'SegEnds_NonXtal_Prot#'!A:AL,28,FALSE)</f>
        <v>45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276</v>
      </c>
      <c r="B277" s="1" t="str">
        <f>VLOOKUP(A277,Xtal_Templ!A:B,2,FALSE)</f>
        <v>oprk_human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31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48</v>
      </c>
      <c r="AH277" s="1">
        <f>VLOOKUP(A277,'SegEnds_NonXtal_Prot#'!A:AL,31,FALSE)-VLOOKUP(A277,'SegEnds_NonXtal_Prot#'!A:AL,28,FALSE)</f>
        <v>46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277</v>
      </c>
      <c r="B278" s="1" t="str">
        <f>VLOOKUP(A278,Xtal_Templ!A:B,2,FALSE)</f>
        <v>p2ry1_human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289</v>
      </c>
      <c r="B279" s="1" t="str">
        <f>VLOOKUP(A279,Xtal_Templ!A:B,2,FALSE)</f>
        <v>par2_human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v>66</v>
      </c>
      <c r="I279" s="1">
        <f>VLOOKUP($B279&amp;"__wt",'SegEnds_Xtal_BW#'!$A:$Z,9,FALSE)</f>
        <v>47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19</v>
      </c>
      <c r="AD279" s="1">
        <f>VLOOKUP(A279,'SegEnds_NonXtal_Prot#'!A:AL,16,FALSE)-VLOOKUP(A279,'SegEnds_NonXtal_Prot#'!A:AL,10,FALSE)</f>
        <v>51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57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373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58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INDEX('ICL3'!$G$2:$G$40,MATCH(MIN(ABS(AH280-'ICL3'!$F$2:$F$40)),ABS(AH280-'ICL3'!$F$2:$F$40),0))</f>
        <v>74</v>
      </c>
      <c r="U280" s="1">
        <f t="array" ref="U280">INDEX('ICL3'!$H$2:$H$40,MATCH(MIN(ABS(AH280-'ICL3'!$F$2:$F$40)),ABS(AH280-'ICL3'!$F$2:$F$40),0))</f>
        <v>21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16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32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62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374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67</v>
      </c>
      <c r="U281" s="1">
        <f t="array" ref="U281">INDEX('ICL3'!$H$2:$H$40,MATCH(MIN(ABS(AH281-'ICL3'!$F$2:$F$40)),ABS(AH281-'ICL3'!$F$2:$F$40),0))</f>
        <v>28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25</v>
      </c>
      <c r="AG281" s="1">
        <f>VLOOKUP(A281,'SegEnds_NonXtal_Prot#'!A:AL,28,FALSE)-VLOOKUP(A281,'SegEnds_NonXtal_Prot#'!A:AL,22,FALSE)</f>
        <v>50</v>
      </c>
      <c r="AH281" s="1">
        <f>VLOOKUP(A281,'SegEnds_NonXtal_Prot#'!A:AL,31,FALSE)-VLOOKUP(A281,'SegEnds_NonXtal_Prot#'!A:AL,28,FALSE)</f>
        <v>45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24</v>
      </c>
      <c r="V282" s="1">
        <v>64</v>
      </c>
      <c r="W282" s="1">
        <v>24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 t="e">
        <f>VLOOKUP(A282,'SegEnds_NonXtal_Prot#'!A:AL,10,FALSE)-VLOOKUP(A282,'SegEnds_NonXtal_Prot#'!A:AL,7,FALSE)</f>
        <v>#VALUE!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473</v>
      </c>
      <c r="B283" s="1" t="str">
        <f>VLOOKUP(A283,Xtal_Templ!A:B,2,FALSE)</f>
        <v>cnr1_human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">
        <f>VLOOKUP($B283&amp;"__wt",'SegEnds_Xtal_BW#'!$A:$Z,19,FALSE)</f>
        <v>36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21</v>
      </c>
      <c r="AD283" s="1">
        <f>VLOOKUP(A283,'SegEnds_NonXtal_Prot#'!A:AL,16,FALSE)-VLOOKUP(A283,'SegEnds_NonXtal_Prot#'!A:AL,10,FALSE)</f>
        <v>56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35</v>
      </c>
      <c r="AG283" s="1">
        <f>VLOOKUP(A283,'SegEnds_NonXtal_Prot#'!A:AL,28,FALSE)-VLOOKUP(A283,'SegEnds_NonXtal_Prot#'!A:AL,22,FALSE)</f>
        <v>61</v>
      </c>
      <c r="AH283" s="1">
        <f>VLOOKUP(A283,'SegEnds_NonXtal_Prot#'!A:AL,31,FALSE)-VLOOKUP(A283,'SegEnds_NonXtal_Prot#'!A:AL,28,FALSE)</f>
        <v>42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924</v>
      </c>
      <c r="B284" s="1" t="str">
        <f>VLOOKUP(A284,Xtal_Templ!A:B,2,FALSE)</f>
        <v>us28_hcmva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24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2" t="str">
        <f>VLOOKUP($B284&amp;"__wt",'SegEnds_Xtal_BW#'!$A:$Z,14,FALSE)</f>
        <v>-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v>29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50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48</v>
      </c>
      <c r="AH284" s="1">
        <f>VLOOKUP(A284,'SegEnds_NonXtal_Prot#'!A:AL,31,FALSE)-VLOOKUP(A284,'SegEnds_NonXtal_Prot#'!A:AL,28,FALSE)</f>
        <v>43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Xtal</v>
      </c>
    </row>
    <row r="285" spans="1:36" x14ac:dyDescent="0.2">
      <c r="A285" s="1" t="s">
        <v>142</v>
      </c>
      <c r="B285" s="1" t="str">
        <f>VLOOKUP(A285,Xtal_Templ!A:B,2,FALSE)</f>
        <v>ccr9_human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24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56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INDEX('ICL3'!$G$2:$G$40,MATCH(MIN(ABS(AH285-'ICL3'!$F$2:$F$40)),ABS(AH285-'ICL3'!$F$2:$F$40),0))</f>
        <v>64</v>
      </c>
      <c r="U285" s="1">
        <f t="array" ref="U285">INDEX('ICL3'!$H$2:$H$40,MATCH(MIN(ABS(AH285-'ICL3'!$F$2:$F$40)),ABS(AH285-'ICL3'!$F$2:$F$40),0))</f>
        <v>34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67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48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23</v>
      </c>
      <c r="AG285" s="1">
        <f>VLOOKUP(A285,'SegEnds_NonXtal_Prot#'!A:AL,28,FALSE)-VLOOKUP(A285,'SegEnds_NonXtal_Prot#'!A:AL,22,FALSE)</f>
        <v>44</v>
      </c>
      <c r="AH285" s="1">
        <f>VLOOKUP(A285,'SegEnds_NonXtal_Prot#'!A:AL,31,FALSE)-VLOOKUP(A285,'SegEnds_NonXtal_Prot#'!A:AL,28,FALSE)</f>
        <v>37</v>
      </c>
      <c r="AI285" s="1">
        <f>VLOOKUP(A285,'SegEnds_NonXtal_Prot#'!A:AL,34,FALSE)-VLOOKUP(A285,'SegEnds_NonXtal_Prot#'!A:AL,31,FALSE)</f>
        <v>46</v>
      </c>
      <c r="AJ285" s="1" t="str">
        <f>IF(ISERROR(MATCH(A285,'SegEnds_Xtal_Prot#'!B:B, 0)), "NoXtal", "Xtal")</f>
        <v>NoXtal</v>
      </c>
    </row>
    <row r="286" spans="1:36" x14ac:dyDescent="0.2">
      <c r="A286" s="1" t="s">
        <v>234</v>
      </c>
      <c r="B286" s="1" t="str">
        <f>VLOOKUP(A286,Xtal_Templ!A:B,2,FALSE)</f>
        <v>oprk_human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INDEX('ICL3'!$G$2:$G$40,MATCH(MIN(ABS(AH286-'ICL3'!$F$2:$F$40)),ABS(AH286-'ICL3'!$F$2:$F$40),0))</f>
        <v>68</v>
      </c>
      <c r="U286" s="1">
        <f t="array" ref="U286">INDEX('ICL3'!$H$2:$H$40,MATCH(MIN(ABS(AH286-'ICL3'!$F$2:$F$40)),ABS(AH286-'ICL3'!$F$2:$F$40),0))</f>
        <v>23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52</v>
      </c>
      <c r="AH286" s="1">
        <f>VLOOKUP(A286,'SegEnds_NonXtal_Prot#'!A:AL,31,FALSE)-VLOOKUP(A286,'SegEnds_NonXtal_Prot#'!A:AL,28,FALSE)</f>
        <v>51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292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21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30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19</v>
      </c>
      <c r="AD287" s="1">
        <f>VLOOKUP(A287,'SegEnds_NonXtal_Prot#'!A:AL,16,FALSE)-VLOOKUP(A287,'SegEnds_NonXtal_Prot#'!A:AL,10,FALSE)</f>
        <v>51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51</v>
      </c>
      <c r="AH287" s="1">
        <f>VLOOKUP(A287,'SegEnds_NonXtal_Prot#'!A:AL,31,FALSE)-VLOOKUP(A287,'SegEnds_NonXtal_Prot#'!A:AL,28,FALSE)</f>
        <v>43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293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17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22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46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345</v>
      </c>
      <c r="B289" s="1" t="str">
        <f>VLOOKUP(A289,Xtal_Templ!A:B,2,FALSE)</f>
        <v>p2ry1_human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v>68</v>
      </c>
      <c r="U289" s="1"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Xtal</v>
      </c>
    </row>
    <row r="290" spans="1:36" x14ac:dyDescent="0.2">
      <c r="A290" s="1" t="s">
        <v>363</v>
      </c>
      <c r="B290" s="1" t="str">
        <f>VLOOKUP(A290,Xtal_Templ!A:B,2,FALSE)</f>
        <v>s1pr1_human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63</v>
      </c>
      <c r="I290" s="1">
        <v>49</v>
      </c>
      <c r="J290" s="1">
        <f>VLOOKUP($B290&amp;"__wt",'SegEnds_Xtal_BW#'!$A:$Z,10,FALSE)</f>
        <v>53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63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">
        <f>VLOOKUP($B290&amp;"__wt",'SegEnds_Xtal_BW#'!$A:$Z,19,FALSE)</f>
        <v>36</v>
      </c>
      <c r="T290" s="1">
        <f t="array" ref="T290">INDEX('ICL3'!$G$2:$G$40,MATCH(MIN(ABS(AH290-'ICL3'!$F$2:$F$40)),ABS(AH290-'ICL3'!$F$2:$F$40),0))</f>
        <v>72</v>
      </c>
      <c r="U290" s="1">
        <f t="array" ref="U290">INDEX('ICL3'!$H$2:$H$40,MATCH(MIN(ABS(AH290-'ICL3'!$F$2:$F$40)),ABS(AH290-'ICL3'!$F$2:$F$40),0))</f>
        <v>24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21</v>
      </c>
      <c r="AD290" s="1">
        <f>VLOOKUP(A290,'SegEnds_NonXtal_Prot#'!A:AL,16,FALSE)-VLOOKUP(A290,'SegEnds_NonXtal_Prot#'!A:AL,10,FALSE)</f>
        <v>56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35</v>
      </c>
      <c r="AG290" s="1">
        <f>VLOOKUP(A290,'SegEnds_NonXtal_Prot#'!A:AL,28,FALSE)-VLOOKUP(A290,'SegEnds_NonXtal_Prot#'!A:AL,22,FALSE)</f>
        <v>61</v>
      </c>
      <c r="AH290" s="1">
        <f>VLOOKUP(A290,'SegEnds_NonXtal_Prot#'!A:AL,31,FALSE)-VLOOKUP(A290,'SegEnds_NonXtal_Prot#'!A:AL,28,FALSE)</f>
        <v>54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370</v>
      </c>
      <c r="B291" s="1" t="str">
        <f>VLOOKUP(A291,Xtal_Templ!A:B,2,FALSE)</f>
        <v>p2ry1_human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236</v>
      </c>
      <c r="B292" s="1" t="str">
        <f>VLOOKUP(A292,Xtal_Templ!A:B,2,FALSE)</f>
        <v>ccr5_human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34</v>
      </c>
      <c r="T292" s="1">
        <f t="array" ref="T292">INDEX('ICL3'!$G$2:$G$40,MATCH(MIN(ABS(AH292-'ICL3'!$F$2:$F$40)),ABS(AH292-'ICL3'!$F$2:$F$40),0))</f>
        <v>68</v>
      </c>
      <c r="U292" s="1">
        <f t="array" ref="U292">INDEX('ICL3'!$H$2:$H$40,MATCH(MIN(ABS(AH292-'ICL3'!$F$2:$F$40)),ABS(AH292-'ICL3'!$F$2:$F$40),0))</f>
        <v>24</v>
      </c>
      <c r="V292" s="1">
        <v>64</v>
      </c>
      <c r="W292" s="1">
        <v>24</v>
      </c>
      <c r="X292" s="6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19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21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48</v>
      </c>
      <c r="AI292" s="1">
        <f>VLOOKUP(A292,'SegEnds_NonXtal_Prot#'!A:AL,34,FALSE)-VLOOKUP(A292,'SegEnds_NonXtal_Prot#'!A:AL,31,FALSE)</f>
        <v>47</v>
      </c>
      <c r="AJ292" s="1" t="str">
        <f>IF(ISERROR(MATCH(A292,'SegEnds_Xtal_Prot#'!B:B, 0)), "NoXtal", "Xtal")</f>
        <v>NoXtal</v>
      </c>
    </row>
    <row r="293" spans="1:36" x14ac:dyDescent="0.2">
      <c r="A293" s="1" t="s">
        <v>214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67</v>
      </c>
      <c r="U293" s="1">
        <f t="array" ref="U293">INDEX('ICL3'!$H$2:$H$40,MATCH(MIN(ABS(AH293-'ICL3'!$F$2:$F$40)),ABS(AH293-'ICL3'!$F$2:$F$40),0))</f>
        <v>26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48</v>
      </c>
      <c r="AJ293" s="1" t="str">
        <f>IF(ISERROR(MATCH(A293,'SegEnds_Xtal_Prot#'!B:B, 0)), "NoXtal", "Xtal")</f>
        <v>NoXtal</v>
      </c>
    </row>
    <row r="294" spans="1:36" x14ac:dyDescent="0.2">
      <c r="A294" s="1" t="s">
        <v>351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26</v>
      </c>
      <c r="AG294" s="1">
        <f>VLOOKUP(A294,'SegEnds_NonXtal_Prot#'!A:AL,28,FALSE)-VLOOKUP(A294,'SegEnds_NonXtal_Prot#'!A:AL,22,FALSE)</f>
        <v>63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55</v>
      </c>
      <c r="AJ294" s="1" t="str">
        <f>IF(ISERROR(MATCH(A294,'SegEnds_Xtal_Prot#'!B:B, 0)), "NoXtal", "Xtal")</f>
        <v>NoXtal</v>
      </c>
    </row>
    <row r="295" spans="1:36" x14ac:dyDescent="0.2">
      <c r="A295" s="1" t="s">
        <v>329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53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73</v>
      </c>
      <c r="U295" s="1">
        <f t="array" ref="U295">INDEX('ICL3'!$H$2:$H$40,MATCH(MIN(ABS(AH295-'ICL3'!$F$2:$F$40)),ABS(AH295-'ICL3'!$F$2:$F$40),0))</f>
        <v>22</v>
      </c>
      <c r="V295" s="1">
        <v>61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62</v>
      </c>
      <c r="AH295" s="1">
        <f>VLOOKUP(A295,'SegEnds_NonXtal_Prot#'!A:AL,31,FALSE)-VLOOKUP(A295,'SegEnds_NonXtal_Prot#'!A:AL,28,FALSE)</f>
        <v>55</v>
      </c>
      <c r="AI295" s="1" t="e">
        <f>VLOOKUP(A295,'SegEnds_NonXtal_Prot#'!A:AL,34,FALSE)-VLOOKUP(A295,'SegEnds_NonXtal_Prot#'!A:AL,31,FALSE)</f>
        <v>#VALUE!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411</v>
      </c>
      <c r="B296" s="43" t="str">
        <f>VLOOKUP(A296,Xtal_Templ!A:B,2,FALSE)</f>
        <v>glp1r_human</v>
      </c>
      <c r="C296" s="44">
        <f>VLOOKUP($B296&amp;"__wt",'SegEnds_Xtal_BW#'!$A:$Z,3,FALSE)</f>
        <v>29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38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39</v>
      </c>
      <c r="T296" s="43">
        <v>69</v>
      </c>
      <c r="U296" s="43">
        <v>25</v>
      </c>
      <c r="V296" s="4">
        <f>VLOOKUP($B296&amp;"__wt",'SegEnds_Xtal_BW#'!$A:$Z,22,FALSE)</f>
        <v>53</v>
      </c>
      <c r="W296" s="43">
        <v>31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55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20</v>
      </c>
      <c r="AG296" s="1">
        <f>VLOOKUP(A296,'SegEnds_NonXtal_Prot#'!A:AL,28,FALSE)-VLOOKUP(A296,'SegEnds_NonXtal_Prot#'!A:AL,22,FALSE)</f>
        <v>42</v>
      </c>
      <c r="AH296" s="43">
        <f>VLOOKUP(A296,'SegEnds_NonXtal_Prot#'!A:AL,31,FALSE)-VLOOKUP(A296,'SegEnds_NonXtal_Prot#'!A:AL,28,FALSE)</f>
        <v>52</v>
      </c>
      <c r="AI296" s="43">
        <f>VLOOKUP(A296,'SegEnds_NonXtal_Prot#'!A:AL,34,FALSE)-VLOOKUP(A296,'SegEnds_NonXtal_Prot#'!A:AL,31,FALSE)</f>
        <v>28</v>
      </c>
      <c r="AJ296" s="1" t="str">
        <f>IF(ISERROR(MATCH(A296,'SegEnds_Xtal_Prot#'!B:B, 0)), "NoXtal", "Xtal")</f>
        <v>NoXtal</v>
      </c>
    </row>
    <row r="297" spans="1:36" x14ac:dyDescent="0.2">
      <c r="A297" s="4" t="s">
        <v>404</v>
      </c>
      <c r="B297" s="4" t="str">
        <f>VLOOKUP(A297,Xtal_Templ!A:B,2,FALSE)</f>
        <v>glr_human</v>
      </c>
      <c r="C297" s="5">
        <f>VLOOKUP($B297&amp;"__wt",'SegEnds_Xtal_BW#'!$A:$Z,3,FALSE)</f>
        <v>25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19">
        <v>64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19">
        <v>21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1">
        <v>39</v>
      </c>
      <c r="T297" s="4">
        <v>69</v>
      </c>
      <c r="U297" s="4">
        <v>25</v>
      </c>
      <c r="V297" s="4">
        <f>VLOOKUP($B297&amp;"__wt",'SegEnds_Xtal_BW#'!$A:$Z,22,FALSE)</f>
        <v>53</v>
      </c>
      <c r="W297" s="4">
        <v>31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">
        <f>VLOOKUP(A297,'SegEnds_NonXtal_Prot#'!A:AL,31,FALSE)-VLOOKUP(A297,'SegEnds_NonXtal_Prot#'!A:AL,28,FALSE)</f>
        <v>52</v>
      </c>
      <c r="AI297" s="4">
        <f>VLOOKUP(A297,'SegEnds_NonXtal_Prot#'!A:AL,34,FALSE)-VLOOKUP(A297,'SegEnds_NonXtal_Prot#'!A:AL,31,FALSE)</f>
        <v>29</v>
      </c>
      <c r="AJ297" s="1" t="str">
        <f>IF(ISERROR(MATCH(A297,'SegEnds_Xtal_Prot#'!B:B, 0)), "NoXtal", "Xtal")</f>
        <v>NoXtal</v>
      </c>
    </row>
    <row r="298" spans="1:36" x14ac:dyDescent="0.2">
      <c r="A298" s="1" t="s">
        <v>408</v>
      </c>
      <c r="B298" s="1" t="str">
        <f>VLOOKUP(A298,Xtal_Templ!A:B,2,FALSE)</f>
        <v>glr_human</v>
      </c>
      <c r="C298" s="5">
        <f>VLOOKUP($B298&amp;"__wt",'SegEnds_Xtal_BW#'!$A:$Z,3,FALSE)</f>
        <v>25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19">
        <v>64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11">
        <v>21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9">
        <f>VLOOKUP($B298&amp;"__wt",'SegEnds_Xtal_BW#'!$A:$Z,15,FALSE)</f>
        <v>40</v>
      </c>
      <c r="P298" s="1">
        <f>VLOOKUP($B298&amp;"__wt",'SegEnds_Xtal_BW#'!$A:$Z,16,FALSE)</f>
        <v>68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11">
        <v>39</v>
      </c>
      <c r="T298" s="1">
        <v>69</v>
      </c>
      <c r="U298" s="1">
        <v>25</v>
      </c>
      <c r="V298" s="1">
        <f>VLOOKUP($B298&amp;"__wt",'SegEnds_Xtal_BW#'!$A:$Z,22,FALSE)</f>
        <v>53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72</v>
      </c>
      <c r="AA298" s="27" t="str">
        <f>VLOOKUP(A298,Classification!A:B,2,FALSE)</f>
        <v>B1</v>
      </c>
      <c r="AB298" s="1">
        <f>VLOOKUP(A298,'SegEnds_NonXtal_Prot#'!A:AL,10,FALSE)-VLOOKUP(A298,'SegEnds_NonXtal_Prot#'!A:AL,7,FALSE)</f>
        <v>15</v>
      </c>
      <c r="AC298" s="1" t="e">
        <f>VLOOKUP(A298,'SegEnds_NonXtal_Prot#'!A:AL,13,FALSE)-VLOOKUP(A298,'SegEnds_NonXtal_Prot#'!A:AL,10,FALSE)</f>
        <v>#VALUE!</v>
      </c>
      <c r="AD298" s="1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1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1">
        <f>VLOOKUP(A298,'SegEnds_NonXtal_Prot#'!A:AL,31,FALSE)-VLOOKUP(A298,'SegEnds_NonXtal_Prot#'!A:AL,28,FALSE)</f>
        <v>52</v>
      </c>
      <c r="AI298" s="1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412</v>
      </c>
      <c r="B299" s="4" t="str">
        <f>VLOOKUP(A299,Xtal_Templ!A:B,2,FALSE)</f>
        <v>glp1r_human</v>
      </c>
      <c r="C299" s="5">
        <f>VLOOKUP($B299&amp;"__wt",'SegEnds_Xtal_BW#'!$A:$Z,3,FALSE)</f>
        <v>29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9">
        <v>64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21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38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1">
        <v>39</v>
      </c>
      <c r="T299" s="4">
        <v>69</v>
      </c>
      <c r="U299" s="4">
        <v>25</v>
      </c>
      <c r="V299" s="1">
        <f>VLOOKUP($B299&amp;"__wt",'SegEnds_Xtal_BW#'!$A:$Z,22,FALSE)</f>
        <v>53</v>
      </c>
      <c r="W299" s="4">
        <v>31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52</v>
      </c>
      <c r="AI299" s="4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413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9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58</v>
      </c>
      <c r="AE300" s="4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4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4" t="str">
        <f>IF(ISERROR(MATCH(A300,'SegEnds_Xtal_Prot#'!B:B, 0)), "NoXtal", "Xtal")</f>
        <v>NoXtal</v>
      </c>
    </row>
    <row r="301" spans="1:36" x14ac:dyDescent="0.2">
      <c r="A301" s="4" t="s">
        <v>401</v>
      </c>
      <c r="B301" s="4" t="str">
        <f>VLOOKUP(A301,Xtal_Templ!A:B,2,FALSE)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9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9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Xtal</v>
      </c>
    </row>
    <row r="302" spans="1:36" x14ac:dyDescent="0.2">
      <c r="A302" s="1" t="s">
        <v>402</v>
      </c>
      <c r="B302" s="1" t="str">
        <f>VLOOKUP(A302,Xtal_Templ!A:B,2,FALSE)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9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11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NoXtal</v>
      </c>
    </row>
    <row r="303" spans="1:36" x14ac:dyDescent="0.2">
      <c r="A303" s="4" t="s">
        <v>38</v>
      </c>
      <c r="B303" s="4" t="str">
        <f>VLOOKUP(A303,Xtal_Templ!A:B,2,FALSE)</f>
        <v>crfr1_human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">
        <v>63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22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69</v>
      </c>
      <c r="U303" s="4">
        <f>VLOOKUP($B303&amp;"__wt",'SegEnds_Xtal_BW#'!$A:$Z,21,FALSE)</f>
        <v>25</v>
      </c>
      <c r="V303" s="4">
        <f>VLOOKUP($B303&amp;"__wt",'SegEnds_Xtal_BW#'!$A:$Z,22,FALSE)</f>
        <v>53</v>
      </c>
      <c r="W303" s="4">
        <v>29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51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21</v>
      </c>
      <c r="AG303" s="1">
        <f>VLOOKUP(A303,'SegEnds_NonXtal_Prot#'!A:AL,28,FALSE)-VLOOKUP(A303,'SegEnds_NonXtal_Prot#'!A:AL,22,FALSE)</f>
        <v>43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31</v>
      </c>
      <c r="AJ303" s="1" t="str">
        <f>IF(ISERROR(MATCH(A303,'SegEnds_Xtal_Prot#'!B:B, 0)), "NoXtal", "Xtal")</f>
        <v>Xtal</v>
      </c>
    </row>
    <row r="304" spans="1:36" x14ac:dyDescent="0.2">
      <c r="A304" s="4" t="s">
        <v>403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9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9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50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NoXtal</v>
      </c>
    </row>
    <row r="305" spans="1:36" x14ac:dyDescent="0.2">
      <c r="A305" s="4" t="s">
        <v>410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9">
        <v>67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18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1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74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53</v>
      </c>
      <c r="AI305" s="4">
        <f>VLOOKUP(A305,'SegEnds_NonXtal_Prot#'!A:AL,34,FALSE)-VLOOKUP(A305,'SegEnds_NonXtal_Prot#'!A:AL,31,FALSE)</f>
        <v>32</v>
      </c>
      <c r="AJ305" s="1" t="str">
        <f>IF(ISERROR(MATCH(A305,'SegEnds_Xtal_Prot#'!B:B, 0)), "NoXtal", "Xtal")</f>
        <v>NoXtal</v>
      </c>
    </row>
    <row r="306" spans="1:36" x14ac:dyDescent="0.2">
      <c r="A306" s="4" t="s">
        <v>1430</v>
      </c>
      <c r="B306" s="4" t="str">
        <f>VLOOKUP(A306,Xtal_Templ!A:B,2,FALSE)</f>
        <v>g1sgd4_rabit</v>
      </c>
      <c r="C306" s="5">
        <f>VLOOKUP($B306&amp;"__wt",'SegEnds_Xtal_BW#'!$A:$Z,3,FALSE)</f>
        <v>28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74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9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9">
        <v>39</v>
      </c>
      <c r="T306" s="4">
        <f>VLOOKUP($B306&amp;"__wt",'SegEnds_Xtal_BW#'!$A:$Z,20,FALSE)</f>
        <v>71</v>
      </c>
      <c r="U306" s="4">
        <f>VLOOKUP($B306&amp;"__wt",'SegEnds_Xtal_BW#'!$A:$Z,21,FALSE)</f>
        <v>30</v>
      </c>
      <c r="V306" s="4">
        <f>VLOOKUP($B306&amp;"__wt",'SegEnds_Xtal_BW#'!$A:$Z,22,FALSE)</f>
        <v>53</v>
      </c>
      <c r="W306" s="119">
        <v>30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4" t="str">
        <f>IF(ISERROR(MATCH(A306,'SegEnds_Xtal_Prot#'!B:B, 0)), "NoXtal", "Xtal")</f>
        <v>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9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f>VLOOKUP($B307&amp;"__wt",'SegEnds_Xtal_BW#'!$A:$Z,20,FALSE)</f>
        <v>71</v>
      </c>
      <c r="U307" s="119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1" t="s">
        <v>406</v>
      </c>
      <c r="B308" s="1" t="str">
        <f>VLOOKUP(A308,Xtal_Templ!A:B,2,FALSE)</f>
        <v>glp1r_human</v>
      </c>
      <c r="C308" s="5">
        <f>VLOOKUP($B308&amp;"__wt",'SegEnds_Xtal_BW#'!$A:$Z,3,FALSE)</f>
        <v>29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1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11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9">
        <f>VLOOKUP($B308&amp;"__wt",'SegEnds_Xtal_BW#'!$A:$Z,15,FALSE)</f>
        <v>38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11">
        <v>39</v>
      </c>
      <c r="T308" s="1">
        <f>VLOOKUP($B308&amp;"__wt",'SegEnds_Xtal_BW#'!$A:$Z,20,FALSE)</f>
        <v>71</v>
      </c>
      <c r="U308" s="1">
        <f>VLOOKUP($B308&amp;"__wt",'SegEnds_Xtal_BW#'!$A:$Z,21,FALSE)</f>
        <v>28</v>
      </c>
      <c r="V308" s="1">
        <f>VLOOKUP($B308&amp;"__wt",'SegEnds_Xtal_BW#'!$A:$Z,22,FALSE)</f>
        <v>53</v>
      </c>
      <c r="W308" s="1">
        <v>28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64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50</v>
      </c>
      <c r="AI308" s="1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4" t="s">
        <v>407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f>VLOOKUP($B309&amp;"__wt",'SegEnds_Xtal_BW#'!$A:$Z,20,FALSE)</f>
        <v>71</v>
      </c>
      <c r="U309" s="119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32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v>36</v>
      </c>
      <c r="T310" s="4">
        <f>VLOOKUP($B310&amp;"__wt",'SegEnds_Xtal_BW#'!$A:$Z,20,FALSE)</f>
        <v>71</v>
      </c>
      <c r="U310" s="4">
        <f>VLOOKUP($B310&amp;"__wt",'SegEnds_Xtal_BW#'!$A:$Z,21,FALSE)</f>
        <v>28</v>
      </c>
      <c r="V310" s="4">
        <f>VLOOKUP($B310&amp;"__wt",'SegEnds_Xtal_BW#'!$A:$Z,22,FALSE)</f>
        <v>53</v>
      </c>
      <c r="W310" s="119">
        <v>27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65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s="46" customFormat="1" x14ac:dyDescent="0.2">
      <c r="A311" s="46" t="s">
        <v>409</v>
      </c>
      <c r="B311" s="46" t="str">
        <f>VLOOKUP(A311,Xtal_Templ!A:B,2,FALSE)</f>
        <v>glp1r_human</v>
      </c>
      <c r="C311" s="47">
        <f>VLOOKUP($B311&amp;"__wt",'SegEnds_Xtal_BW#'!$A:$Z,3,FALSE)</f>
        <v>29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67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05">
        <v>18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38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v>69</v>
      </c>
      <c r="U311" s="46">
        <v>25</v>
      </c>
      <c r="V311" s="46">
        <f>VLOOKUP($B311&amp;"__wt",'SegEnds_Xtal_BW#'!$A:$Z,22,FALSE)</f>
        <v>53</v>
      </c>
      <c r="W311" s="46">
        <v>28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76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19</v>
      </c>
      <c r="AG311" s="46">
        <f>VLOOKUP(A311,'SegEnds_NonXtal_Prot#'!A:AL,28,FALSE)-VLOOKUP(A311,'SegEnds_NonXtal_Prot#'!A:AL,22,FALSE)</f>
        <v>41</v>
      </c>
      <c r="AH311" s="46">
        <f>VLOOKUP(A311,'SegEnds_NonXtal_Prot#'!A:AL,31,FALSE)-VLOOKUP(A311,'SegEnds_NonXtal_Prot#'!A:AL,28,FALSE)</f>
        <v>53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NoXtal</v>
      </c>
    </row>
    <row r="312" spans="1:36" x14ac:dyDescent="0.2">
      <c r="A312" s="1" t="s">
        <v>1183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v>50</v>
      </c>
      <c r="W312" s="1">
        <v>33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66</v>
      </c>
      <c r="AI312" s="1">
        <f>VLOOKUP(A312,'SegEnds_NonXtal_Prot#'!A:AL,34,FALSE)-VLOOKUP(A312,'SegEnds_NonXtal_Prot#'!A:AL,31,FALSE)</f>
        <v>20</v>
      </c>
      <c r="AJ312" s="1" t="str">
        <f>IF(ISERROR(MATCH(A312,'SegEnds_Xtal_Prot#'!B:B, 0)), "NoXtal", "Xtal")</f>
        <v>NoXtal</v>
      </c>
    </row>
    <row r="313" spans="1:36" x14ac:dyDescent="0.2">
      <c r="A313" s="1" t="s">
        <v>1189</v>
      </c>
      <c r="B313" s="1" t="str">
        <f>VLOOKUP(A313,Xtal_Templ!A:B,2,FALSE)</f>
        <v>calcr_human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41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f>VLOOKUP($B313&amp;"__wt",'SegEnds_Xtal_BW#'!$A:$Z,22,FALSE)</f>
        <v>53</v>
      </c>
      <c r="W313" s="1">
        <v>31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51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20</v>
      </c>
      <c r="AG313" s="1">
        <f>VLOOKUP(A313,'SegEnds_NonXtal_Prot#'!A:AL,28,FALSE)-VLOOKUP(A313,'SegEnds_NonXtal_Prot#'!A:AL,22,FALSE)</f>
        <v>46</v>
      </c>
      <c r="AH313" s="1">
        <f>VLOOKUP(A313,'SegEnds_NonXtal_Prot#'!A:AL,31,FALSE)-VLOOKUP(A313,'SegEnds_NonXtal_Prot#'!A:AL,28,FALSE)</f>
        <v>57</v>
      </c>
      <c r="AI313" s="1">
        <f>VLOOKUP(A313,'SegEnds_NonXtal_Prot#'!A:AL,34,FALSE)-VLOOKUP(A313,'SegEnds_NonXtal_Prot#'!A:AL,31,FALSE)</f>
        <v>23</v>
      </c>
      <c r="AJ313" s="1" t="str">
        <f>IF(ISERROR(MATCH(A313,'SegEnds_Xtal_Prot#'!B:B, 0)), "NoXtal", "Xtal")</f>
        <v>NoXtal</v>
      </c>
    </row>
    <row r="314" spans="1:36" x14ac:dyDescent="0.2">
      <c r="A314" s="1" t="s">
        <v>1195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51</v>
      </c>
      <c r="AH314" s="1">
        <f>VLOOKUP(A314,'SegEnds_NonXtal_Prot#'!A:AL,31,FALSE)-VLOOKUP(A314,'SegEnds_NonXtal_Prot#'!A:AL,28,FALSE)</f>
        <v>54</v>
      </c>
      <c r="AI314" s="1">
        <f>VLOOKUP(A314,'SegEnds_NonXtal_Prot#'!A:AL,34,FALSE)-VLOOKUP(A314,'SegEnds_NonXtal_Prot#'!A:AL,31,FALSE)</f>
        <v>26</v>
      </c>
      <c r="AJ314" s="1" t="str">
        <f>IF(ISERROR(MATCH(A314,'SegEnds_Xtal_Prot#'!B:B, 0)), "NoXtal", "Xtal")</f>
        <v>NoXtal</v>
      </c>
    </row>
    <row r="315" spans="1:36" x14ac:dyDescent="0.2">
      <c r="A315" s="1" t="s">
        <v>1182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VLOOKUP(A315,'SegEnds_NonXtal_Prot#'!A:AL,10,FALSE)-VLOOKUP(A315,'SegEnds_NonXtal_Prot#'!A:AL,7,FALSE)</f>
        <v>18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4" t="s">
        <v>1184</v>
      </c>
      <c r="B316" s="4" t="str">
        <f>VLOOKUP(A316,Xtal_Templ!A:B,2,FALSE)</f>
        <v>calcr_human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90">
        <f>VLOOKUP($B316&amp;"__wt",'SegEnds_Xtal_BW#'!$A:$Z,15,FALSE)</f>
        <v>41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4" t="e">
        <f>VLOOKUP(A316,'SegEnds_NonXtal_Prot#'!A:AL,10,FALSE)-VLOOKUP(A316,'SegEnds_NonXtal_Prot#'!A:AL,7,FALSE)</f>
        <v>#VALUE!</v>
      </c>
      <c r="AC316" s="4" t="e">
        <f>VLOOKUP(A316,'SegEnds_NonXtal_Prot#'!A:AL,13,FALSE)-VLOOKUP(A316,'SegEnds_NonXtal_Prot#'!A:AL,10,FALSE)</f>
        <v>#VALUE!</v>
      </c>
      <c r="AD316" s="4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4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4">
        <f>VLOOKUP(A316,'SegEnds_NonXtal_Prot#'!A:AL,31,FALSE)-VLOOKUP(A316,'SegEnds_NonXtal_Prot#'!A:AL,28,FALSE)</f>
        <v>52</v>
      </c>
      <c r="AI316" s="4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1185</v>
      </c>
      <c r="B317" s="1" t="str">
        <f>VLOOKUP(A317,Xtal_Templ!A:B,2,FALSE)</f>
        <v>glp1r_human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38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15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1194</v>
      </c>
      <c r="B319" s="4" t="str">
        <f>VLOOKUP(A319,Xtal_Templ!A:B,2,FALSE)</f>
        <v>crfr1_human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40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47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54</v>
      </c>
      <c r="AH319" s="4">
        <f>VLOOKUP(A319,'SegEnds_NonXtal_Prot#'!A:AL,31,FALSE)-VLOOKUP(A319,'SegEnds_NonXtal_Prot#'!A:AL,28,FALSE)</f>
        <v>51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1196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47</v>
      </c>
      <c r="AH320" s="4">
        <f>VLOOKUP(A320,'SegEnds_NonXtal_Prot#'!A:AL,31,FALSE)-VLOOKUP(A320,'SegEnds_NonXtal_Prot#'!A:AL,28,FALSE)</f>
        <v>50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1197</v>
      </c>
      <c r="B321" s="1" t="str">
        <f>VLOOKUP(A321,Xtal_Templ!A:B,2,FALSE)</f>
        <v>glr_human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 t="e">
        <f>VLOOKUP(A321,'SegEnds_NonXtal_Prot#'!A:AL,10,FALSE)-VLOOKUP(A321,'SegEnds_NonXtal_Prot#'!A:AL,7,FALSE)</f>
        <v>#VALUE!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48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60</v>
      </c>
      <c r="AH321" s="1">
        <f>VLOOKUP(A321,'SegEnds_NonXtal_Prot#'!A:AL,31,FALSE)-VLOOKUP(A321,'SegEnds_NonXtal_Prot#'!A:AL,28,FALSE)</f>
        <v>49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1423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16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47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53</v>
      </c>
      <c r="AH322" s="1">
        <f>VLOOKUP(A322,'SegEnds_NonXtal_Prot#'!A:AL,31,FALSE)-VLOOKUP(A322,'SegEnds_NonXtal_Prot#'!A:AL,28,FALSE)</f>
        <v>51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1199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1200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1201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1202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 t="e">
        <f>VLOOKUP(A327,'SegEnds_NonXtal_Prot#'!A:AL,10,FALSE)-VLOOKUP(A327,'SegEnds_NonXtal_Prot#'!A:AL,7,FALSE)</f>
        <v>#VALUE!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4">
        <f>VLOOKUP(A327,'SegEnds_NonXtal_Prot#'!A:AL,31,FALSE)-VLOOKUP(A327,'SegEnds_NonXtal_Prot#'!A:AL,28,FALSE)</f>
        <v>52</v>
      </c>
      <c r="AI327" s="4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418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15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1">
        <f>VLOOKUP(A328,'SegEnds_NonXtal_Prot#'!A:AL,31,FALSE)-VLOOKUP(A328,'SegEnds_NonXtal_Prot#'!A:AL,28,FALSE)</f>
        <v>48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419</v>
      </c>
      <c r="B329" s="4" t="str">
        <f>VLOOKUP(A329,Xtal_Templ!A:B,2,FALSE)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15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4">
        <f>VLOOKUP(A329,'SegEnds_NonXtal_Prot#'!A:AL,31,FALSE)-VLOOKUP(A329,'SegEnds_NonXtal_Prot#'!A:AL,28,FALSE)</f>
        <v>48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420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15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1">
        <f>VLOOKUP(A330,'SegEnds_NonXtal_Prot#'!A:AL,31,FALSE)-VLOOKUP(A330,'SegEnds_NonXtal_Prot#'!A:AL,28,FALSE)</f>
        <v>47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442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54</v>
      </c>
      <c r="AH331" s="1">
        <f>VLOOKUP(A331,'SegEnds_NonXtal_Prot#'!A:AL,31,FALSE)-VLOOKUP(A331,'SegEnds_NonXtal_Prot#'!A:AL,28,FALSE)</f>
        <v>49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1180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44</v>
      </c>
      <c r="AH332" s="1">
        <f>VLOOKUP(A332,'SegEnds_NonXtal_Prot#'!A:AL,31,FALSE)-VLOOKUP(A332,'SegEnds_NonXtal_Prot#'!A:AL,28,FALSE)</f>
        <v>83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1181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51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21</v>
      </c>
      <c r="AG334" s="1">
        <f>VLOOKUP(A334,'SegEnds_NonXtal_Prot#'!A:AL,28,FALSE)-VLOOKUP(A334,'SegEnds_NonXtal_Prot#'!A:AL,22,FALSE)</f>
        <v>47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1190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50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45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20</v>
      </c>
      <c r="AG336" s="1">
        <f>VLOOKUP(A336,'SegEnds_NonXtal_Prot#'!A:AL,28,FALSE)-VLOOKUP(A336,'SegEnds_NonXtal_Prot#'!A:AL,22,FALSE)</f>
        <v>46</v>
      </c>
      <c r="AH336" s="1">
        <f>VLOOKUP(A336,'SegEnds_NonXtal_Prot#'!A:AL,31,FALSE)-VLOOKUP(A336,'SegEnds_NonXtal_Prot#'!A:AL,28,FALSE)</f>
        <v>51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1192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17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53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414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44</v>
      </c>
      <c r="AH338" s="1">
        <f>VLOOKUP(A338,'SegEnds_NonXtal_Prot#'!A:AL,31,FALSE)-VLOOKUP(A338,'SegEnds_NonXtal_Prot#'!A:AL,28,FALSE)</f>
        <v>50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4" t="s">
        <v>1193</v>
      </c>
      <c r="B339" s="4" t="str">
        <f>VLOOKUP(A339,Xtal_Templ!A:B,2,FALSE)</f>
        <v>crfr1_human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90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9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4">
        <f>VLOOKUP(A339,'SegEnds_NonXtal_Prot#'!A:AL,10,FALSE)-VLOOKUP(A339,'SegEnds_NonXtal_Prot#'!A:AL,7,FALSE)</f>
        <v>21</v>
      </c>
      <c r="AC339" s="4" t="e">
        <f>VLOOKUP(A339,'SegEnds_NonXtal_Prot#'!A:AL,13,FALSE)-VLOOKUP(A339,'SegEnds_NonXtal_Prot#'!A:AL,10,FALSE)</f>
        <v>#VALUE!</v>
      </c>
      <c r="AD339" s="4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4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57</v>
      </c>
      <c r="AH339" s="4">
        <f>VLOOKUP(A339,'SegEnds_NonXtal_Prot#'!A:AL,31,FALSE)-VLOOKUP(A339,'SegEnds_NonXtal_Prot#'!A:AL,28,FALSE)</f>
        <v>44</v>
      </c>
      <c r="AI339" s="4">
        <f>VLOOKUP(A339,'SegEnds_NonXtal_Prot#'!A:AL,34,FALSE)-VLOOKUP(A339,'SegEnds_NonXtal_Prot#'!A:AL,31,FALSE)</f>
        <v>30</v>
      </c>
      <c r="AJ339" s="1" t="str">
        <f>IF(ISERROR(MATCH(A339,'SegEnds_Xtal_Prot#'!B:B, 0)), "NoXtal", "Xtal")</f>
        <v>NoXtal</v>
      </c>
    </row>
    <row r="340" spans="1:36" x14ac:dyDescent="0.2">
      <c r="A340" s="1" t="s">
        <v>1177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29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18</v>
      </c>
      <c r="AG340" s="1">
        <f>VLOOKUP(A340,'SegEnds_NonXtal_Prot#'!A:AL,28,FALSE)-VLOOKUP(A340,'SegEnds_NonXtal_Prot#'!A:AL,22,FALSE)</f>
        <v>46</v>
      </c>
      <c r="AH340" s="1">
        <f>VLOOKUP(A340,'SegEnds_NonXtal_Prot#'!A:AL,31,FALSE)-VLOOKUP(A340,'SegEnds_NonXtal_Prot#'!A:AL,28,FALSE)</f>
        <v>86</v>
      </c>
      <c r="AI340" s="1">
        <f>VLOOKUP(A340,'SegEnds_NonXtal_Prot#'!A:AL,34,FALSE)-VLOOKUP(A340,'SegEnds_NonXtal_Prot#'!A:AL,31,FALSE)</f>
        <v>31</v>
      </c>
      <c r="AJ340" s="1" t="str">
        <f>IF(ISERROR(MATCH(A340,'SegEnds_Xtal_Prot#'!B:B, 0)), "NoXtal", "Xtal")</f>
        <v>NoXtal</v>
      </c>
    </row>
    <row r="341" spans="1:36" x14ac:dyDescent="0.2">
      <c r="A341" s="4" t="s">
        <v>1178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29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100</v>
      </c>
      <c r="AI341" s="4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1" t="s">
        <v>1179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45</v>
      </c>
      <c r="AH342" s="1">
        <f>VLOOKUP(A342,'SegEnds_NonXtal_Prot#'!A:AL,31,FALSE)-VLOOKUP(A342,'SegEnds_NonXtal_Prot#'!A:AL,28,FALSE)</f>
        <v>85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glp1r_human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38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1187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28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42</v>
      </c>
      <c r="AH344" s="1">
        <f>VLOOKUP(A344,'SegEnds_NonXtal_Prot#'!A:AL,31,FALSE)-VLOOKUP(A344,'SegEnds_NonXtal_Prot#'!A:AL,28,FALSE)</f>
        <v>52</v>
      </c>
      <c r="AI344" s="1">
        <f>VLOOKUP(A344,'SegEnds_NonXtal_Prot#'!A:AL,34,FALSE)-VLOOKUP(A344,'SegEnds_NonXtal_Prot#'!A:AL,31,FALSE)</f>
        <v>32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40</v>
      </c>
      <c r="B345" s="43" t="str">
        <f>VLOOKUP(A345,Xtal_Templ!A:B,2,FALSE)</f>
        <v>grm1_human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64</v>
      </c>
      <c r="Y345" s="43">
        <f>VLOOKUP($B345&amp;"__wt",'SegEnds_Xtal_BW#'!$A:$Z,25,FALSE)</f>
        <v>46</v>
      </c>
      <c r="Z345" s="43">
        <f>VLOOKUP($B345&amp;"__wt",'SegEnds_Xtal_BW#'!$A:$Z,26,FALSE)</f>
        <v>57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17</v>
      </c>
      <c r="AG345" s="1">
        <f>VLOOKUP(A345,'SegEnds_NonXtal_Prot#'!A:AL,28,FALSE)-VLOOKUP(A345,'SegEnds_NonXtal_Prot#'!A:AL,22,FALSE)</f>
        <v>49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27</v>
      </c>
      <c r="AJ345" s="1" t="str">
        <f>IF(ISERROR(MATCH(A345,'SegEnds_Xtal_Prot#'!B:B, 0)), "NoXtal", "Xtal")</f>
        <v>Xtal</v>
      </c>
    </row>
    <row r="346" spans="1:36" x14ac:dyDescent="0.2">
      <c r="A346" s="1" t="s">
        <v>41</v>
      </c>
      <c r="B346" s="1" t="str">
        <f>VLOOKUP(A346,Xtal_Templ!A:B,2,FALSE)</f>
        <v>grm5_human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64</v>
      </c>
      <c r="Y346" s="1">
        <f>VLOOKUP($B346&amp;"__wt",'SegEnds_Xtal_BW#'!$A:$Z,25,FALSE)</f>
        <v>46</v>
      </c>
      <c r="Z346" s="1">
        <f>VLOOKUP($B346&amp;"__wt",'SegEnds_Xtal_BW#'!$A:$Z,26,FALSE)</f>
        <v>57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4" t="s">
        <v>105</v>
      </c>
      <c r="B347" s="4" t="str">
        <f>VLOOKUP(A347,Xtal_Templ!A:B,2,FALSE)</f>
        <v>grm5_human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64</v>
      </c>
      <c r="Y347" s="4">
        <f>VLOOKUP($B347&amp;"__wt",'SegEnds_Xtal_BW#'!$A:$Z,25,FALSE)</f>
        <v>46</v>
      </c>
      <c r="Z347" s="4">
        <f>VLOOKUP($B347&amp;"__wt",'SegEnds_Xtal_BW#'!$A:$Z,26,FALSE)</f>
        <v>57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114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16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50</v>
      </c>
      <c r="AH348" s="4">
        <f>VLOOKUP(A348,'SegEnds_NonXtal_Prot#'!A:AL,31,FALSE)-VLOOKUP(A348,'SegEnds_NonXtal_Prot#'!A:AL,28,FALSE)</f>
        <v>35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122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51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123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52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108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50</v>
      </c>
      <c r="AE352" s="1" t="e">
        <f>VLOOKUP(A352,'SegEnds_NonXtal_Prot#'!A:AL,22,FALSE)-VLOOKUP(A352,'SegEnds_NonXtal_Prot#'!A:AL,19,FALSE)</f>
        <v>#VALUE!</v>
      </c>
      <c r="AF352" s="1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62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30</v>
      </c>
      <c r="AJ352" s="1" t="str">
        <f>IF(ISERROR(MATCH(A352,'SegEnds_Xtal_Prot#'!B:B, 0)), "NoXtal", "Xtal")</f>
        <v>NoXtal</v>
      </c>
    </row>
    <row r="353" spans="1:36" x14ac:dyDescent="0.2">
      <c r="A353" s="4" t="s">
        <v>106</v>
      </c>
      <c r="B353" s="4" t="str">
        <f>VLOOKUP(A353,Xtal_Templ!A:B,2,FALSE)</f>
        <v>grm5_human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15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51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19</v>
      </c>
      <c r="AG353" s="1">
        <f>VLOOKUP(A353,'SegEnds_NonXtal_Prot#'!A:AL,28,FALSE)-VLOOKUP(A353,'SegEnds_NonXtal_Prot#'!A:AL,22,FALSE)</f>
        <v>62</v>
      </c>
      <c r="AH353" s="4">
        <f>VLOOKUP(A353,'SegEnds_NonXtal_Prot#'!A:AL,31,FALSE)-VLOOKUP(A353,'SegEnds_NonXtal_Prot#'!A:AL,28,FALSE)</f>
        <v>38</v>
      </c>
      <c r="AI353" s="4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107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1">
        <f>VLOOKUP(A354,'SegEnds_NonXtal_Prot#'!A:AL,31,FALSE)-VLOOKUP(A354,'SegEnds_NonXtal_Prot#'!A:AL,28,FALSE)</f>
        <v>38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121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19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 t="e">
        <f>VLOOKUP(A357,'SegEnds_NonXtal_Prot#'!A:AL,28,FALSE)-VLOOKUP(A357,'SegEnds_NonXtal_Prot#'!A:AL,25,FALSE)</f>
        <v>#VALUE!</v>
      </c>
      <c r="AG357" s="1">
        <f>VLOOKUP(A357,'SegEnds_NonXtal_Prot#'!A:AL,28,FALSE)-VLOOKUP(A357,'SegEnds_NonXtal_Prot#'!A:AL,22,FALSE)</f>
        <v>45</v>
      </c>
      <c r="AH357" s="1">
        <f>VLOOKUP(A357,'SegEnds_NonXtal_Prot#'!A:AL,31,FALSE)-VLOOKUP(A357,'SegEnds_NonXtal_Prot#'!A:AL,28,FALSE)</f>
        <v>39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4" t="s">
        <v>109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90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37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34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4">
        <f>VLOOKUP(A358,'SegEnds_NonXtal_Prot#'!A:AL,10,FALSE)-VLOOKUP(A358,'SegEnds_NonXtal_Prot#'!A:AL,7,FALSE)</f>
        <v>15</v>
      </c>
      <c r="AC358" s="4" t="e">
        <f>VLOOKUP(A358,'SegEnds_NonXtal_Prot#'!A:AL,13,FALSE)-VLOOKUP(A358,'SegEnds_NonXtal_Prot#'!A:AL,10,FALSE)</f>
        <v>#VALUE!</v>
      </c>
      <c r="AD358" s="4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4">
        <f>VLOOKUP(A358,'SegEnds_NonXtal_Prot#'!A:AL,28,FALSE)-VLOOKUP(A358,'SegEnds_NonXtal_Prot#'!A:AL,25,FALSE)</f>
        <v>16</v>
      </c>
      <c r="AG358" s="1">
        <f>VLOOKUP(A358,'SegEnds_NonXtal_Prot#'!A:AL,28,FALSE)-VLOOKUP(A358,'SegEnds_NonXtal_Prot#'!A:AL,22,FALSE)</f>
        <v>65</v>
      </c>
      <c r="AH358" s="4">
        <f>VLOOKUP(A358,'SegEnds_NonXtal_Prot#'!A:AL,31,FALSE)-VLOOKUP(A358,'SegEnds_NonXtal_Prot#'!A:AL,28,FALSE)</f>
        <v>37</v>
      </c>
      <c r="AI358" s="4">
        <f>VLOOKUP(A358,'SegEnds_NonXtal_Prot#'!A:AL,34,FALSE)-VLOOKUP(A358,'SegEnds_NonXtal_Prot#'!A:AL,31,FALSE)</f>
        <v>33</v>
      </c>
      <c r="AJ358" s="1" t="str">
        <f>IF(ISERROR(MATCH(A358,'SegEnds_Xtal_Prot#'!B:B, 0)), "NoXtal", "Xtal")</f>
        <v>NoXtal</v>
      </c>
    </row>
    <row r="359" spans="1:36" x14ac:dyDescent="0.2">
      <c r="A359" s="1" t="s">
        <v>110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19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55</v>
      </c>
      <c r="AH360" s="1">
        <f>VLOOKUP(A360,'SegEnds_NonXtal_Prot#'!A:AL,31,FALSE)-VLOOKUP(A360,'SegEnds_NonXtal_Prot#'!A:AL,28,FALSE)</f>
        <v>39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118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119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120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 t="str">
        <f>IF(ISERROR(MATCH(A365,'SegEnds_Xtal_Prot#'!B:B, 0)), "NoXtal", "Xtal")</f>
        <v>NoXtal</v>
      </c>
    </row>
    <row r="366" spans="1:36" x14ac:dyDescent="0.2">
      <c r="A366" s="4" t="s">
        <v>113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43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1" t="s">
        <v>450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v>66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36</v>
      </c>
      <c r="AJ367" s="1" t="str">
        <f>IF(ISERROR(MATCH(A367,'SegEnds_Xtal_Prot#'!B:B, 0)), "NoXtal", "Xtal")</f>
        <v>NoXtal</v>
      </c>
    </row>
    <row r="368" spans="1:36" x14ac:dyDescent="0.2">
      <c r="A368" s="1" t="s">
        <v>451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64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454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103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57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448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449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452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453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447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56</v>
      </c>
      <c r="AJ374" s="1" t="str">
        <f>IF(ISERROR(MATCH(A374,'SegEnds_Xtal_Prot#'!B:B, 0)), "NoXtal", "Xtal")</f>
        <v>NoXtal</v>
      </c>
    </row>
    <row r="375" spans="1:36" x14ac:dyDescent="0.2">
      <c r="A375" s="1" t="s">
        <v>455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58</v>
      </c>
      <c r="AJ375" s="1" t="str">
        <f>IF(ISERROR(MATCH(A375,'SegEnds_Xtal_Prot#'!B:B, 0)), "NoXtal", "Xtal")</f>
        <v>NoXtal</v>
      </c>
    </row>
    <row r="376" spans="1:36" x14ac:dyDescent="0.2">
      <c r="A376" s="1" t="s">
        <v>446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484</v>
      </c>
      <c r="B379" s="1" t="str">
        <f>VLOOKUP(A379,Xtal_Templ!A:B,2,FALSE)</f>
        <v>oprk_human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11">
        <v>61</v>
      </c>
      <c r="Q379" s="1" t="s">
        <v>23</v>
      </c>
      <c r="R379" s="1" t="s">
        <v>23</v>
      </c>
      <c r="S379" s="111">
        <v>40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45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25</v>
      </c>
      <c r="AH379" s="1">
        <f>VLOOKUP(A379,'SegEnds_NonXtal_Prot#'!A:AL,31,FALSE)-VLOOKUP(A379,'SegEnds_NonXtal_Prot#'!A:AL,28,FALSE)</f>
        <v>76</v>
      </c>
      <c r="AI379" s="1">
        <f>VLOOKUP(A379,'SegEnds_NonXtal_Prot#'!A:AL,34,FALSE)-VLOOKUP(A379,'SegEnds_NonXtal_Prot#'!A:AL,31,FALSE)</f>
        <v>36</v>
      </c>
      <c r="AJ379" s="1" t="str">
        <f>IF(ISERROR(MATCH(A379,'SegEnds_Xtal_Prot#'!B:B, 0)), "NoXtal", "Xtal")</f>
        <v>NoXtal</v>
      </c>
    </row>
    <row r="380" spans="1:36" x14ac:dyDescent="0.2">
      <c r="A380" s="1" t="s">
        <v>482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930</v>
      </c>
      <c r="B383" s="1" t="str">
        <f>VLOOKUP(A383,Xtal_Templ!A:B,2,FALSE)</f>
        <v>agtr1_human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90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33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51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52</v>
      </c>
      <c r="AH383" s="1">
        <f>VLOOKUP(A383,'SegEnds_NonXtal_Prot#'!A:AL,31,FALSE)-VLOOKUP(A383,'SegEnds_NonXtal_Prot#'!A:AL,28,FALSE)</f>
        <v>56</v>
      </c>
      <c r="AI383" s="1">
        <f>VLOOKUP(A383,'SegEnds_NonXtal_Prot#'!A:AL,34,FALSE)-VLOOKUP(A383,'SegEnds_NonXtal_Prot#'!A:AL,31,FALSE)</f>
        <v>33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18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466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57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467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472</v>
      </c>
      <c r="B390" s="1" t="str">
        <f>VLOOKUP(A390,Xtal_Templ!A:B,2,FALSE)</f>
        <v>oprk_human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58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4" t="s">
        <v>474</v>
      </c>
      <c r="B391" s="4" t="str">
        <f>VLOOKUP(A391,Xtal_Templ!A:B,2,FALSE)</f>
        <v>cxcr4_human</v>
      </c>
      <c r="C391" s="5">
        <v>32</v>
      </c>
      <c r="D391" s="4">
        <v>62</v>
      </c>
      <c r="E391" s="4">
        <f>VLOOKUP($B391&amp;"__wt",'SegEnds_Xtal_BW#'!$A:$Z,5,FALSE)</f>
        <v>48</v>
      </c>
      <c r="F391" s="4">
        <f>VLOOKUP($B391&amp;"__wt",'SegEnds_Xtal_BW#'!$A:$Z,6,FALSE)</f>
        <v>51</v>
      </c>
      <c r="G391" s="4">
        <v>39</v>
      </c>
      <c r="H391" s="11">
        <v>66</v>
      </c>
      <c r="I391" s="4" t="s">
        <v>23</v>
      </c>
      <c r="J391" s="4" t="s">
        <v>23</v>
      </c>
      <c r="K391" s="11">
        <v>24</v>
      </c>
      <c r="L391" s="4">
        <f>VLOOKUP($B391&amp;"__wt",'SegEnds_Xtal_BW#'!$A:$Z,12,FALSE)</f>
        <v>56</v>
      </c>
      <c r="M391" s="4">
        <f>VLOOKUP($B391&amp;"__wt",'SegEnds_Xtal_BW#'!$A:$Z,13,FALSE)</f>
        <v>50</v>
      </c>
      <c r="N391" s="11">
        <v>57</v>
      </c>
      <c r="O391" s="90">
        <v>38</v>
      </c>
      <c r="P391" s="4">
        <f>VLOOKUP($B391&amp;"__wt",'SegEnds_Xtal_BW#'!$A:$Z,16,FALSE)</f>
        <v>64</v>
      </c>
      <c r="Q391" s="4">
        <f>VLOOKUP($B391&amp;"__wt",'SegEnds_Xtal_BW#'!$A:$Z,17,FALSE)</f>
        <v>50</v>
      </c>
      <c r="R391" s="4">
        <f>VLOOKUP($B391&amp;"__wt",'SegEnds_Xtal_BW#'!$A:$Z,18,FALSE)</f>
        <v>52</v>
      </c>
      <c r="S391" s="4">
        <v>32</v>
      </c>
      <c r="T391" s="4">
        <v>72</v>
      </c>
      <c r="U391" s="4">
        <v>29</v>
      </c>
      <c r="V391" s="4">
        <v>61</v>
      </c>
      <c r="W391" s="4">
        <v>31</v>
      </c>
      <c r="X391" s="4">
        <f>VLOOKUP($B391&amp;"__wt",'SegEnds_Xtal_BW#'!$A:$Z,24,FALSE)</f>
        <v>56</v>
      </c>
      <c r="Y391" s="4">
        <f>VLOOKUP($B391&amp;"__wt",'SegEnds_Xtal_BW#'!$A:$Z,25,FALSE)</f>
        <v>47</v>
      </c>
      <c r="Z391" s="4">
        <v>60</v>
      </c>
      <c r="AA391" s="27" t="str">
        <f>VLOOKUP(A391,Classification!A:B,2,FALSE)</f>
        <v>T</v>
      </c>
      <c r="AB391" s="4">
        <f>VLOOKUP(A391,'SegEnds_NonXtal_Prot#'!A:AL,10,FALSE)-VLOOKUP(A391,'SegEnds_NonXtal_Prot#'!A:AL,7,FALSE)</f>
        <v>16</v>
      </c>
      <c r="AC391" s="4" t="e">
        <f>VLOOKUP(A391,'SegEnds_NonXtal_Prot#'!A:AL,13,FALSE)-VLOOKUP(A391,'SegEnds_NonXtal_Prot#'!A:AL,10,FALSE)</f>
        <v>#VALUE!</v>
      </c>
      <c r="AD391" s="4">
        <f>VLOOKUP(A391,'SegEnds_NonXtal_Prot#'!A:AL,16,FALSE)-VLOOKUP(A391,'SegEnds_NonXtal_Prot#'!A:AL,10,FALSE)</f>
        <v>48</v>
      </c>
      <c r="AE391" s="1">
        <f>VLOOKUP(A391,'SegEnds_NonXtal_Prot#'!A:AL,22,FALSE)-VLOOKUP(A391,'SegEnds_NonXtal_Prot#'!A:AL,19,FALSE)</f>
        <v>20</v>
      </c>
      <c r="AF391" s="4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54</v>
      </c>
      <c r="AH391" s="4">
        <f>VLOOKUP(A391,'SegEnds_NonXtal_Prot#'!A:AL,31,FALSE)-VLOOKUP(A391,'SegEnds_NonXtal_Prot#'!A:AL,28,FALSE)</f>
        <v>53</v>
      </c>
      <c r="AI391" s="4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456</v>
      </c>
      <c r="B392" s="1" t="str">
        <f>VLOOKUP(A392,Xtal_Templ!A:B,2,FALSE)</f>
        <v>aa2ar_human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67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90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15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50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460</v>
      </c>
      <c r="B393" s="1" t="str">
        <f>VLOOKUP(A393,Xtal_Templ!A:B,2,FALSE)</f>
        <v>acm2_human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69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461</v>
      </c>
      <c r="B394" s="1" t="str">
        <f>VLOOKUP(A394,Xtal_Templ!A:B,2,FALSE)</f>
        <v>5ht2b_human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462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463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464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53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59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468</v>
      </c>
      <c r="B398" s="1" t="str">
        <f>VLOOKUP(A398,Xtal_Templ!A:B,2,FALSE)</f>
        <v>hrh1_human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471</v>
      </c>
      <c r="B401" s="1" t="str">
        <f>VLOOKUP(A401,Xtal_Templ!A:B,2,FALSE)</f>
        <v>drd3_human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63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7">
    <sortCondition ref="AA2:AA407"/>
    <sortCondition ref="AI2:AI407"/>
    <sortCondition ref="A2:A40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tabSelected="1" zoomScale="120" zoomScaleNormal="120" zoomScalePageLayoutView="120" workbookViewId="0">
      <pane ySplit="1" topLeftCell="A342" activePane="bottomLeft" state="frozenSplit"/>
      <selection pane="bottomLeft" activeCell="A355" sqref="A355:XFD355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>G2+1</f>
        <v>74</v>
      </c>
      <c r="I2" s="3">
        <f>H2+1</f>
        <v>75</v>
      </c>
      <c r="J2" s="108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3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>IF(ISERROR(F2-E2),"-",F2-E2)</f>
        <v>8</v>
      </c>
      <c r="AQ2" s="3">
        <f>IF(ISERROR(I2-H2),"-",I2-H2)</f>
        <v>1</v>
      </c>
      <c r="AR2" s="3">
        <f>IF(ISERROR(L2-K2),"-",L2-K2)</f>
        <v>3</v>
      </c>
      <c r="AS2" s="3">
        <f>IF(ISERROR(O2-N2),"-",O2-N2)</f>
        <v>1</v>
      </c>
      <c r="AT2" s="3">
        <f>IF(ISERROR(R2-Q2),"-",R2-Q2)</f>
        <v>1</v>
      </c>
      <c r="AU2" s="3">
        <f>IF(ISERROR(U2-T2),"-",U2-T2)</f>
        <v>3</v>
      </c>
      <c r="AV2" s="3">
        <f>IF(ISERROR(X2-W2),"-",X2-W2)</f>
        <v>22</v>
      </c>
      <c r="AW2" s="3">
        <f>IF(ISERROR(AA2-Z2),"-",AA2-Z2)</f>
        <v>1</v>
      </c>
      <c r="AX2" s="3">
        <f>IF(ISERROR(AD2-AC2),"-",AD2-AC2)</f>
        <v>6</v>
      </c>
      <c r="AY2" s="3">
        <f>IF(ISERROR(AG2-AF2),"-",AG2-AF2)</f>
        <v>5</v>
      </c>
      <c r="AZ2" s="3" t="str">
        <f>IF(ISERROR(AJ2-AI2),"-",AJ2-AI2)</f>
        <v>-</v>
      </c>
      <c r="BA2" s="3" t="str">
        <f>IF(ISERROR(LEN(VLOOKUP(A2,Seqs!A:E,2,FALSE))-AL2),"-",LEN(VLOOKUP(A2,Seqs!A:E,2,FALSE))-AL2)</f>
        <v>-</v>
      </c>
      <c r="BB2" s="16">
        <f>J2-D2</f>
        <v>34</v>
      </c>
      <c r="BC2" s="9">
        <f>IF(ISERROR(V2-S2),"-",V2-S2)</f>
        <v>18</v>
      </c>
      <c r="BD2" s="3">
        <f>J2-D2</f>
        <v>34</v>
      </c>
      <c r="BE2" s="3">
        <f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>G3+1</f>
        <v>97</v>
      </c>
      <c r="I3" s="3">
        <f>H3+1</f>
        <v>98</v>
      </c>
      <c r="J3" s="3">
        <v>111</v>
      </c>
      <c r="K3" s="3">
        <f>VLOOKUP($A3,'SegEnds_NonXtal_BW#'!$A:$Z,8,FALSE)+VLOOKUP($A3,A:AL,10,FALSE)-50</f>
        <v>128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3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>Y3+2</f>
        <v>212</v>
      </c>
      <c r="AA3" s="3">
        <f>IF(ISERROR(VLOOKUP($A3,'SegEnds_NonXtal_BW#'!$A:$Z,19,FALSE)+VLOOKUP($A3,A:AL,28,FALSE)-50),"-",(VLOOKUP($A3,'SegEnds_NonXtal_BW#'!$A:$Z,19,FALSE)+VLOOKUP($A3,A:AL,28,FALSE)-50))</f>
        <v>217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>AND(IF(Y3="-",IF(AA3-W3&gt;3,TRUE,FALSE),TRUE),IF(M3="-",IF(O3-K3&gt;3,TRUE,FALSE),TRU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>IF(ISERROR(F3-E3),"-",F3-E3)</f>
        <v>1</v>
      </c>
      <c r="AQ3" s="3">
        <f>IF(ISERROR(I3-H3),"-",I3-H3)</f>
        <v>1</v>
      </c>
      <c r="AR3" s="3">
        <f>IF(ISERROR(L3-K3),"-",L3-K3)</f>
        <v>2</v>
      </c>
      <c r="AS3" s="3">
        <f>IF(ISERROR(O3-N3),"-",O3-N3)</f>
        <v>1</v>
      </c>
      <c r="AT3" s="3">
        <f>IF(ISERROR(R3-Q3),"-",R3-Q3)</f>
        <v>1</v>
      </c>
      <c r="AU3" s="3">
        <f>IF(ISERROR(U3-T3),"-",U3-T3)</f>
        <v>3</v>
      </c>
      <c r="AV3" s="3">
        <f>IF(ISERROR(X3-W3),"-",X3-W3)</f>
        <v>8</v>
      </c>
      <c r="AW3" s="3">
        <f>IF(ISERROR(AA3-Z3),"-",AA3-Z3)</f>
        <v>5</v>
      </c>
      <c r="AX3" s="3">
        <f>IF(ISERROR(AD3-AC3),"-",AD3-AC3)</f>
        <v>5</v>
      </c>
      <c r="AY3" s="3">
        <f>IF(ISERROR(AG3-AF3),"-",AG3-AF3)</f>
        <v>6</v>
      </c>
      <c r="AZ3" s="3">
        <f>IF(ISERROR(AJ3-AI3),"-",AJ3-AI3)</f>
        <v>1</v>
      </c>
      <c r="BA3" s="3">
        <f>IF(ISERROR(LEN(VLOOKUP(A3,Seqs!A:E,2,FALSE))-AL3),"-",LEN(VLOOKUP(A3,Seqs!A:E,2,FALSE))-AL3)</f>
        <v>70</v>
      </c>
      <c r="BB3" s="16">
        <f>J3-D3</f>
        <v>28</v>
      </c>
      <c r="BC3" s="9">
        <f>IF(ISERROR(V3-S3),"-",V3-S3)</f>
        <v>18</v>
      </c>
      <c r="BD3" s="3">
        <f>J3-D3</f>
        <v>28</v>
      </c>
      <c r="BE3" s="3">
        <f>AE3-AB3</f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>G4+1</f>
        <v>73</v>
      </c>
      <c r="I4" s="3">
        <f>H4+1</f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3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>Y4+2</f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>AND(IF(Y4="-",IF(AA4-W4&gt;3,TRUE,FALSE),TRUE),IF(M4="-",IF(O4-K4&gt;3,TRUE,FALSE),TRUE),C4&lt;E4,OR(E4&lt;F4,F4="-"),OR(F4&lt;H4,F4="-"),OR(H4&lt;I4,H4="-"),I4&lt;K4,OR(K4&lt;L4,L4="-"),OR(L4&lt;N4,L4="-"),OR(N4&lt;O4,N4="-"),O4&lt;Q4,OR(Q4&lt;R4,R4="-"),OR(R4&lt;T4,R4="-"),OR(T4&lt;U4,T4="-"),U4&lt;W4,OR(W4&lt;X4,X4="-"),OR(X4&lt;Z4,X4="-"),OR(Z4&lt;AA4,Z4="-"),AA4&lt;AC4,AC4&lt;AD4,AD4&lt;AF4,AF4&lt;AG4,AG4&lt;AI4,OR(AI4&lt;AJ4,AJ4="-"),OR(AJ4&lt;AL4,AJ4="-"))</f>
        <v>1</v>
      </c>
      <c r="AO4" s="3" t="str">
        <f>IF(ISERROR(MATCH(A4,'SegEnds_Xtal_Prot#'!B:B, 0)), "NoXtal", "Xtal")</f>
        <v>NoXtal</v>
      </c>
      <c r="AP4" s="3">
        <f>IF(ISERROR(F4-E4),"-",F4-E4)</f>
        <v>1</v>
      </c>
      <c r="AQ4" s="3">
        <f>IF(ISERROR(I4-H4),"-",I4-H4)</f>
        <v>1</v>
      </c>
      <c r="AR4" s="3" t="str">
        <f>IF(ISERROR(L4-K4),"-",L4-K4)</f>
        <v>-</v>
      </c>
      <c r="AS4" s="3" t="str">
        <f>IF(ISERROR(O4-N4),"-",O4-N4)</f>
        <v>-</v>
      </c>
      <c r="AT4" s="3">
        <f>IF(ISERROR(R4-Q4),"-",R4-Q4)</f>
        <v>1</v>
      </c>
      <c r="AU4" s="3">
        <f>IF(ISERROR(U4-T4),"-",U4-T4)</f>
        <v>3</v>
      </c>
      <c r="AV4" s="3">
        <f>IF(ISERROR(X4-W4),"-",X4-W4)</f>
        <v>19</v>
      </c>
      <c r="AW4" s="3">
        <f>IF(ISERROR(AA4-Z4),"-",AA4-Z4)</f>
        <v>9</v>
      </c>
      <c r="AX4" s="3">
        <f>IF(ISERROR(AD4-AC4),"-",AD4-AC4)</f>
        <v>55</v>
      </c>
      <c r="AY4" s="3">
        <f>IF(ISERROR(AG4-AF4),"-",AG4-AF4)</f>
        <v>6</v>
      </c>
      <c r="AZ4" s="3">
        <f>IF(ISERROR(AJ4-AI4),"-",AJ4-AI4)</f>
        <v>1</v>
      </c>
      <c r="BA4" s="3">
        <f>IF(ISERROR(LEN(VLOOKUP(A4,Seqs!A:E,2,FALSE))-AL4),"-",LEN(VLOOKUP(A4,Seqs!A:E,2,FALSE))-AL4)</f>
        <v>50</v>
      </c>
      <c r="BB4" s="16">
        <f>J4-D4</f>
        <v>29</v>
      </c>
      <c r="BC4" s="9">
        <f>IF(ISERROR(V4-S4),"-",V4-S4)</f>
        <v>18</v>
      </c>
      <c r="BD4" s="3">
        <f>J4-D4</f>
        <v>29</v>
      </c>
      <c r="BE4" s="3">
        <f>AE4-AB4</f>
        <v>105</v>
      </c>
    </row>
    <row r="5" spans="1:59" s="3" customFormat="1" x14ac:dyDescent="0.2">
      <c r="A5" s="3" t="s">
        <v>324</v>
      </c>
      <c r="B5" s="3" t="str">
        <f>LOWER(VLOOKUP(A5,Xtal_Templ!A:B,2,FALSE))</f>
        <v>hrh1_human</v>
      </c>
      <c r="C5" s="3">
        <f>VLOOKUP($A5,'SegEnds_NonXtal_BW#'!$A:$Z,3,FALSE)+D5-50</f>
        <v>51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>M5-1</f>
        <v>113</v>
      </c>
      <c r="M5" s="3">
        <v>114</v>
      </c>
      <c r="N5" s="3">
        <f>M5+2</f>
        <v>116</v>
      </c>
      <c r="O5" s="3">
        <f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3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183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>Y5+2</f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346</v>
      </c>
      <c r="AM5" s="28" t="str">
        <f>VLOOKUP(A5,Classification!A:B,2,FALSE)</f>
        <v>A</v>
      </c>
      <c r="AN5" s="28" t="b">
        <f>AND(IF(Y5="-",IF(AA5-W5&gt;3,TRUE,FALSE),TRUE),IF(M5="-",IF(O5-K5&gt;3,TRUE,FALSE),TRUE),C5&lt;E5,OR(E5&lt;F5,F5="-"),OR(F5&lt;H5,F5="-"),OR(H5&lt;I5,H5="-"),I5&lt;K5,OR(K5&lt;L5,L5="-"),OR(L5&lt;N5,L5="-"),OR(N5&lt;O5,N5="-"),O5&lt;Q5,OR(Q5&lt;R5,R5="-"),OR(R5&lt;T5,R5="-"),OR(T5&lt;U5,T5="-"),U5&lt;W5,OR(W5&lt;X5,X5="-"),OR(X5&lt;Z5,X5="-"),OR(Z5&lt;AA5,Z5="-"),AA5&lt;AC5,AC5&lt;AD5,AD5&lt;AF5,AF5&lt;AG5,AG5&lt;AI5,OR(AI5&lt;AJ5,AJ5="-"),OR(AJ5&lt;AL5,AJ5="-"))</f>
        <v>1</v>
      </c>
      <c r="AO5" s="3" t="str">
        <f>IF(ISERROR(MATCH(A5,'SegEnds_Xtal_Prot#'!B:B, 0)), "NoXtal", "Xtal")</f>
        <v>NoXtal</v>
      </c>
      <c r="AP5" s="3" t="str">
        <f>IF(ISERROR(F5-E5),"-",F5-E5)</f>
        <v>-</v>
      </c>
      <c r="AQ5" s="3" t="str">
        <f>IF(ISERROR(I5-H5),"-",I5-H5)</f>
        <v>-</v>
      </c>
      <c r="AR5" s="3">
        <f>IF(ISERROR(L5-K5),"-",L5-K5)</f>
        <v>2</v>
      </c>
      <c r="AS5" s="3">
        <f>IF(ISERROR(O5-N5),"-",O5-N5)</f>
        <v>1</v>
      </c>
      <c r="AT5" s="3">
        <f>IF(ISERROR(R5-Q5),"-",R5-Q5)</f>
        <v>1</v>
      </c>
      <c r="AU5" s="3">
        <f>IF(ISERROR(U5-T5),"-",U5-T5)</f>
        <v>3</v>
      </c>
      <c r="AV5" s="3">
        <f>IF(ISERROR(X5-W5),"-",X5-W5)</f>
        <v>14</v>
      </c>
      <c r="AW5" s="3">
        <f>IF(ISERROR(AA5-Z5),"-",AA5-Z5)</f>
        <v>8</v>
      </c>
      <c r="AX5" s="3">
        <f>IF(ISERROR(AD5-AC5),"-",AD5-AC5)</f>
        <v>15</v>
      </c>
      <c r="AY5" s="3">
        <f>IF(ISERROR(AG5-AF5),"-",AG5-AF5)</f>
        <v>5</v>
      </c>
      <c r="AZ5" s="3">
        <f>IF(ISERROR(AJ5-AI5),"-",AJ5-AI5)</f>
        <v>1</v>
      </c>
      <c r="BA5" s="3">
        <f>IF(ISERROR(LEN(VLOOKUP(A5,Seqs!A:E,2,FALSE))-AL5),"-",LEN(VLOOKUP(A5,Seqs!A:E,2,FALSE))-AL5)</f>
        <v>25</v>
      </c>
      <c r="BB5" s="16">
        <f>J5-D5</f>
        <v>27</v>
      </c>
      <c r="BC5" s="9">
        <f>IF(ISERROR(V5-S5),"-",V5-S5)</f>
        <v>18</v>
      </c>
      <c r="BD5" s="3">
        <f>J5-D5</f>
        <v>27</v>
      </c>
      <c r="BE5" s="3">
        <f>AE5-AB5</f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>G6+1</f>
        <v>78</v>
      </c>
      <c r="I6" s="3">
        <f>H6+1</f>
        <v>79</v>
      </c>
      <c r="J6" s="3">
        <v>92</v>
      </c>
      <c r="K6" s="3">
        <f>VLOOKUP($A6,'SegEnds_NonXtal_BW#'!$A:$Z,8,FALSE)+VLOOKUP($A6,A:AL,10,FALSE)-50</f>
        <v>109</v>
      </c>
      <c r="L6" s="3">
        <f>M6-1</f>
        <v>111</v>
      </c>
      <c r="M6" s="3">
        <v>112</v>
      </c>
      <c r="N6" s="3">
        <f>M6+2</f>
        <v>114</v>
      </c>
      <c r="O6" s="3">
        <f>N6+1</f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3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>Y6+2</f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>AND(IF(Y6="-",IF(AA6-W6&gt;3,TRUE,FALSE),TRUE),IF(M6="-",IF(O6-K6&gt;3,TRUE,FALSE),TRUE),C6&lt;E6,OR(E6&lt;F6,F6="-"),OR(F6&lt;H6,F6="-"),OR(H6&lt;I6,H6="-"),I6&lt;K6,OR(K6&lt;L6,L6="-"),OR(L6&lt;N6,L6="-"),OR(N6&lt;O6,N6="-"),O6&lt;Q6,OR(Q6&lt;R6,R6="-"),OR(R6&lt;T6,R6="-"),OR(T6&lt;U6,T6="-"),U6&lt;W6,OR(W6&lt;X6,X6="-"),OR(X6&lt;Z6,X6="-"),OR(Z6&lt;AA6,Z6="-"),AA6&lt;AC6,AC6&lt;AD6,AD6&lt;AF6,AF6&lt;AG6,AG6&lt;AI6,OR(AI6&lt;AJ6,AJ6="-"),OR(AJ6&lt;AL6,AJ6="-"))</f>
        <v>1</v>
      </c>
      <c r="AO6" s="3" t="str">
        <f>IF(ISERROR(MATCH(A6,'SegEnds_Xtal_Prot#'!B:B, 0)), "NoXtal", "Xtal")</f>
        <v>Xtal</v>
      </c>
      <c r="AP6" s="3">
        <f>IF(ISERROR(F6-E6),"-",F6-E6)</f>
        <v>1</v>
      </c>
      <c r="AQ6" s="3">
        <f>IF(ISERROR(I6-H6),"-",I6-H6)</f>
        <v>1</v>
      </c>
      <c r="AR6" s="3">
        <f>IF(ISERROR(L6-K6),"-",L6-K6)</f>
        <v>2</v>
      </c>
      <c r="AS6" s="3">
        <f>IF(ISERROR(O6-N6),"-",O6-N6)</f>
        <v>1</v>
      </c>
      <c r="AT6" s="3">
        <f>IF(ISERROR(R6-Q6),"-",R6-Q6)</f>
        <v>1</v>
      </c>
      <c r="AU6" s="3">
        <f>IF(ISERROR(U6-T6),"-",U6-T6)</f>
        <v>3</v>
      </c>
      <c r="AV6" s="3">
        <f>IF(ISERROR(X6-W6),"-",X6-W6)</f>
        <v>19</v>
      </c>
      <c r="AW6" s="3">
        <f>IF(ISERROR(AA6-Z6),"-",AA6-Z6)</f>
        <v>5</v>
      </c>
      <c r="AX6" s="3">
        <f>IF(ISERROR(AD6-AC6),"-",AD6-AC6)</f>
        <v>35</v>
      </c>
      <c r="AY6" s="3">
        <f>IF(ISERROR(AG6-AF6),"-",AG6-AF6)</f>
        <v>9</v>
      </c>
      <c r="AZ6" s="3">
        <f>IF(ISERROR(AJ6-AI6),"-",AJ6-AI6)</f>
        <v>1</v>
      </c>
      <c r="BA6" s="3">
        <f>IF(ISERROR(LEN(VLOOKUP(A6,Seqs!A:E,2,FALSE))-AL6),"-",LEN(VLOOKUP(A6,Seqs!A:E,2,FALSE))-AL6)</f>
        <v>52</v>
      </c>
      <c r="BB6" s="16">
        <f>J6-D6</f>
        <v>28</v>
      </c>
      <c r="BC6" s="9">
        <f>IF(ISERROR(V6-S6),"-",V6-S6)</f>
        <v>18</v>
      </c>
      <c r="BD6" s="3">
        <f>J6-D6</f>
        <v>28</v>
      </c>
      <c r="BE6" s="3">
        <f>AE6-AB6</f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>G7+1</f>
        <v>86</v>
      </c>
      <c r="I7" s="3">
        <f>H7+1</f>
        <v>87</v>
      </c>
      <c r="J7" s="3">
        <v>100</v>
      </c>
      <c r="K7" s="3">
        <f>VLOOKUP($A7,'SegEnds_NonXtal_BW#'!$A:$Z,8,FALSE)+VLOOKUP($A7,A:AL,10,FALSE)-50</f>
        <v>117</v>
      </c>
      <c r="L7" s="3">
        <f>M7-1</f>
        <v>119</v>
      </c>
      <c r="M7" s="3">
        <v>120</v>
      </c>
      <c r="N7" s="3">
        <f>M7+2</f>
        <v>122</v>
      </c>
      <c r="O7" s="3">
        <f>N7+1</f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3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>Y7+2</f>
        <v>212</v>
      </c>
      <c r="AA7" s="3">
        <f>IF(ISERROR(VLOOKUP($A7,'SegEnds_NonXtal_BW#'!$A:$Z,19,FALSE)+VLOOKUP($A7,A:AL,28,FALSE)-50),"-",(VLOOKUP($A7,'SegEnds_NonXtal_BW#'!$A:$Z,19,FALSE)+VLOOKUP($A7,A:AL,28,FALSE)-50))</f>
        <v>217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339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>AND(IF(Y7="-",IF(AA7-W7&gt;3,TRUE,FALSE),TRUE),IF(M7="-",IF(O7-K7&gt;3,TRUE,FALSE),TRUE),C7&lt;E7,OR(E7&lt;F7,F7="-"),OR(F7&lt;H7,F7="-"),OR(H7&lt;I7,H7="-"),I7&lt;K7,OR(K7&lt;L7,L7="-"),OR(L7&lt;N7,L7="-"),OR(N7&lt;O7,N7="-"),O7&lt;Q7,OR(Q7&lt;R7,R7="-"),OR(R7&lt;T7,R7="-"),OR(T7&lt;U7,T7="-"),U7&lt;W7,OR(W7&lt;X7,X7="-"),OR(X7&lt;Z7,X7="-"),OR(Z7&lt;AA7,Z7="-"),AA7&lt;AC7,AC7&lt;AD7,AD7&lt;AF7,AF7&lt;AG7,AG7&lt;AI7,OR(AI7&lt;AJ7,AJ7="-"),OR(AJ7&lt;AL7,AJ7="-"))</f>
        <v>1</v>
      </c>
      <c r="AO7" s="3" t="str">
        <f>IF(ISERROR(MATCH(A7,'SegEnds_Xtal_Prot#'!B:B, 0)), "NoXtal", "Xtal")</f>
        <v>Xtal</v>
      </c>
      <c r="AP7" s="3">
        <f>IF(ISERROR(F7-E7),"-",F7-E7)</f>
        <v>1</v>
      </c>
      <c r="AQ7" s="3">
        <f>IF(ISERROR(I7-H7),"-",I7-H7)</f>
        <v>1</v>
      </c>
      <c r="AR7" s="3">
        <f>IF(ISERROR(L7-K7),"-",L7-K7)</f>
        <v>2</v>
      </c>
      <c r="AS7" s="3">
        <f>IF(ISERROR(O7-N7),"-",O7-N7)</f>
        <v>1</v>
      </c>
      <c r="AT7" s="3">
        <f>IF(ISERROR(R7-Q7),"-",R7-Q7)</f>
        <v>1</v>
      </c>
      <c r="AU7" s="3">
        <f>IF(ISERROR(U7-T7),"-",U7-T7)</f>
        <v>3</v>
      </c>
      <c r="AV7" s="3">
        <f>IF(ISERROR(X7-W7),"-",X7-W7)</f>
        <v>19</v>
      </c>
      <c r="AW7" s="3">
        <f>IF(ISERROR(AA7-Z7),"-",AA7-Z7)</f>
        <v>5</v>
      </c>
      <c r="AX7" s="3">
        <f>IF(ISERROR(AD7-AC7),"-",AD7-AC7)</f>
        <v>33</v>
      </c>
      <c r="AY7" s="3">
        <f>IF(ISERROR(AG7-AF7),"-",AG7-AF7)</f>
        <v>9</v>
      </c>
      <c r="AZ7" s="3">
        <f>IF(ISERROR(AJ7-AI7),"-",AJ7-AI7)</f>
        <v>1</v>
      </c>
      <c r="BA7" s="3">
        <f>IF(ISERROR(LEN(VLOOKUP(A7,Seqs!A:E,2,FALSE))-AL7),"-",LEN(VLOOKUP(A7,Seqs!A:E,2,FALSE))-AL7)</f>
        <v>65</v>
      </c>
      <c r="BB7" s="16">
        <f>J7-D7</f>
        <v>28</v>
      </c>
      <c r="BC7" s="9">
        <f>IF(ISERROR(V7-S7),"-",V7-S7)</f>
        <v>18</v>
      </c>
      <c r="BD7" s="3">
        <f>J7-D7</f>
        <v>28</v>
      </c>
      <c r="BE7" s="3">
        <f>AE7-AB7</f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>G8+1</f>
        <v>92</v>
      </c>
      <c r="I8" s="3">
        <f>H8+1</f>
        <v>93</v>
      </c>
      <c r="J8" s="3">
        <v>106</v>
      </c>
      <c r="K8" s="3">
        <f>VLOOKUP($A8,'SegEnds_NonXtal_BW#'!$A:$Z,8,FALSE)+VLOOKUP($A8,A:AL,10,FALSE)-50</f>
        <v>123</v>
      </c>
      <c r="L8" s="3">
        <f>M8-1</f>
        <v>126</v>
      </c>
      <c r="M8" s="3">
        <v>127</v>
      </c>
      <c r="N8" s="3">
        <f>M8+2</f>
        <v>129</v>
      </c>
      <c r="O8" s="3">
        <f>N8+1</f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3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>Y8+2</f>
        <v>213</v>
      </c>
      <c r="AA8" s="3">
        <f>IF(ISERROR(VLOOKUP($A8,'SegEnds_NonXtal_BW#'!$A:$Z,19,FALSE)+VLOOKUP($A8,A:AL,28,FALSE)-50),"-",(VLOOKUP($A8,'SegEnds_NonXtal_BW#'!$A:$Z,19,FALSE)+VLOOKUP($A8,A:AL,28,FALSE)-50))</f>
        <v>219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>AND(IF(Y8="-",IF(AA8-W8&gt;3,TRUE,FALSE),TRUE),IF(M8="-",IF(O8-K8&gt;3,TRUE,FALSE),TRUE),C8&lt;E8,OR(E8&lt;F8,F8="-"),OR(F8&lt;H8,F8="-"),OR(H8&lt;I8,H8="-"),I8&lt;K8,OR(K8&lt;L8,L8="-"),OR(L8&lt;N8,L8="-"),OR(N8&lt;O8,N8="-"),O8&lt;Q8,OR(Q8&lt;R8,R8="-"),OR(R8&lt;T8,R8="-"),OR(T8&lt;U8,T8="-"),U8&lt;W8,OR(W8&lt;X8,X8="-"),OR(X8&lt;Z8,X8="-"),OR(Z8&lt;AA8,Z8="-"),AA8&lt;AC8,AC8&lt;AD8,AD8&lt;AF8,AF8&lt;AG8,AG8&lt;AI8,OR(AI8&lt;AJ8,AJ8="-"),OR(AJ8&lt;AL8,AJ8="-"))</f>
        <v>1</v>
      </c>
      <c r="AO8" s="3" t="str">
        <f>IF(ISERROR(MATCH(A8,'SegEnds_Xtal_Prot#'!B:B, 0)), "NoXtal", "Xtal")</f>
        <v>NoXtal</v>
      </c>
      <c r="AP8" s="3">
        <f>IF(ISERROR(F8-E8),"-",F8-E8)</f>
        <v>1</v>
      </c>
      <c r="AQ8" s="3">
        <f>IF(ISERROR(I8-H8),"-",I8-H8)</f>
        <v>1</v>
      </c>
      <c r="AR8" s="3">
        <f>IF(ISERROR(L8-K8),"-",L8-K8)</f>
        <v>3</v>
      </c>
      <c r="AS8" s="3">
        <f>IF(ISERROR(O8-N8),"-",O8-N8)</f>
        <v>1</v>
      </c>
      <c r="AT8" s="3">
        <f>IF(ISERROR(R8-Q8),"-",R8-Q8)</f>
        <v>1</v>
      </c>
      <c r="AU8" s="3">
        <f>IF(ISERROR(U8-T8),"-",U8-T8)</f>
        <v>3</v>
      </c>
      <c r="AV8" s="3">
        <f>IF(ISERROR(X8-W8),"-",X8-W8)</f>
        <v>13</v>
      </c>
      <c r="AW8" s="3">
        <f>IF(ISERROR(AA8-Z8),"-",AA8-Z8)</f>
        <v>6</v>
      </c>
      <c r="AX8" s="3">
        <f>IF(ISERROR(AD8-AC8),"-",AD8-AC8)</f>
        <v>5</v>
      </c>
      <c r="AY8" s="3">
        <f>IF(ISERROR(AG8-AF8),"-",AG8-AF8)</f>
        <v>6</v>
      </c>
      <c r="AZ8" s="3">
        <f>IF(ISERROR(AJ8-AI8),"-",AJ8-AI8)</f>
        <v>1</v>
      </c>
      <c r="BA8" s="3">
        <f>IF(ISERROR(LEN(VLOOKUP(A8,Seqs!A:E,2,FALSE))-AL8),"-",LEN(VLOOKUP(A8,Seqs!A:E,2,FALSE))-AL8)</f>
        <v>20</v>
      </c>
      <c r="BB8" s="16">
        <f>J8-D8</f>
        <v>28</v>
      </c>
      <c r="BC8" s="9">
        <f>IF(ISERROR(V8-S8),"-",V8-S8)</f>
        <v>18</v>
      </c>
      <c r="BD8" s="3">
        <f>J8-D8</f>
        <v>28</v>
      </c>
      <c r="BE8" s="3">
        <f>AE8-AB8</f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>M9-1</f>
        <v>109</v>
      </c>
      <c r="M9" s="3">
        <v>110</v>
      </c>
      <c r="N9" s="3">
        <f>M9+2</f>
        <v>112</v>
      </c>
      <c r="O9" s="3">
        <f>N9+1</f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3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>Y9+2</f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>AND(IF(Y9="-",IF(AA9-W9&gt;3,TRUE,FALSE),TRUE),IF(M9="-",IF(O9-K9&gt;3,TRUE,FALSE),TRUE),C9&lt;E9,OR(E9&lt;F9,F9="-"),OR(F9&lt;H9,F9="-"),OR(H9&lt;I9,H9="-"),I9&lt;K9,OR(K9&lt;L9,L9="-"),OR(L9&lt;N9,L9="-"),OR(N9&lt;O9,N9="-"),O9&lt;Q9,OR(Q9&lt;R9,R9="-"),OR(R9&lt;T9,R9="-"),OR(T9&lt;U9,T9="-"),U9&lt;W9,OR(W9&lt;X9,X9="-"),OR(X9&lt;Z9,X9="-"),OR(Z9&lt;AA9,Z9="-"),AA9&lt;AC9,AC9&lt;AD9,AD9&lt;AF9,AF9&lt;AG9,AG9&lt;AI9,OR(AI9&lt;AJ9,AJ9="-"),OR(AJ9&lt;AL9,AJ9="-"))</f>
        <v>1</v>
      </c>
      <c r="AO9" s="3" t="str">
        <f>IF(ISERROR(MATCH(A9,'SegEnds_Xtal_Prot#'!B:B, 0)), "NoXtal", "Xtal")</f>
        <v>Xtal</v>
      </c>
      <c r="AP9" s="3" t="str">
        <f>IF(ISERROR(F9-E9),"-",F9-E9)</f>
        <v>-</v>
      </c>
      <c r="AQ9" s="3" t="str">
        <f>IF(ISERROR(I9-H9),"-",I9-H9)</f>
        <v>-</v>
      </c>
      <c r="AR9" s="3">
        <f>IF(ISERROR(L9-K9),"-",L9-K9)</f>
        <v>3</v>
      </c>
      <c r="AS9" s="3">
        <f>IF(ISERROR(O9-N9),"-",O9-N9)</f>
        <v>1</v>
      </c>
      <c r="AT9" s="3">
        <f>IF(ISERROR(R9-Q9),"-",R9-Q9)</f>
        <v>1</v>
      </c>
      <c r="AU9" s="3">
        <f>IF(ISERROR(U9-T9),"-",U9-T9)</f>
        <v>1</v>
      </c>
      <c r="AV9" s="3">
        <f>IF(ISERROR(X9-W9),"-",X9-W9)</f>
        <v>13</v>
      </c>
      <c r="AW9" s="3">
        <f>IF(ISERROR(AA9-Z9),"-",AA9-Z9)</f>
        <v>6</v>
      </c>
      <c r="AX9" s="3">
        <f>IF(ISERROR(AD9-AC9),"-",AD9-AC9)</f>
        <v>4</v>
      </c>
      <c r="AY9" s="3">
        <f>IF(ISERROR(AG9-AF9),"-",AG9-AF9)</f>
        <v>4</v>
      </c>
      <c r="AZ9" s="3">
        <f>IF(ISERROR(AJ9-AI9),"-",AJ9-AI9)</f>
        <v>1</v>
      </c>
      <c r="BA9" s="3">
        <f>IF(ISERROR(LEN(VLOOKUP(A9,Seqs!A:E,2,FALSE))-AL9),"-",LEN(VLOOKUP(A9,Seqs!A:E,2,FALSE))-AL9)</f>
        <v>27</v>
      </c>
      <c r="BB9" s="16">
        <f>J9-D9</f>
        <v>28</v>
      </c>
      <c r="BC9" s="9">
        <f>IF(ISERROR(V9-S9),"-",V9-S9)</f>
        <v>19</v>
      </c>
      <c r="BD9" s="3">
        <f>J9-D9</f>
        <v>28</v>
      </c>
      <c r="BE9" s="3">
        <f>AE9-AB9</f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>M10-1</f>
        <v>102</v>
      </c>
      <c r="M10" s="3">
        <v>103</v>
      </c>
      <c r="N10" s="3">
        <f>M10+2</f>
        <v>105</v>
      </c>
      <c r="O10" s="3">
        <f>N10+1</f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3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>Y10+2</f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>AND(IF(Y10="-",IF(AA10-W10&gt;3,TRUE,FALSE),TRUE),IF(M10="-",IF(O10-K10&gt;3,TRUE,FALSE),TRUE),C10&lt;E10,OR(E10&lt;F10,F10="-"),OR(F10&lt;H10,F10="-"),OR(H10&lt;I10,H10="-"),I10&lt;K10,OR(K10&lt;L10,L10="-"),OR(L10&lt;N10,L10="-"),OR(N10&lt;O10,N10="-"),O10&lt;Q10,OR(Q10&lt;R10,R10="-"),OR(R10&lt;T10,R10="-"),OR(T10&lt;U10,T10="-"),U10&lt;W10,OR(W10&lt;X10,X10="-"),OR(X10&lt;Z10,X10="-"),OR(Z10&lt;AA10,Z10="-"),AA10&lt;AC10,AC10&lt;AD10,AD10&lt;AF10,AF10&lt;AG10,AG10&lt;AI10,OR(AI10&lt;AJ10,AJ10="-"),OR(AJ10&lt;AL10,AJ10="-"))</f>
        <v>1</v>
      </c>
      <c r="AO10" s="3" t="str">
        <f>IF(ISERROR(MATCH(A10,'SegEnds_Xtal_Prot#'!B:B, 0)), "NoXtal", "Xtal")</f>
        <v>NoXtal</v>
      </c>
      <c r="AP10" s="3">
        <f>IF(ISERROR(F10-E10),"-",F10-E10)</f>
        <v>1</v>
      </c>
      <c r="AQ10" s="3">
        <f>IF(ISERROR(I10-H10),"-",I10-H10)</f>
        <v>1</v>
      </c>
      <c r="AR10" s="3">
        <f>IF(ISERROR(L10-K10),"-",L10-K10)</f>
        <v>1</v>
      </c>
      <c r="AS10" s="3">
        <f>IF(ISERROR(O10-N10),"-",O10-N10)</f>
        <v>1</v>
      </c>
      <c r="AT10" s="3">
        <f>IF(ISERROR(R10-Q10),"-",R10-Q10)</f>
        <v>1</v>
      </c>
      <c r="AU10" s="3">
        <f>IF(ISERROR(U10-T10),"-",U10-T10)</f>
        <v>1</v>
      </c>
      <c r="AV10" s="3">
        <f>IF(ISERROR(X10-W10),"-",X10-W10)</f>
        <v>12</v>
      </c>
      <c r="AW10" s="3">
        <f>IF(ISERROR(AA10-Z10),"-",AA10-Z10)</f>
        <v>6</v>
      </c>
      <c r="AX10" s="3">
        <f>IF(ISERROR(AD10-AC10),"-",AD10-AC10)</f>
        <v>5</v>
      </c>
      <c r="AY10" s="3">
        <f>IF(ISERROR(AG10-AF10),"-",AG10-AF10)</f>
        <v>5</v>
      </c>
      <c r="AZ10" s="3">
        <f>IF(ISERROR(AJ10-AI10),"-",AJ10-AI10)</f>
        <v>1</v>
      </c>
      <c r="BA10" s="3">
        <f>IF(ISERROR(LEN(VLOOKUP(A10,Seqs!A:E,2,FALSE))-AL10),"-",LEN(VLOOKUP(A10,Seqs!A:E,2,FALSE))-AL10)</f>
        <v>30</v>
      </c>
      <c r="BB10" s="16">
        <f>J10-D10</f>
        <v>28</v>
      </c>
      <c r="BC10" s="9">
        <f>IF(ISERROR(V10-S10),"-",V10-S10)</f>
        <v>19</v>
      </c>
      <c r="BD10" s="3">
        <f>J10-D10</f>
        <v>28</v>
      </c>
      <c r="BE10" s="3">
        <f>AE10-AB10</f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>M11-1</f>
        <v>111</v>
      </c>
      <c r="M11" s="3">
        <v>112</v>
      </c>
      <c r="N11" s="3">
        <f>M11+2</f>
        <v>114</v>
      </c>
      <c r="O11" s="3">
        <f>N11+1</f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3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>Y11+2</f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>AND(IF(Y11="-",IF(AA11-W11&gt;3,TRUE,FALSE),TRUE),IF(M11="-",IF(O11-K11&gt;3,TRUE,FALSE),TRUE),C11&lt;E11,OR(E11&lt;F11,F11="-"),OR(F11&lt;H11,F11="-"),OR(H11&lt;I11,H11="-"),I11&lt;K11,OR(K11&lt;L11,L11="-"),OR(L11&lt;N11,L11="-"),OR(N11&lt;O11,N11="-"),O11&lt;Q11,OR(Q11&lt;R11,R11="-"),OR(R11&lt;T11,R11="-"),OR(T11&lt;U11,T11="-"),U11&lt;W11,OR(W11&lt;X11,X11="-"),OR(X11&lt;Z11,X11="-"),OR(Z11&lt;AA11,Z11="-"),AA11&lt;AC11,AC11&lt;AD11,AD11&lt;AF11,AF11&lt;AG11,AG11&lt;AI11,OR(AI11&lt;AJ11,AJ11="-"),OR(AJ11&lt;AL11,AJ11="-"))</f>
        <v>1</v>
      </c>
      <c r="AO11" s="3" t="str">
        <f>IF(ISERROR(MATCH(A11,'SegEnds_Xtal_Prot#'!B:B, 0)), "NoXtal", "Xtal")</f>
        <v>NoXtal</v>
      </c>
      <c r="AP11" s="3">
        <f>IF(ISERROR(F11-E11),"-",F11-E11)</f>
        <v>1</v>
      </c>
      <c r="AQ11" s="3">
        <f>IF(ISERROR(I11-H11),"-",I11-H11)</f>
        <v>1</v>
      </c>
      <c r="AR11" s="3">
        <f>IF(ISERROR(L11-K11),"-",L11-K11)</f>
        <v>1</v>
      </c>
      <c r="AS11" s="3">
        <f>IF(ISERROR(O11-N11),"-",O11-N11)</f>
        <v>1</v>
      </c>
      <c r="AT11" s="3">
        <f>IF(ISERROR(R11-Q11),"-",R11-Q11)</f>
        <v>1</v>
      </c>
      <c r="AU11" s="3">
        <f>IF(ISERROR(U11-T11),"-",U11-T11)</f>
        <v>1</v>
      </c>
      <c r="AV11" s="3">
        <f>IF(ISERROR(X11-W11),"-",X11-W11)</f>
        <v>12</v>
      </c>
      <c r="AW11" s="3">
        <f>IF(ISERROR(AA11-Z11),"-",AA11-Z11)</f>
        <v>8</v>
      </c>
      <c r="AX11" s="3">
        <f>IF(ISERROR(AD11-AC11),"-",AD11-AC11)</f>
        <v>5</v>
      </c>
      <c r="AY11" s="3">
        <f>IF(ISERROR(AG11-AF11),"-",AG11-AF11)</f>
        <v>5</v>
      </c>
      <c r="AZ11" s="3">
        <f>IF(ISERROR(AJ11-AI11),"-",AJ11-AI11)</f>
        <v>1</v>
      </c>
      <c r="BA11" s="3">
        <f>IF(ISERROR(LEN(VLOOKUP(A11,Seqs!A:E,2,FALSE))-AL11),"-",LEN(VLOOKUP(A11,Seqs!A:E,2,FALSE))-AL11)</f>
        <v>22</v>
      </c>
      <c r="BB11" s="16">
        <f>J11-D11</f>
        <v>28</v>
      </c>
      <c r="BC11" s="9">
        <f>IF(ISERROR(V11-S11),"-",V11-S11)</f>
        <v>19</v>
      </c>
      <c r="BD11" s="3">
        <f>J11-D11</f>
        <v>28</v>
      </c>
      <c r="BE11" s="3">
        <f>AE11-AB11</f>
        <v>43</v>
      </c>
    </row>
    <row r="12" spans="1:59" s="3" customFormat="1" x14ac:dyDescent="0.2">
      <c r="A12" s="3" t="s">
        <v>216</v>
      </c>
      <c r="B12" s="3" t="str">
        <f>LOWER(VLOOKUP(A12,Xtal_Templ!A:B,2,FALSE))</f>
        <v>ntr1_rat</v>
      </c>
      <c r="C12" s="3">
        <f>VLOOKUP($A12,'SegEnds_NonXtal_BW#'!$A:$Z,3,FALSE)+D12-50</f>
        <v>23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3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166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177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300</v>
      </c>
      <c r="AM12" s="28" t="str">
        <f>VLOOKUP(A12,Classification!A:B,2,FALSE)</f>
        <v>A</v>
      </c>
      <c r="AN12" s="28" t="b">
        <f>AND(IF(Y12="-",IF(AA12-W12&gt;3,TRUE,FALSE),TRUE),IF(M12="-",IF(O12-K12&gt;3,TRUE,FALSE),TRUE),C12&lt;E12,OR(E12&lt;F12,F12="-"),OR(F12&lt;H12,F12="-"),OR(H12&lt;I12,H12="-"),I12&lt;K12,OR(K12&lt;L12,L12="-"),OR(L12&lt;N12,L12="-"),OR(N12&lt;O12,N12="-"),O12&lt;Q12,OR(Q12&lt;R12,R12="-"),OR(R12&lt;T12,R12="-"),OR(T12&lt;U12,T12="-"),U12&lt;W12,OR(W12&lt;X12,X12="-"),OR(X12&lt;Z12,X12="-"),OR(Z12&lt;AA12,Z12="-"),AA12&lt;AC12,AC12&lt;AD12,AD12&lt;AF12,AF12&lt;AG12,AG12&lt;AI12,OR(AI12&lt;AJ12,AJ12="-"),OR(AJ12&lt;AL12,AJ12="-"))</f>
        <v>1</v>
      </c>
      <c r="AO12" s="3" t="str">
        <f>IF(ISERROR(MATCH(A12,'SegEnds_Xtal_Prot#'!B:B, 0)), "NoXtal", "Xtal")</f>
        <v>NoXtal</v>
      </c>
      <c r="AP12" s="3" t="str">
        <f>IF(ISERROR(F12-E12),"-",F12-E12)</f>
        <v>-</v>
      </c>
      <c r="AQ12" s="3" t="str">
        <f>IF(ISERROR(I12-H12),"-",I12-H12)</f>
        <v>-</v>
      </c>
      <c r="AR12" s="3" t="str">
        <f>IF(ISERROR(L12-K12),"-",L12-K12)</f>
        <v>-</v>
      </c>
      <c r="AS12" s="3" t="str">
        <f>IF(ISERROR(O12-N12),"-",O12-N12)</f>
        <v>-</v>
      </c>
      <c r="AT12" s="3">
        <f>IF(ISERROR(R12-Q12),"-",R12-Q12)</f>
        <v>1</v>
      </c>
      <c r="AU12" s="3">
        <f>IF(ISERROR(U12-T12),"-",U12-T12)</f>
        <v>1</v>
      </c>
      <c r="AV12" s="3" t="str">
        <f>IF(ISERROR(X12-W12),"-",X12-W12)</f>
        <v>-</v>
      </c>
      <c r="AW12" s="3" t="str">
        <f>IF(ISERROR(AA12-Z12),"-",AA12-Z12)</f>
        <v>-</v>
      </c>
      <c r="AX12" s="3">
        <f>IF(ISERROR(AD12-AC12),"-",AD12-AC12)</f>
        <v>4</v>
      </c>
      <c r="AY12" s="3">
        <f>IF(ISERROR(AG12-AF12),"-",AG12-AF12)</f>
        <v>6</v>
      </c>
      <c r="AZ12" s="3">
        <f>IF(ISERROR(AJ12-AI12),"-",AJ12-AI12)</f>
        <v>1</v>
      </c>
      <c r="BA12" s="3">
        <f>IF(ISERROR(LEN(VLOOKUP(A12,Seqs!A:E,2,FALSE))-AL12),"-",LEN(VLOOKUP(A12,Seqs!A:E,2,FALSE))-AL12)</f>
        <v>53</v>
      </c>
      <c r="BB12" s="16">
        <f>J12-D12</f>
        <v>29</v>
      </c>
      <c r="BC12" s="9">
        <f>IF(ISERROR(V12-S12),"-",V12-S12)</f>
        <v>19</v>
      </c>
      <c r="BD12" s="3">
        <f>J12-D12</f>
        <v>29</v>
      </c>
      <c r="BE12" s="3">
        <f>AE12-AB12</f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5ht2b_human</v>
      </c>
      <c r="C13" s="3">
        <f>VLOOKUP($A13,'SegEnds_NonXtal_BW#'!$A:$Z,3,FALSE)+D13-50</f>
        <v>156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3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296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429</v>
      </c>
      <c r="AM13" s="28" t="str">
        <f>VLOOKUP(A13,Classification!A:B,2,FALSE)</f>
        <v>A</v>
      </c>
      <c r="AN13" s="28" t="b">
        <f>AND(IF(Y13="-",IF(AA13-W13&gt;3,TRUE,FALSE),TRUE),IF(M13="-",IF(O13-K13&gt;3,TRUE,FALSE),TRUE),C13&lt;E13,OR(E13&lt;F13,F13="-"),OR(F13&lt;H13,F13="-"),OR(H13&lt;I13,H13="-"),I13&lt;K13,OR(K13&lt;L13,L13="-"),OR(L13&lt;N13,L13="-"),OR(N13&lt;O13,N13="-"),O13&lt;Q13,OR(Q13&lt;R13,R13="-"),OR(R13&lt;T13,R13="-"),OR(T13&lt;U13,T13="-"),U13&lt;W13,OR(W13&lt;X13,X13="-"),OR(X13&lt;Z13,X13="-"),OR(Z13&lt;AA13,Z13="-"),AA13&lt;AC13,AC13&lt;AD13,AD13&lt;AF13,AF13&lt;AG13,AG13&lt;AI13,OR(AI13&lt;AJ13,AJ13="-"),OR(AJ13&lt;AL13,AJ13="-"))</f>
        <v>1</v>
      </c>
      <c r="AO13" s="3" t="str">
        <f>IF(ISERROR(MATCH(A13,'SegEnds_Xtal_Prot#'!B:B, 0)), "NoXtal", "Xtal")</f>
        <v>NoXtal</v>
      </c>
      <c r="AP13" s="3" t="str">
        <f>IF(ISERROR(F13-E13),"-",F13-E13)</f>
        <v>-</v>
      </c>
      <c r="AQ13" s="3" t="str">
        <f>IF(ISERROR(I13-H13),"-",I13-H13)</f>
        <v>-</v>
      </c>
      <c r="AR13" s="3" t="str">
        <f>IF(ISERROR(L13-K13),"-",L13-K13)</f>
        <v>-</v>
      </c>
      <c r="AS13" s="3" t="str">
        <f>IF(ISERROR(O13-N13),"-",O13-N13)</f>
        <v>-</v>
      </c>
      <c r="AT13" s="3">
        <f>IF(ISERROR(R13-Q13),"-",R13-Q13)</f>
        <v>1</v>
      </c>
      <c r="AU13" s="3">
        <f>IF(ISERROR(U13-T13),"-",U13-T13)</f>
        <v>1</v>
      </c>
      <c r="AV13" s="3" t="str">
        <f>IF(ISERROR(X13-W13),"-",X13-W13)</f>
        <v>-</v>
      </c>
      <c r="AW13" s="3" t="str">
        <f>IF(ISERROR(AA13-Z13),"-",AA13-Z13)</f>
        <v>-</v>
      </c>
      <c r="AX13" s="3">
        <f>IF(ISERROR(AD13-AC13),"-",AD13-AC13)</f>
        <v>6</v>
      </c>
      <c r="AY13" s="3">
        <f>IF(ISERROR(AG13-AF13),"-",AG13-AF13)</f>
        <v>6</v>
      </c>
      <c r="AZ13" s="3">
        <f>IF(ISERROR(AJ13-AI13),"-",AJ13-AI13)</f>
        <v>1</v>
      </c>
      <c r="BA13" s="3">
        <f>IF(ISERROR(LEN(VLOOKUP(A13,Seqs!A:E,2,FALSE))-AL13),"-",LEN(VLOOKUP(A13,Seqs!A:E,2,FALSE))-AL13)</f>
        <v>33</v>
      </c>
      <c r="BB13" s="16">
        <f>J13-D13</f>
        <v>29</v>
      </c>
      <c r="BC13" s="9">
        <f>IF(ISERROR(V13-S13),"-",V13-S13)</f>
        <v>19</v>
      </c>
      <c r="BD13" s="3">
        <f>J13-D13</f>
        <v>29</v>
      </c>
      <c r="BE13" s="3">
        <f>AE13-AB13</f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3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>AND(IF(Y14="-",IF(AA14-W14&gt;3,TRUE,FALSE),TRUE),IF(M14="-",IF(O14-K14&gt;3,TRUE,FALSE),TRUE),C14&lt;E14,OR(E14&lt;F14,F14="-"),OR(F14&lt;H14,F14="-"),OR(H14&lt;I14,H14="-"),I14&lt;K14,OR(K14&lt;L14,L14="-"),OR(L14&lt;N14,L14="-"),OR(N14&lt;O14,N14="-"),O14&lt;Q14,OR(Q14&lt;R14,R14="-"),OR(R14&lt;T14,R14="-"),OR(T14&lt;U14,T14="-"),U14&lt;W14,OR(W14&lt;X14,X14="-"),OR(X14&lt;Z14,X14="-"),OR(Z14&lt;AA14,Z14="-"),AA14&lt;AC14,AC14&lt;AD14,AD14&lt;AF14,AF14&lt;AG14,AG14&lt;AI14,OR(AI14&lt;AJ14,AJ14="-"),OR(AJ14&lt;AL14,AJ14="-"))</f>
        <v>1</v>
      </c>
      <c r="AO14" s="3" t="str">
        <f>IF(ISERROR(MATCH(A14,'SegEnds_Xtal_Prot#'!B:B, 0)), "NoXtal", "Xtal")</f>
        <v>NoXtal</v>
      </c>
      <c r="AP14" s="3" t="str">
        <f>IF(ISERROR(F14-E14),"-",F14-E14)</f>
        <v>-</v>
      </c>
      <c r="AQ14" s="3" t="str">
        <f>IF(ISERROR(I14-H14),"-",I14-H14)</f>
        <v>-</v>
      </c>
      <c r="AR14" s="3">
        <f>IF(ISERROR(L14-K14),"-",L14-K14)</f>
        <v>3</v>
      </c>
      <c r="AS14" s="3">
        <f>IF(ISERROR(O14-N14),"-",O14-N14)</f>
        <v>1</v>
      </c>
      <c r="AT14" s="3">
        <f>IF(ISERROR(R14-Q14),"-",R14-Q14)</f>
        <v>1</v>
      </c>
      <c r="AU14" s="3">
        <f>IF(ISERROR(U14-T14),"-",U14-T14)</f>
        <v>1</v>
      </c>
      <c r="AV14" s="3">
        <f>IF(ISERROR(X14-W14),"-",X14-W14)</f>
        <v>11</v>
      </c>
      <c r="AW14" s="3">
        <f>IF(ISERROR(AA14-Z14),"-",AA14-Z14)</f>
        <v>5</v>
      </c>
      <c r="AX14" s="3">
        <f>IF(ISERROR(AD14-AC14),"-",AD14-AC14)</f>
        <v>6</v>
      </c>
      <c r="AY14" s="3">
        <f>IF(ISERROR(AG14-AF14),"-",AG14-AF14)</f>
        <v>5</v>
      </c>
      <c r="AZ14" s="3">
        <f>IF(ISERROR(AJ14-AI14),"-",AJ14-AI14)</f>
        <v>1</v>
      </c>
      <c r="BA14" s="3">
        <f>IF(ISERROR(LEN(VLOOKUP(A14,Seqs!A:E,2,FALSE))-AL14),"-",LEN(VLOOKUP(A14,Seqs!A:E,2,FALSE))-AL14)</f>
        <v>95</v>
      </c>
      <c r="BB14" s="16">
        <f>J14-D14</f>
        <v>30</v>
      </c>
      <c r="BC14" s="9">
        <f>IF(ISERROR(V14-S14),"-",V14-S14)</f>
        <v>19</v>
      </c>
      <c r="BD14" s="3">
        <f>J14-D14</f>
        <v>30</v>
      </c>
      <c r="BE14" s="3">
        <f>AE14-AB14</f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>N15+1</f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3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>AND(IF(Y15="-",IF(AA15-W15&gt;3,TRUE,FALSE),TRUE),IF(M15="-",IF(O15-K15&gt;3,TRUE,FALSE),TRUE),C15&lt;E15,OR(E15&lt;F15,F15="-"),OR(F15&lt;H15,F15="-"),OR(H15&lt;I15,H15="-"),I15&lt;K15,OR(K15&lt;L15,L15="-"),OR(L15&lt;N15,L15="-"),OR(N15&lt;O15,N15="-"),O15&lt;Q15,OR(Q15&lt;R15,R15="-"),OR(R15&lt;T15,R15="-"),OR(T15&lt;U15,T15="-"),U15&lt;W15,OR(W15&lt;X15,X15="-"),OR(X15&lt;Z15,X15="-"),OR(Z15&lt;AA15,Z15="-"),AA15&lt;AC15,AC15&lt;AD15,AD15&lt;AF15,AF15&lt;AG15,AG15&lt;AI15,OR(AI15&lt;AJ15,AJ15="-"),OR(AJ15&lt;AL15,AJ15="-"))</f>
        <v>1</v>
      </c>
      <c r="AO15" s="3" t="str">
        <f>IF(ISERROR(MATCH(A15,'SegEnds_Xtal_Prot#'!B:B, 0)), "NoXtal", "Xtal")</f>
        <v>NoXtal</v>
      </c>
      <c r="AP15" s="3" t="str">
        <f>IF(ISERROR(F15-E15),"-",F15-E15)</f>
        <v>-</v>
      </c>
      <c r="AQ15" s="3" t="str">
        <f>IF(ISERROR(I15-H15),"-",I15-H15)</f>
        <v>-</v>
      </c>
      <c r="AR15" s="3">
        <f>IF(ISERROR(L15-K15),"-",L15-K15)</f>
        <v>2</v>
      </c>
      <c r="AS15" s="3">
        <f>IF(ISERROR(O15-N15),"-",O15-N15)</f>
        <v>1</v>
      </c>
      <c r="AT15" s="3">
        <f>IF(ISERROR(R15-Q15),"-",R15-Q15)</f>
        <v>1</v>
      </c>
      <c r="AU15" s="3">
        <f>IF(ISERROR(U15-T15),"-",U15-T15)</f>
        <v>1</v>
      </c>
      <c r="AV15" s="3">
        <f>IF(ISERROR(X15-W15),"-",X15-W15)</f>
        <v>12</v>
      </c>
      <c r="AW15" s="3">
        <f>IF(ISERROR(AA15-Z15),"-",AA15-Z15)</f>
        <v>9</v>
      </c>
      <c r="AX15" s="3">
        <f>IF(ISERROR(AD15-AC15),"-",AD15-AC15)</f>
        <v>4</v>
      </c>
      <c r="AY15" s="3">
        <f>IF(ISERROR(AG15-AF15),"-",AG15-AF15)</f>
        <v>4</v>
      </c>
      <c r="AZ15" s="3">
        <f>IF(ISERROR(AJ15-AI15),"-",AJ15-AI15)</f>
        <v>1</v>
      </c>
      <c r="BA15" s="3">
        <f>IF(ISERROR(LEN(VLOOKUP(A15,Seqs!A:E,2,FALSE))-AL15),"-",LEN(VLOOKUP(A15,Seqs!A:E,2,FALSE))-AL15)</f>
        <v>25</v>
      </c>
      <c r="BB15" s="16">
        <f>J15-D15</f>
        <v>28</v>
      </c>
      <c r="BC15" s="9">
        <f>IF(ISERROR(V15-S15),"-",V15-S15)</f>
        <v>19</v>
      </c>
      <c r="BD15" s="3">
        <f>J15-D15</f>
        <v>28</v>
      </c>
      <c r="BE15" s="3">
        <f>AE15-AB15</f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>G16-2</f>
        <v>78</v>
      </c>
      <c r="G16" s="3">
        <v>80</v>
      </c>
      <c r="H16" s="3">
        <f>G16+1</f>
        <v>81</v>
      </c>
      <c r="I16" s="3">
        <f>H16+1</f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>N16+1</f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3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>AND(IF(Y16="-",IF(AA16-W16&gt;3,TRUE,FALSE),TRUE),IF(M16="-",IF(O16-K16&gt;3,TRUE,FALSE),TRUE),C16&lt;E16,OR(E16&lt;F16,F16="-"),OR(F16&lt;H16,F16="-"),OR(H16&lt;I16,H16="-"),I16&lt;K16,OR(K16&lt;L16,L16="-"),OR(L16&lt;N16,L16="-"),OR(N16&lt;O16,N16="-"),O16&lt;Q16,OR(Q16&lt;R16,R16="-"),OR(R16&lt;T16,R16="-"),OR(T16&lt;U16,T16="-"),U16&lt;W16,OR(W16&lt;X16,X16="-"),OR(X16&lt;Z16,X16="-"),OR(Z16&lt;AA16,Z16="-"),AA16&lt;AC16,AC16&lt;AD16,AD16&lt;AF16,AF16&lt;AG16,AG16&lt;AI16,OR(AI16&lt;AJ16,AJ16="-"),OR(AJ16&lt;AL16,AJ16="-"))</f>
        <v>1</v>
      </c>
      <c r="AO16" s="3" t="str">
        <f>IF(ISERROR(MATCH(A16,'SegEnds_Xtal_Prot#'!B:B, 0)), "NoXtal", "Xtal")</f>
        <v>Xtal</v>
      </c>
      <c r="AP16" s="3">
        <f>IF(ISERROR(F16-E16),"-",F16-E16)</f>
        <v>1</v>
      </c>
      <c r="AQ16" s="3">
        <f>IF(ISERROR(I16-H16),"-",I16-H16)</f>
        <v>1</v>
      </c>
      <c r="AR16" s="3">
        <f>IF(ISERROR(L16-K16),"-",L16-K16)</f>
        <v>2</v>
      </c>
      <c r="AS16" s="3">
        <f>IF(ISERROR(O16-N16),"-",O16-N16)</f>
        <v>1</v>
      </c>
      <c r="AT16" s="3">
        <f>IF(ISERROR(R16-Q16),"-",R16-Q16)</f>
        <v>1</v>
      </c>
      <c r="AU16" s="3">
        <f>IF(ISERROR(U16-T16),"-",U16-T16)</f>
        <v>1</v>
      </c>
      <c r="AV16" s="3" t="str">
        <f>IF(ISERROR(X16-W16),"-",X16-W16)</f>
        <v>-</v>
      </c>
      <c r="AW16" s="3" t="str">
        <f>IF(ISERROR(AA16-Z16),"-",AA16-Z16)</f>
        <v>-</v>
      </c>
      <c r="AX16" s="3">
        <f>IF(ISERROR(AD16-AC16),"-",AD16-AC16)</f>
        <v>5</v>
      </c>
      <c r="AY16" s="3">
        <f>IF(ISERROR(AG16-AF16),"-",AG16-AF16)</f>
        <v>4</v>
      </c>
      <c r="AZ16" s="3">
        <f>IF(ISERROR(AJ16-AI16),"-",AJ16-AI16)</f>
        <v>1</v>
      </c>
      <c r="BA16" s="3">
        <f>IF(ISERROR(LEN(VLOOKUP(A16,Seqs!A:E,2,FALSE))-AL16),"-",LEN(VLOOKUP(A16,Seqs!A:E,2,FALSE))-AL16)</f>
        <v>37</v>
      </c>
      <c r="BB16" s="16">
        <f>J16-D16</f>
        <v>28</v>
      </c>
      <c r="BC16" s="9">
        <f>IF(ISERROR(V16-S16),"-",V16-S16)</f>
        <v>19</v>
      </c>
      <c r="BD16" s="3">
        <f>J16-D16</f>
        <v>28</v>
      </c>
      <c r="BE16" s="3">
        <f>AE16-AB16</f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>G17-2</f>
        <v>61</v>
      </c>
      <c r="G17" s="3">
        <v>63</v>
      </c>
      <c r="H17" s="3">
        <f>G17+1</f>
        <v>64</v>
      </c>
      <c r="I17" s="3">
        <f>H17+1</f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>N17+1</f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3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>AND(IF(Y17="-",IF(AA17-W17&gt;3,TRUE,FALSE),TRUE),IF(M17="-",IF(O17-K17&gt;3,TRUE,FALSE),TRUE),C17&lt;E17,OR(E17&lt;F17,F17="-"),OR(F17&lt;H17,F17="-"),OR(H17&lt;I17,H17="-"),I17&lt;K17,OR(K17&lt;L17,L17="-"),OR(L17&lt;N17,L17="-"),OR(N17&lt;O17,N17="-"),O17&lt;Q17,OR(Q17&lt;R17,R17="-"),OR(R17&lt;T17,R17="-"),OR(T17&lt;U17,T17="-"),U17&lt;W17,OR(W17&lt;X17,X17="-"),OR(X17&lt;Z17,X17="-"),OR(Z17&lt;AA17,Z17="-"),AA17&lt;AC17,AC17&lt;AD17,AD17&lt;AF17,AF17&lt;AG17,AG17&lt;AI17,OR(AI17&lt;AJ17,AJ17="-"),OR(AJ17&lt;AL17,AJ17="-"))</f>
        <v>1</v>
      </c>
      <c r="AO17" s="3" t="str">
        <f>IF(ISERROR(MATCH(A17,'SegEnds_Xtal_Prot#'!B:B, 0)), "NoXtal", "Xtal")</f>
        <v>NoXtal</v>
      </c>
      <c r="AP17" s="3">
        <f>IF(ISERROR(F17-E17),"-",F17-E17)</f>
        <v>1</v>
      </c>
      <c r="AQ17" s="3">
        <f>IF(ISERROR(I17-H17),"-",I17-H17)</f>
        <v>1</v>
      </c>
      <c r="AR17" s="3">
        <f>IF(ISERROR(L17-K17),"-",L17-K17)</f>
        <v>2</v>
      </c>
      <c r="AS17" s="3">
        <f>IF(ISERROR(O17-N17),"-",O17-N17)</f>
        <v>1</v>
      </c>
      <c r="AT17" s="3">
        <f>IF(ISERROR(R17-Q17),"-",R17-Q17)</f>
        <v>1</v>
      </c>
      <c r="AU17" s="3">
        <f>IF(ISERROR(U17-T17),"-",U17-T17)</f>
        <v>1</v>
      </c>
      <c r="AV17" s="3" t="str">
        <f>IF(ISERROR(X17-W17),"-",X17-W17)</f>
        <v>-</v>
      </c>
      <c r="AW17" s="3" t="str">
        <f>IF(ISERROR(AA17-Z17),"-",AA17-Z17)</f>
        <v>-</v>
      </c>
      <c r="AX17" s="3">
        <f>IF(ISERROR(AD17-AC17),"-",AD17-AC17)</f>
        <v>5</v>
      </c>
      <c r="AY17" s="3">
        <f>IF(ISERROR(AG17-AF17),"-",AG17-AF17)</f>
        <v>5</v>
      </c>
      <c r="AZ17" s="3">
        <f>IF(ISERROR(AJ17-AI17),"-",AJ17-AI17)</f>
        <v>1</v>
      </c>
      <c r="BA17" s="3">
        <f>IF(ISERROR(LEN(VLOOKUP(A17,Seqs!A:E,2,FALSE))-AL17),"-",LEN(VLOOKUP(A17,Seqs!A:E,2,FALSE))-AL17)</f>
        <v>40</v>
      </c>
      <c r="BB17" s="16">
        <f>J17-D17</f>
        <v>28</v>
      </c>
      <c r="BC17" s="9">
        <f>IF(ISERROR(V17-S17),"-",V17-S17)</f>
        <v>19</v>
      </c>
      <c r="BD17" s="3">
        <f>J17-D17</f>
        <v>28</v>
      </c>
      <c r="BE17" s="3">
        <f>AE17-AB17</f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>G18-2</f>
        <v>59</v>
      </c>
      <c r="G18" s="3">
        <v>61</v>
      </c>
      <c r="H18" s="3">
        <f>G18+1</f>
        <v>62</v>
      </c>
      <c r="I18" s="3">
        <f>H18+1</f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>N18+1</f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3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>AND(IF(Y18="-",IF(AA18-W18&gt;3,TRUE,FALSE),TRUE),IF(M18="-",IF(O18-K18&gt;3,TRUE,FALSE),TRUE),C18&lt;E18,OR(E18&lt;F18,F18="-"),OR(F18&lt;H18,F18="-"),OR(H18&lt;I18,H18="-"),I18&lt;K18,OR(K18&lt;L18,L18="-"),OR(L18&lt;N18,L18="-"),OR(N18&lt;O18,N18="-"),O18&lt;Q18,OR(Q18&lt;R18,R18="-"),OR(R18&lt;T18,R18="-"),OR(T18&lt;U18,T18="-"),U18&lt;W18,OR(W18&lt;X18,X18="-"),OR(X18&lt;Z18,X18="-"),OR(Z18&lt;AA18,Z18="-"),AA18&lt;AC18,AC18&lt;AD18,AD18&lt;AF18,AF18&lt;AG18,AG18&lt;AI18,OR(AI18&lt;AJ18,AJ18="-"),OR(AJ18&lt;AL18,AJ18="-"))</f>
        <v>1</v>
      </c>
      <c r="AO18" s="3" t="str">
        <f>IF(ISERROR(MATCH(A18,'SegEnds_Xtal_Prot#'!B:B, 0)), "NoXtal", "Xtal")</f>
        <v>NoXtal</v>
      </c>
      <c r="AP18" s="3">
        <f>IF(ISERROR(F18-E18),"-",F18-E18)</f>
        <v>1</v>
      </c>
      <c r="AQ18" s="3">
        <f>IF(ISERROR(I18-H18),"-",I18-H18)</f>
        <v>1</v>
      </c>
      <c r="AR18" s="3">
        <f>IF(ISERROR(L18-K18),"-",L18-K18)</f>
        <v>2</v>
      </c>
      <c r="AS18" s="3">
        <f>IF(ISERROR(O18-N18),"-",O18-N18)</f>
        <v>1</v>
      </c>
      <c r="AT18" s="3">
        <f>IF(ISERROR(R18-Q18),"-",R18-Q18)</f>
        <v>1</v>
      </c>
      <c r="AU18" s="3">
        <f>IF(ISERROR(U18-T18),"-",U18-T18)</f>
        <v>1</v>
      </c>
      <c r="AV18" s="3" t="str">
        <f>IF(ISERROR(X18-W18),"-",X18-W18)</f>
        <v>-</v>
      </c>
      <c r="AW18" s="3" t="str">
        <f>IF(ISERROR(AA18-Z18),"-",AA18-Z18)</f>
        <v>-</v>
      </c>
      <c r="AX18" s="3">
        <f>IF(ISERROR(AD18-AC18),"-",AD18-AC18)</f>
        <v>5</v>
      </c>
      <c r="AY18" s="3">
        <f>IF(ISERROR(AG18-AF18),"-",AG18-AF18)</f>
        <v>5</v>
      </c>
      <c r="AZ18" s="3">
        <f>IF(ISERROR(AJ18-AI18),"-",AJ18-AI18)</f>
        <v>1</v>
      </c>
      <c r="BA18" s="3">
        <f>IF(ISERROR(LEN(VLOOKUP(A18,Seqs!A:E,2,FALSE))-AL18),"-",LEN(VLOOKUP(A18,Seqs!A:E,2,FALSE))-AL18)</f>
        <v>44</v>
      </c>
      <c r="BB18" s="16">
        <f>J18-D18</f>
        <v>28</v>
      </c>
      <c r="BC18" s="9">
        <f>IF(ISERROR(V18-S18),"-",V18-S18)</f>
        <v>19</v>
      </c>
      <c r="BD18" s="3">
        <f>J18-D18</f>
        <v>28</v>
      </c>
      <c r="BE18" s="3">
        <f>AE18-AB18</f>
        <v>56</v>
      </c>
    </row>
    <row r="19" spans="1:60" s="3" customFormat="1" x14ac:dyDescent="0.2">
      <c r="A19" s="3" t="s">
        <v>334</v>
      </c>
      <c r="B19" s="3" t="s">
        <v>920</v>
      </c>
      <c r="C19" s="3">
        <f>VLOOKUP($A19,'SegEnds_NonXtal_BW#'!$A:$Z,3,FALSE)+D19-50</f>
        <v>30</v>
      </c>
      <c r="D19" s="3">
        <v>51</v>
      </c>
      <c r="E19" s="3">
        <f>IF(ISERROR(VLOOKUP($A19,'SegEnds_NonXtal_BW#'!$A:$Z,4,FALSE)+VLOOKUP($A19,A:AL,4,FALSE)-50),"-",(VLOOKUP($A19,'SegEnds_NonXtal_BW#'!$A:$Z,4,FALSE)+VLOOKUP($A19,A:AL,4,FALSE)-50))</f>
        <v>61</v>
      </c>
      <c r="F19" s="3">
        <f>G19-2</f>
        <v>63</v>
      </c>
      <c r="G19" s="3">
        <v>65</v>
      </c>
      <c r="H19" s="3">
        <f>G19+1</f>
        <v>66</v>
      </c>
      <c r="I19" s="3">
        <f>H19+1</f>
        <v>67</v>
      </c>
      <c r="J19" s="3">
        <v>79</v>
      </c>
      <c r="K19" s="3">
        <v>97</v>
      </c>
      <c r="L19" s="3">
        <f>M19-1</f>
        <v>98</v>
      </c>
      <c r="M19" s="3">
        <v>99</v>
      </c>
      <c r="N19" s="3">
        <f>M19+2</f>
        <v>101</v>
      </c>
      <c r="O19" s="3">
        <f>N19+1</f>
        <v>102</v>
      </c>
      <c r="P19" s="3">
        <v>131</v>
      </c>
      <c r="Q19" s="3">
        <f>VLOOKUP($A19,'SegEnds_NonXtal_BW#'!$A:$Z,12,FALSE)+VLOOKUP($A19,A:AL,16,FALSE)-50</f>
        <v>137</v>
      </c>
      <c r="R19" s="3">
        <f>IF(ISERROR(VLOOKUP($A19,'SegEnds_NonXtal_BW#'!$A:$Z,13,FALSE)+VLOOKUP($A19,A:AL,19,FALSE)-50),"-",VLOOKUP($A19,'SegEnds_NonXtal_BW#'!$A:$Z,13,FALSE)+VLOOKUP($A19,A:AL,19,FALSE)-50)</f>
        <v>138</v>
      </c>
      <c r="S19" s="3">
        <v>138</v>
      </c>
      <c r="T19" s="103">
        <f>IF(ISERROR(VLOOKUP($A19,'SegEnds_NonXtal_BW#'!$A:$Z,14,FALSE)+VLOOKUP($A19,A:AL,19,FALSE)-50),"-",(VLOOKUP($A19,'SegEnds_NonXtal_BW#'!$A:$Z,14,FALSE)+VLOOKUP($A19,A:AL,19,FALSE)-50))</f>
        <v>144</v>
      </c>
      <c r="U19" s="9">
        <f>IF(ISERROR(VLOOKUP($A19,'SegEnds_NonXtal_BW#'!$A:$Z,15,FALSE)+VLOOKUP($A19,A:AL,22,FALSE)-50),"-",VLOOKUP($A19,'SegEnds_NonXtal_BW#'!$A:$Z,15,FALSE)+VLOOKUP($A19,A:AL,22,FALSE)-50)</f>
        <v>145</v>
      </c>
      <c r="V19" s="3">
        <v>157</v>
      </c>
      <c r="W19" s="3">
        <f>IF(ISERROR(VLOOKUP($A19,'SegEnds_NonXtal_BW#'!$A:$Z,16,FALSE)+VLOOKUP($A19,A:AL,22,FALSE)-50),"-",(VLOOKUP($A19,'SegEnds_NonXtal_BW#'!$A:$Z,16,FALSE)+VLOOKUP($A19,A:AL,22,FALSE)-50))</f>
        <v>169</v>
      </c>
      <c r="X19" s="3">
        <f>IF(ISERROR(VLOOKUP($A19,'SegEnds_NonXtal_BW#'!$A:$Z,17,FALSE)+VLOOKUP($A19,A:AL,25,FALSE)-50),"-",(VLOOKUP($A19,'SegEnds_NonXtal_BW#'!$A:$Z,17,FALSE)+VLOOKUP($A19,A:AL,25,FALSE)-50))</f>
        <v>183</v>
      </c>
      <c r="Y19" s="3">
        <v>183</v>
      </c>
      <c r="Z19" s="3">
        <f>Y19+2</f>
        <v>185</v>
      </c>
      <c r="AA19" s="3">
        <f>IF(ISERROR(VLOOKUP($A19,'SegEnds_NonXtal_BW#'!$A:$Z,19,FALSE)+VLOOKUP($A19,A:AL,28,FALSE)-50),"-",(VLOOKUP($A19,'SegEnds_NonXtal_BW#'!$A:$Z,19,FALSE)+VLOOKUP($A19,A:AL,28,FALSE)-50))</f>
        <v>195</v>
      </c>
      <c r="AB19" s="3">
        <v>211</v>
      </c>
      <c r="AC19" s="3">
        <f>IF(ISERROR((VLOOKUP($A19,'SegEnds_NonXtal_BW#'!$A:$Z,20,FALSE)+VLOOKUP($A19,A:AL,28,FALSE)-50)),"-",(VLOOKUP($A19,'SegEnds_NonXtal_BW#'!$A:$Z,20,FALSE)+VLOOKUP($A19,A:AL,28,FALSE)-50))</f>
        <v>234</v>
      </c>
      <c r="AD19" s="3">
        <f>IF(ISERROR(VLOOKUP($A19,'SegEnds_NonXtal_BW#'!$A:$Z,21,FALSE)+VLOOKUP($A19,A:AL,31,FALSE)-50),"-",(VLOOKUP($A19,'SegEnds_NonXtal_BW#'!$A:$Z,21,FALSE)+VLOOKUP($A19,A:AL,31,FALSE)-50))</f>
        <v>239</v>
      </c>
      <c r="AE19" s="3">
        <v>267</v>
      </c>
      <c r="AF19" s="3">
        <f>IF(ISERROR((VLOOKUP($A19,'SegEnds_NonXtal_BW#'!$A:$Z,22,FALSE)+VLOOKUP($A19,A:AL,31,FALSE)-50)),"-",(VLOOKUP($A19,'SegEnds_NonXtal_BW#'!$A:$Z,22,FALSE)+VLOOKUP($A19,A:AL,31,FALSE)-50))</f>
        <v>278</v>
      </c>
      <c r="AG19" s="3">
        <f>IF(ISERROR(VLOOKUP($A19,'SegEnds_NonXtal_BW#'!$A:$Z,23,FALSE)+VLOOKUP($A19,A:AL,34,FALSE)-50),"-",(VLOOKUP($A19,'SegEnds_NonXtal_BW#'!$A:$Z,23,FALSE)+VLOOKUP($A19,A:AL,34,FALSE)-50))</f>
        <v>284</v>
      </c>
      <c r="AH19" s="3">
        <v>303</v>
      </c>
      <c r="AI19" s="3">
        <f>IF(ISERROR((VLOOKUP($A19,'SegEnds_NonXtal_BW#'!$A:$Z,24,FALSE)+VLOOKUP($A19,A:AL,34,FALSE)-50)),"-",(VLOOKUP($A19,'SegEnds_NonXtal_BW#'!$A:$Z,24,FALSE)+VLOOKUP($A19,A:AL,34,FALSE)-50))</f>
        <v>309</v>
      </c>
      <c r="AJ19" s="3">
        <f>IF(ISERROR(VLOOKUP($A19,'SegEnds_NonXtal_BW#'!$A:$Z,25,FALSE)+VLOOKUP($A19,A:AL,37,FALSE)-50),"-",(VLOOKUP($A19,'SegEnds_NonXtal_BW#'!$A:$Z,25,FALSE)+VLOOKUP($A19,A:AL,37,FALSE)-50))</f>
        <v>310</v>
      </c>
      <c r="AK19" s="3">
        <v>313</v>
      </c>
      <c r="AL19" s="3">
        <f>IF(ISERROR((VLOOKUP($A19,'SegEnds_NonXtal_BW#'!$A:$Z,26,FALSE)+VLOOKUP($A19,A:AL,37,FALSE)-50)),"-",(VLOOKUP($A19,'SegEnds_NonXtal_BW#'!$A:$Z,26,FALSE)+VLOOKUP($A19,A:AL,37,FALSE)-50))</f>
        <v>322</v>
      </c>
      <c r="AM19" s="28" t="str">
        <f>VLOOKUP(A19,Classification!A:B,2,FALSE)</f>
        <v>A</v>
      </c>
      <c r="AN19" s="28" t="b">
        <f>AND(IF(Y19="-",IF(AA19-W19&gt;3,TRUE,FALSE),TRUE),IF(M19="-",IF(O19-K19&gt;3,TRUE,FALSE),TRU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NoXtal</v>
      </c>
      <c r="AP19" s="3">
        <f>IF(ISERROR(F19-E19),"-",F19-E19)</f>
        <v>2</v>
      </c>
      <c r="AQ19" s="3">
        <f>IF(ISERROR(I19-H19),"-",I19-H19)</f>
        <v>1</v>
      </c>
      <c r="AR19" s="3">
        <f>IF(ISERROR(L19-K19),"-",L19-K19)</f>
        <v>1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14</v>
      </c>
      <c r="AW19" s="3">
        <f>IF(ISERROR(AA19-Z19),"-",AA19-Z19)</f>
        <v>10</v>
      </c>
      <c r="AX19" s="3">
        <f>IF(ISERROR(AD19-AC19),"-",AD19-AC19)</f>
        <v>5</v>
      </c>
      <c r="AY19" s="3">
        <f>IF(ISERROR(AG19-AF19),"-",AG19-AF19)</f>
        <v>6</v>
      </c>
      <c r="AZ19" s="3">
        <f>IF(ISERROR(AJ19-AI19),"-",AJ19-AI19)</f>
        <v>1</v>
      </c>
      <c r="BA19" s="3">
        <f>IF(ISERROR(LEN(VLOOKUP(A19,Seqs!A:E,2,FALSE))-AL19),"-",LEN(VLOOKUP(A19,Seqs!A:E,2,FALSE))-AL19)</f>
        <v>32</v>
      </c>
      <c r="BB19" s="16">
        <f>J19-D19</f>
        <v>28</v>
      </c>
      <c r="BC19" s="9">
        <f>IF(ISERROR(V19-S19),"-",V19-S19)</f>
        <v>19</v>
      </c>
      <c r="BD19" s="3">
        <f>J19-D19</f>
        <v>28</v>
      </c>
      <c r="BE19" s="3">
        <f>AE19-AB19</f>
        <v>56</v>
      </c>
    </row>
    <row r="20" spans="1:60" s="3" customFormat="1" x14ac:dyDescent="0.2">
      <c r="A20" s="3" t="s">
        <v>338</v>
      </c>
      <c r="B20" s="3" t="str">
        <f>LOWER(VLOOKUP(A20,Xtal_Templ!A:B,2,FALSE))</f>
        <v>opsd_human</v>
      </c>
      <c r="C20" s="3">
        <f>VLOOKUP($A20,'SegEnds_NonXtal_BW#'!$A:$Z,3,FALSE)+D20-50</f>
        <v>31</v>
      </c>
      <c r="D20" s="3">
        <v>52</v>
      </c>
      <c r="E20" s="3">
        <f>IF(ISERROR(VLOOKUP($A20,'SegEnds_NonXtal_BW#'!$A:$Z,4,FALSE)+VLOOKUP($A20,A:AL,4,FALSE)-50),"-",(VLOOKUP($A20,'SegEnds_NonXtal_BW#'!$A:$Z,4,FALSE)+VLOOKUP($A20,A:AL,4,FALSE)-50))</f>
        <v>62</v>
      </c>
      <c r="F20" s="3">
        <f>G20-2</f>
        <v>63</v>
      </c>
      <c r="G20" s="3">
        <v>65</v>
      </c>
      <c r="H20" s="3">
        <f>G20+1</f>
        <v>66</v>
      </c>
      <c r="I20" s="3">
        <f>H20+1</f>
        <v>67</v>
      </c>
      <c r="J20" s="3">
        <v>80</v>
      </c>
      <c r="K20" s="3">
        <f>VLOOKUP($A20,'SegEnds_NonXtal_BW#'!$A:$Z,8,FALSE)+VLOOKUP($A20,A:AL,10,FALSE)-50</f>
        <v>97</v>
      </c>
      <c r="L20" s="3">
        <f>M20-1</f>
        <v>99</v>
      </c>
      <c r="M20" s="3">
        <v>100</v>
      </c>
      <c r="N20" s="3">
        <f>M20+2</f>
        <v>102</v>
      </c>
      <c r="O20" s="3">
        <f>N20+1</f>
        <v>103</v>
      </c>
      <c r="P20" s="3">
        <v>132</v>
      </c>
      <c r="Q20" s="3">
        <f>VLOOKUP($A20,'SegEnds_NonXtal_BW#'!$A:$Z,12,FALSE)+VLOOKUP($A20,A:AL,16,FALSE)-50</f>
        <v>138</v>
      </c>
      <c r="R20" s="3">
        <f>IF(ISERROR(VLOOKUP($A20,'SegEnds_NonXtal_BW#'!$A:$Z,13,FALSE)+VLOOKUP($A20,A:AL,19,FALSE)-50),"-",VLOOKUP($A20,'SegEnds_NonXtal_BW#'!$A:$Z,13,FALSE)+VLOOKUP($A20,A:AL,19,FALSE)-50)</f>
        <v>139</v>
      </c>
      <c r="S20" s="3">
        <v>139</v>
      </c>
      <c r="T20" s="103">
        <f>IF(ISERROR(VLOOKUP($A20,'SegEnds_NonXtal_BW#'!$A:$Z,14,FALSE)+VLOOKUP($A20,A:AL,19,FALSE)-50),"-",(VLOOKUP($A20,'SegEnds_NonXtal_BW#'!$A:$Z,14,FALSE)+VLOOKUP($A20,A:AL,19,FALSE)-50))</f>
        <v>145</v>
      </c>
      <c r="U20" s="9">
        <f>IF(ISERROR(VLOOKUP($A20,'SegEnds_NonXtal_BW#'!$A:$Z,15,FALSE)+VLOOKUP($A20,A:AL,22,FALSE)-50),"-",VLOOKUP($A20,'SegEnds_NonXtal_BW#'!$A:$Z,15,FALSE)+VLOOKUP($A20,A:AL,22,FALSE)-50)</f>
        <v>146</v>
      </c>
      <c r="V20" s="3">
        <v>158</v>
      </c>
      <c r="W20" s="3">
        <f>IF(ISERROR(VLOOKUP($A20,'SegEnds_NonXtal_BW#'!$A:$Z,16,FALSE)+VLOOKUP($A20,A:AL,22,FALSE)-50),"-",(VLOOKUP($A20,'SegEnds_NonXtal_BW#'!$A:$Z,16,FALSE)+VLOOKUP($A20,A:AL,22,FALSE)-50))</f>
        <v>170</v>
      </c>
      <c r="X20" s="3">
        <f>IF(ISERROR(VLOOKUP($A20,'SegEnds_NonXtal_BW#'!$A:$Z,17,FALSE)+VLOOKUP($A20,A:AL,25,FALSE)-50),"-",(VLOOKUP($A20,'SegEnds_NonXtal_BW#'!$A:$Z,17,FALSE)+VLOOKUP($A20,A:AL,25,FALSE)-50))</f>
        <v>184</v>
      </c>
      <c r="Y20" s="3">
        <v>184</v>
      </c>
      <c r="Z20" s="3">
        <f>Y20+2</f>
        <v>186</v>
      </c>
      <c r="AA20" s="3">
        <f>IF(ISERROR(VLOOKUP($A20,'SegEnds_NonXtal_BW#'!$A:$Z,19,FALSE)+VLOOKUP($A20,A:AL,28,FALSE)-50),"-",(VLOOKUP($A20,'SegEnds_NonXtal_BW#'!$A:$Z,19,FALSE)+VLOOKUP($A20,A:AL,28,FALSE)-50))</f>
        <v>196</v>
      </c>
      <c r="AB20" s="3">
        <v>212</v>
      </c>
      <c r="AC20" s="3">
        <f>IF(ISERROR((VLOOKUP($A20,'SegEnds_NonXtal_BW#'!$A:$Z,20,FALSE)+VLOOKUP($A20,A:AL,28,FALSE)-50)),"-",(VLOOKUP($A20,'SegEnds_NonXtal_BW#'!$A:$Z,20,FALSE)+VLOOKUP($A20,A:AL,28,FALSE)-50))</f>
        <v>234</v>
      </c>
      <c r="AD20" s="3">
        <f>IF(ISERROR(VLOOKUP($A20,'SegEnds_NonXtal_BW#'!$A:$Z,21,FALSE)+VLOOKUP($A20,A:AL,31,FALSE)-50),"-",(VLOOKUP($A20,'SegEnds_NonXtal_BW#'!$A:$Z,21,FALSE)+VLOOKUP($A20,A:AL,31,FALSE)-50))</f>
        <v>238</v>
      </c>
      <c r="AE20" s="3">
        <v>264</v>
      </c>
      <c r="AF20" s="3">
        <f>IF(ISERROR((VLOOKUP($A20,'SegEnds_NonXtal_BW#'!$A:$Z,22,FALSE)+VLOOKUP($A20,A:AL,31,FALSE)-50)),"-",(VLOOKUP($A20,'SegEnds_NonXtal_BW#'!$A:$Z,22,FALSE)+VLOOKUP($A20,A:AL,31,FALSE)-50))</f>
        <v>275</v>
      </c>
      <c r="AG20" s="3">
        <f>IF(ISERROR(VLOOKUP($A20,'SegEnds_NonXtal_BW#'!$A:$Z,23,FALSE)+VLOOKUP($A20,A:AL,34,FALSE)-50),"-",(VLOOKUP($A20,'SegEnds_NonXtal_BW#'!$A:$Z,23,FALSE)+VLOOKUP($A20,A:AL,34,FALSE)-50))</f>
        <v>281</v>
      </c>
      <c r="AH20" s="3">
        <v>300</v>
      </c>
      <c r="AI20" s="3">
        <f>IF(ISERROR((VLOOKUP($A20,'SegEnds_NonXtal_BW#'!$A:$Z,24,FALSE)+VLOOKUP($A20,A:AL,34,FALSE)-50)),"-",(VLOOKUP($A20,'SegEnds_NonXtal_BW#'!$A:$Z,24,FALSE)+VLOOKUP($A20,A:AL,34,FALSE)-50))</f>
        <v>306</v>
      </c>
      <c r="AJ20" s="3">
        <f>IF(ISERROR(VLOOKUP($A20,'SegEnds_NonXtal_BW#'!$A:$Z,25,FALSE)+VLOOKUP($A20,A:AL,37,FALSE)-50),"-",(VLOOKUP($A20,'SegEnds_NonXtal_BW#'!$A:$Z,25,FALSE)+VLOOKUP($A20,A:AL,37,FALSE)-50))</f>
        <v>307</v>
      </c>
      <c r="AK20" s="3">
        <v>310</v>
      </c>
      <c r="AL20" s="3">
        <f>IF(ISERROR((VLOOKUP($A20,'SegEnds_NonXtal_BW#'!$A:$Z,26,FALSE)+VLOOKUP($A20,A:AL,37,FALSE)-50)),"-",(VLOOKUP($A20,'SegEnds_NonXtal_BW#'!$A:$Z,26,FALSE)+VLOOKUP($A20,A:AL,37,FALSE)-50))</f>
        <v>319</v>
      </c>
      <c r="AM20" s="28" t="str">
        <f>VLOOKUP(A20,Classification!A:B,2,FALSE)</f>
        <v>A</v>
      </c>
      <c r="AN20" s="28" t="b">
        <f>AND(IF(Y20="-",IF(AA20-W20&gt;3,TRUE,FALSE),TRUE),IF(M20="-",IF(O20-K20&gt;3,TRUE,FALSE),TRU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NoXtal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2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14</v>
      </c>
      <c r="AW20" s="3">
        <f>IF(ISERROR(AA20-Z20),"-",AA20-Z20)</f>
        <v>10</v>
      </c>
      <c r="AX20" s="3">
        <f>IF(ISERROR(AD20-AC20),"-",AD20-AC20)</f>
        <v>4</v>
      </c>
      <c r="AY20" s="3">
        <f>IF(ISERROR(AG20-AF20),"-",AG20-AF20)</f>
        <v>6</v>
      </c>
      <c r="AZ20" s="3">
        <f>IF(ISERROR(AJ20-AI20),"-",AJ20-AI20)</f>
        <v>1</v>
      </c>
      <c r="BA20" s="3">
        <f>IF(ISERROR(LEN(VLOOKUP(A20,Seqs!A:E,2,FALSE))-AL20),"-",LEN(VLOOKUP(A20,Seqs!A:E,2,FALSE))-AL20)</f>
        <v>29</v>
      </c>
      <c r="BB20" s="16">
        <f>J20-D20</f>
        <v>28</v>
      </c>
      <c r="BC20" s="9">
        <f>IF(ISERROR(V20-S20),"-",V20-S20)</f>
        <v>19</v>
      </c>
      <c r="BD20" s="3">
        <f>J20-D20</f>
        <v>28</v>
      </c>
      <c r="BE20" s="3">
        <f>AE20-AB20</f>
        <v>52</v>
      </c>
      <c r="BF20" s="3">
        <f>AH20-AE20</f>
        <v>36</v>
      </c>
    </row>
    <row r="21" spans="1:60" s="3" customFormat="1" x14ac:dyDescent="0.2">
      <c r="A21" s="3" t="s">
        <v>920</v>
      </c>
      <c r="B21" s="3" t="str">
        <f>LOWER(VLOOKUP(A21,Xtal_Templ!A:B,2,FALSE))</f>
        <v>opsd_bovin</v>
      </c>
      <c r="C21" s="3">
        <f>VLOOKUP($A21,'SegEnds_NonXtal_BW#'!$A:$Z,3,FALSE)+D21-50</f>
        <v>34</v>
      </c>
      <c r="D21" s="3">
        <v>55</v>
      </c>
      <c r="E21" s="3">
        <f>IF(ISERROR(VLOOKUP($A21,'SegEnds_NonXtal_BW#'!$A:$Z,4,FALSE)+VLOOKUP($A21,A:AL,4,FALSE)-50),"-",(VLOOKUP($A21,'SegEnds_NonXtal_BW#'!$A:$Z,4,FALSE)+VLOOKUP($A21,A:AL,4,FALSE)-50))</f>
        <v>65</v>
      </c>
      <c r="F21" s="3">
        <f>G21-2</f>
        <v>66</v>
      </c>
      <c r="G21" s="3">
        <v>68</v>
      </c>
      <c r="H21" s="3">
        <f>G21+1</f>
        <v>69</v>
      </c>
      <c r="I21" s="3">
        <f>H21+1</f>
        <v>70</v>
      </c>
      <c r="J21" s="3">
        <v>83</v>
      </c>
      <c r="K21" s="3">
        <f>VLOOKUP($A21,'SegEnds_NonXtal_BW#'!$A:$Z,8,FALSE)+VLOOKUP($A21,A:AL,10,FALSE)-50</f>
        <v>100</v>
      </c>
      <c r="L21" s="3">
        <f>IF(ISERROR(VLOOKUP($A21,'SegEnds_NonXtal_BW#'!$A:$Z,9,FALSE)+VLOOKUP($A21,A:AL,13,FALSE)-50),"-",(VLOOKUP($A21,'SegEnds_NonXtal_BW#'!$A:$Z,9,FALSE)+VLOOKUP($A21,A:AL,13,FALSE)-50))</f>
        <v>102</v>
      </c>
      <c r="M21" s="3">
        <v>103</v>
      </c>
      <c r="N21" s="3">
        <f>IF(ISERROR(VLOOKUP($A21,'SegEnds_NonXtal_BW#'!$A:$Z,10,FALSE)+VLOOKUP($A21,A:AL,13,FALSE)-50),"-",(VLOOKUP($A21,'SegEnds_NonXtal_BW#'!$A:$Z,10,FALSE)+VLOOKUP($A21,A:AL,13,FALSE)-50))</f>
        <v>105</v>
      </c>
      <c r="O21" s="3">
        <f>N21+1</f>
        <v>106</v>
      </c>
      <c r="P21" s="3">
        <v>135</v>
      </c>
      <c r="Q21" s="3">
        <f>VLOOKUP($A21,'SegEnds_NonXtal_BW#'!$A:$Z,12,FALSE)+VLOOKUP($A21,A:AL,16,FALSE)-50</f>
        <v>141</v>
      </c>
      <c r="R21" s="3">
        <f>IF(ISERROR(VLOOKUP($A21,'SegEnds_NonXtal_BW#'!$A:$Z,13,FALSE)+VLOOKUP($A21,A:AL,19,FALSE)-50),"-",VLOOKUP($A21,'SegEnds_NonXtal_BW#'!$A:$Z,13,FALSE)+VLOOKUP($A21,A:AL,19,FALSE)-50)</f>
        <v>142</v>
      </c>
      <c r="S21" s="3">
        <v>142</v>
      </c>
      <c r="T21" s="103">
        <f>IF(ISERROR(VLOOKUP($A21,'SegEnds_NonXtal_BW#'!$A:$Z,14,FALSE)+VLOOKUP($A21,A:AL,19,FALSE)-50),"-",(VLOOKUP($A21,'SegEnds_NonXtal_BW#'!$A:$Z,14,FALSE)+VLOOKUP($A21,A:AL,19,FALSE)-50))</f>
        <v>148</v>
      </c>
      <c r="U21" s="9">
        <f>IF(ISERROR(VLOOKUP($A21,'SegEnds_NonXtal_BW#'!$A:$Z,15,FALSE)+VLOOKUP($A21,A:AL,22,FALSE)-50),"-",VLOOKUP($A21,'SegEnds_NonXtal_BW#'!$A:$Z,15,FALSE)+VLOOKUP($A21,A:AL,22,FALSE)-50)</f>
        <v>149</v>
      </c>
      <c r="V21" s="3">
        <v>161</v>
      </c>
      <c r="W21" s="3">
        <f>IF(ISERROR(VLOOKUP($A21,'SegEnds_NonXtal_BW#'!$A:$Z,16,FALSE)+VLOOKUP($A21,A:AL,22,FALSE)-50),"-",(VLOOKUP($A21,'SegEnds_NonXtal_BW#'!$A:$Z,16,FALSE)+VLOOKUP($A21,A:AL,22,FALSE)-50))</f>
        <v>173</v>
      </c>
      <c r="X21" s="3">
        <f>IF(ISERROR(VLOOKUP($A21,'SegEnds_NonXtal_BW#'!$A:$Z,17,FALSE)+VLOOKUP($A21,A:AL,25,FALSE)-50),"-",(VLOOKUP($A21,'SegEnds_NonXtal_BW#'!$A:$Z,17,FALSE)+VLOOKUP($A21,A:AL,25,FALSE)-50))</f>
        <v>187</v>
      </c>
      <c r="Y21" s="3">
        <v>187</v>
      </c>
      <c r="Z21" s="3">
        <f>Y21+2</f>
        <v>189</v>
      </c>
      <c r="AA21" s="3">
        <f>IF(ISERROR(VLOOKUP($A21,'SegEnds_NonXtal_BW#'!$A:$Z,19,FALSE)+VLOOKUP($A21,A:AL,28,FALSE)-50),"-",(VLOOKUP($A21,'SegEnds_NonXtal_BW#'!$A:$Z,19,FALSE)+VLOOKUP($A21,A:AL,28,FALSE)-50))</f>
        <v>199</v>
      </c>
      <c r="AB21" s="3">
        <v>215</v>
      </c>
      <c r="AC21" s="3">
        <f>IF(ISERROR((VLOOKUP($A21,'SegEnds_NonXtal_BW#'!$A:$Z,20,FALSE)+VLOOKUP($A21,A:AL,28,FALSE)-50)),"-",(VLOOKUP($A21,'SegEnds_NonXtal_BW#'!$A:$Z,20,FALSE)+VLOOKUP($A21,A:AL,28,FALSE)-50))</f>
        <v>237</v>
      </c>
      <c r="AD21" s="3">
        <f>IF(ISERROR(VLOOKUP($A21,'SegEnds_NonXtal_BW#'!$A:$Z,21,FALSE)+VLOOKUP($A21,A:AL,31,FALSE)-50),"-",(VLOOKUP($A21,'SegEnds_NonXtal_BW#'!$A:$Z,21,FALSE)+VLOOKUP($A21,A:AL,31,FALSE)-50))</f>
        <v>241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>AND(IF(Y21="-",IF(AA21-W21&gt;3,TRUE,FALSE),TRUE),IF(M21="-",IF(O21-K21&gt;3,TRUE,FALSE),TRUE),C21&lt;E21,OR(E21&lt;F21,F21="-"),OR(F21&lt;H21,F21="-"),OR(H21&lt;I21,H21="-"),I21&lt;K21,OR(K21&lt;L21,L21="-"),OR(L21&lt;N21,L21="-"),OR(N21&lt;O21,N21="-"),O21&lt;Q21,OR(Q21&lt;R21,R21="-"),OR(R21&lt;T21,R21="-"),OR(T21&lt;U21,T21="-"),U21&lt;W21,OR(W21&lt;X21,X21="-"),OR(X21&lt;Z21,X21="-"),OR(Z21&lt;AA21,Z21="-"),AA21&lt;AC21,AC21&lt;AD21,AD21&lt;AF21,AF21&lt;AG21,AG21&lt;AI21,OR(AI21&lt;AJ21,AJ21="-"),OR(AJ21&lt;AL21,AJ21="-"))</f>
        <v>1</v>
      </c>
      <c r="AO21" s="3" t="str">
        <f>IF(ISERROR(MATCH(A21,'SegEnds_Xtal_Prot#'!B:B, 0)), "NoXtal", "Xtal")</f>
        <v>Xtal</v>
      </c>
      <c r="AP21" s="3">
        <f>IF(ISERROR(F21-E21),"-",F21-E21)</f>
        <v>1</v>
      </c>
      <c r="AQ21" s="3">
        <f>IF(ISERROR(I21-H21),"-",I21-H21)</f>
        <v>1</v>
      </c>
      <c r="AR21" s="3">
        <f>IF(ISERROR(L21-K21),"-",L21-K21)</f>
        <v>2</v>
      </c>
      <c r="AS21" s="3">
        <f>IF(ISERROR(O21-N21),"-",O21-N21)</f>
        <v>1</v>
      </c>
      <c r="AT21" s="3">
        <f>IF(ISERROR(R21-Q21),"-",R21-Q21)</f>
        <v>1</v>
      </c>
      <c r="AU21" s="3">
        <f>IF(ISERROR(U21-T21),"-",U21-T21)</f>
        <v>1</v>
      </c>
      <c r="AV21" s="3">
        <f>IF(ISERROR(X21-W21),"-",X21-W21)</f>
        <v>14</v>
      </c>
      <c r="AW21" s="3">
        <f>IF(ISERROR(AA21-Z21),"-",AA21-Z21)</f>
        <v>10</v>
      </c>
      <c r="AX21" s="3">
        <f>IF(ISERROR(AD21-AC21),"-",AD21-AC21)</f>
        <v>4</v>
      </c>
      <c r="AY21" s="3">
        <f>IF(ISERROR(AG21-AF21),"-",AG21-AF21)</f>
        <v>6</v>
      </c>
      <c r="AZ21" s="3">
        <f>IF(ISERROR(AJ21-AI21),"-",AJ21-AI21)</f>
        <v>1</v>
      </c>
      <c r="BA21" s="3">
        <f>IF(ISERROR(LEN(VLOOKUP(A21,Seqs!A:E,2,FALSE))-AL21),"-",LEN(VLOOKUP(A21,Seqs!A:E,2,FALSE))-AL21)</f>
        <v>26</v>
      </c>
      <c r="BB21" s="16">
        <f>J21-D21</f>
        <v>28</v>
      </c>
      <c r="BC21" s="9">
        <f>IF(ISERROR(V21-S21),"-",V21-S21)</f>
        <v>19</v>
      </c>
      <c r="BD21" s="3">
        <f>J21-D21</f>
        <v>28</v>
      </c>
      <c r="BE21" s="3">
        <f>AE21-AB21</f>
        <v>52</v>
      </c>
      <c r="BF21" s="3">
        <f>AH21-AE21</f>
        <v>36</v>
      </c>
    </row>
    <row r="22" spans="1:60" s="3" customFormat="1" x14ac:dyDescent="0.2">
      <c r="A22" s="3" t="s">
        <v>339</v>
      </c>
      <c r="B22" s="3" t="str">
        <f>LOWER(VLOOKUP(A22,Xtal_Templ!A:B,2,FALSE))</f>
        <v>opsd_human</v>
      </c>
      <c r="C22" s="3">
        <f>VLOOKUP($A22,'SegEnds_NonXtal_BW#'!$A:$Z,3,FALSE)+D22-50</f>
        <v>34</v>
      </c>
      <c r="D22" s="3">
        <v>55</v>
      </c>
      <c r="E22" s="3">
        <f>IF(ISERROR(VLOOKUP($A22,'SegEnds_NonXtal_BW#'!$A:$Z,4,FALSE)+VLOOKUP($A22,A:AL,4,FALSE)-50),"-",(VLOOKUP($A22,'SegEnds_NonXtal_BW#'!$A:$Z,4,FALSE)+VLOOKUP($A22,A:AL,4,FALSE)-50))</f>
        <v>65</v>
      </c>
      <c r="F22" s="3">
        <f>G22-2</f>
        <v>66</v>
      </c>
      <c r="G22" s="3">
        <v>68</v>
      </c>
      <c r="H22" s="3">
        <f>G22+1</f>
        <v>69</v>
      </c>
      <c r="I22" s="3">
        <f>H22+1</f>
        <v>70</v>
      </c>
      <c r="J22" s="3">
        <v>83</v>
      </c>
      <c r="K22" s="3">
        <f>VLOOKUP($A22,'SegEnds_NonXtal_BW#'!$A:$Z,8,FALSE)+VLOOKUP($A22,A:AL,10,FALSE)-50</f>
        <v>100</v>
      </c>
      <c r="L22" s="3">
        <f>M22-1</f>
        <v>102</v>
      </c>
      <c r="M22" s="3">
        <v>103</v>
      </c>
      <c r="N22" s="3">
        <f>M22+2</f>
        <v>105</v>
      </c>
      <c r="O22" s="3">
        <f>N22+1</f>
        <v>106</v>
      </c>
      <c r="P22" s="3">
        <v>135</v>
      </c>
      <c r="Q22" s="3">
        <f>VLOOKUP($A22,'SegEnds_NonXtal_BW#'!$A:$Z,12,FALSE)+VLOOKUP($A22,A:AL,16,FALSE)-50</f>
        <v>141</v>
      </c>
      <c r="R22" s="3">
        <f>IF(ISERROR(VLOOKUP($A22,'SegEnds_NonXtal_BW#'!$A:$Z,13,FALSE)+VLOOKUP($A22,A:AL,19,FALSE)-50),"-",VLOOKUP($A22,'SegEnds_NonXtal_BW#'!$A:$Z,13,FALSE)+VLOOKUP($A22,A:AL,19,FALSE)-50)</f>
        <v>142</v>
      </c>
      <c r="S22" s="3">
        <v>142</v>
      </c>
      <c r="T22" s="103">
        <f>IF(ISERROR(VLOOKUP($A22,'SegEnds_NonXtal_BW#'!$A:$Z,14,FALSE)+VLOOKUP($A22,A:AL,19,FALSE)-50),"-",(VLOOKUP($A22,'SegEnds_NonXtal_BW#'!$A:$Z,14,FALSE)+VLOOKUP($A22,A:AL,19,FALSE)-50))</f>
        <v>148</v>
      </c>
      <c r="U22" s="9">
        <f>IF(ISERROR(VLOOKUP($A22,'SegEnds_NonXtal_BW#'!$A:$Z,15,FALSE)+VLOOKUP($A22,A:AL,22,FALSE)-50),"-",VLOOKUP($A22,'SegEnds_NonXtal_BW#'!$A:$Z,15,FALSE)+VLOOKUP($A22,A:AL,22,FALSE)-50)</f>
        <v>149</v>
      </c>
      <c r="V22" s="3">
        <v>161</v>
      </c>
      <c r="W22" s="3">
        <f>IF(ISERROR(VLOOKUP($A22,'SegEnds_NonXtal_BW#'!$A:$Z,16,FALSE)+VLOOKUP($A22,A:AL,22,FALSE)-50),"-",(VLOOKUP($A22,'SegEnds_NonXtal_BW#'!$A:$Z,16,FALSE)+VLOOKUP($A22,A:AL,22,FALSE)-50))</f>
        <v>173</v>
      </c>
      <c r="X22" s="3">
        <f>IF(ISERROR(VLOOKUP($A22,'SegEnds_NonXtal_BW#'!$A:$Z,17,FALSE)+VLOOKUP($A22,A:AL,25,FALSE)-50),"-",(VLOOKUP($A22,'SegEnds_NonXtal_BW#'!$A:$Z,17,FALSE)+VLOOKUP($A22,A:AL,25,FALSE)-50))</f>
        <v>187</v>
      </c>
      <c r="Y22" s="3">
        <v>187</v>
      </c>
      <c r="Z22" s="3">
        <f>Y22+2</f>
        <v>189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215</v>
      </c>
      <c r="AC22" s="3">
        <f>IF(ISERROR((VLOOKUP($A22,'SegEnds_NonXtal_BW#'!$A:$Z,20,FALSE)+VLOOKUP($A22,A:AL,28,FALSE)-50)),"-",(VLOOKUP($A22,'SegEnds_NonXtal_BW#'!$A:$Z,20,FALSE)+VLOOKUP($A22,A:AL,28,FALSE)-50))</f>
        <v>237</v>
      </c>
      <c r="AD22" s="3">
        <f>IF(ISERROR(VLOOKUP($A22,'SegEnds_NonXtal_BW#'!$A:$Z,21,FALSE)+VLOOKUP($A22,A:AL,31,FALSE)-50),"-",(VLOOKUP($A22,'SegEnds_NonXtal_BW#'!$A:$Z,21,FALSE)+VLOOKUP($A22,A:AL,31,FALSE)-50))</f>
        <v>241</v>
      </c>
      <c r="AE22" s="3">
        <v>267</v>
      </c>
      <c r="AF22" s="3">
        <f>IF(ISERROR((VLOOKUP($A22,'SegEnds_NonXtal_BW#'!$A:$Z,22,FALSE)+VLOOKUP($A22,A:AL,31,FALSE)-50)),"-",(VLOOKUP($A22,'SegEnds_NonXtal_BW#'!$A:$Z,22,FALSE)+VLOOKUP($A22,A:AL,31,FALSE)-50))</f>
        <v>278</v>
      </c>
      <c r="AG22" s="3">
        <f>IF(ISERROR(VLOOKUP($A22,'SegEnds_NonXtal_BW#'!$A:$Z,23,FALSE)+VLOOKUP($A22,A:AL,34,FALSE)-50),"-",(VLOOKUP($A22,'SegEnds_NonXtal_BW#'!$A:$Z,23,FALSE)+VLOOKUP($A22,A:AL,34,FALSE)-50))</f>
        <v>284</v>
      </c>
      <c r="AH22" s="3">
        <v>303</v>
      </c>
      <c r="AI22" s="3">
        <f>IF(ISERROR((VLOOKUP($A22,'SegEnds_NonXtal_BW#'!$A:$Z,24,FALSE)+VLOOKUP($A22,A:AL,34,FALSE)-50)),"-",(VLOOKUP($A22,'SegEnds_NonXtal_BW#'!$A:$Z,24,FALSE)+VLOOKUP($A22,A:AL,34,FALSE)-50))</f>
        <v>309</v>
      </c>
      <c r="AJ22" s="3">
        <f>IF(ISERROR(VLOOKUP($A22,'SegEnds_NonXtal_BW#'!$A:$Z,25,FALSE)+VLOOKUP($A22,A:AL,37,FALSE)-50),"-",(VLOOKUP($A22,'SegEnds_NonXtal_BW#'!$A:$Z,25,FALSE)+VLOOKUP($A22,A:AL,37,FALSE)-50))</f>
        <v>310</v>
      </c>
      <c r="AK22" s="3">
        <v>313</v>
      </c>
      <c r="AL22" s="3">
        <f>IF(ISERROR((VLOOKUP($A22,'SegEnds_NonXtal_BW#'!$A:$Z,26,FALSE)+VLOOKUP($A22,A:AL,37,FALSE)-50)),"-",(VLOOKUP($A22,'SegEnds_NonXtal_BW#'!$A:$Z,26,FALSE)+VLOOKUP($A22,A:AL,37,FALSE)-50))</f>
        <v>322</v>
      </c>
      <c r="AM22" s="28" t="str">
        <f>VLOOKUP(A22,Classification!A:B,2,FALSE)</f>
        <v>A</v>
      </c>
      <c r="AN22" s="28" t="b">
        <f>AND(IF(Y22="-",IF(AA22-W22&gt;3,TRUE,FALSE),TRUE),IF(M22="-",IF(O22-K22&gt;3,TRUE,FALSE),TRUE),C22&lt;E22,OR(E22&lt;F22,F22="-"),OR(F22&lt;H22,F22="-"),OR(H22&lt;I22,H22="-"),I22&lt;K22,OR(K22&lt;L22,L22="-"),OR(L22&lt;N22,L22="-"),OR(N22&lt;O22,N22="-"),O22&lt;Q22,OR(Q22&lt;R22,R22="-"),OR(R22&lt;T22,R22="-"),OR(T22&lt;U22,T22="-"),U22&lt;W22,OR(W22&lt;X22,X22="-"),OR(X22&lt;Z22,X22="-"),OR(Z22&lt;AA22,Z22="-"),AA22&lt;AC22,AC22&lt;AD22,AD22&lt;AF22,AF22&lt;AG22,AG22&lt;AI22,OR(AI22&lt;AJ22,AJ22="-"),OR(AJ22&lt;AL22,AJ22="-"))</f>
        <v>1</v>
      </c>
      <c r="AO22" s="3" t="str">
        <f>IF(ISERROR(MATCH(A22,'SegEnds_Xtal_Prot#'!B:B, 0)), "NoXtal", "Xtal")</f>
        <v>Xtal</v>
      </c>
      <c r="AP22" s="3">
        <f>IF(ISERROR(F22-E22),"-",F22-E22)</f>
        <v>1</v>
      </c>
      <c r="AQ22" s="3">
        <f>IF(ISERROR(I22-H22),"-",I22-H22)</f>
        <v>1</v>
      </c>
      <c r="AR22" s="3">
        <f>IF(ISERROR(L22-K22),"-",L22-K22)</f>
        <v>2</v>
      </c>
      <c r="AS22" s="3">
        <f>IF(ISERROR(O22-N22),"-",O22-N22)</f>
        <v>1</v>
      </c>
      <c r="AT22" s="3">
        <f>IF(ISERROR(R22-Q22),"-",R22-Q22)</f>
        <v>1</v>
      </c>
      <c r="AU22" s="3">
        <f>IF(ISERROR(U22-T22),"-",U22-T22)</f>
        <v>1</v>
      </c>
      <c r="AV22" s="3">
        <f>IF(ISERROR(X22-W22),"-",X22-W22)</f>
        <v>14</v>
      </c>
      <c r="AW22" s="3">
        <f>IF(ISERROR(AA22-Z22),"-",AA22-Z22)</f>
        <v>10</v>
      </c>
      <c r="AX22" s="3">
        <f>IF(ISERROR(AD22-AC22),"-",AD22-AC22)</f>
        <v>4</v>
      </c>
      <c r="AY22" s="3">
        <f>IF(ISERROR(AG22-AF22),"-",AG22-AF22)</f>
        <v>6</v>
      </c>
      <c r="AZ22" s="3">
        <f>IF(ISERROR(AJ22-AI22),"-",AJ22-AI22)</f>
        <v>1</v>
      </c>
      <c r="BA22" s="3">
        <f>IF(ISERROR(LEN(VLOOKUP(A22,Seqs!A:E,2,FALSE))-AL22),"-",LEN(VLOOKUP(A22,Seqs!A:E,2,FALSE))-AL22)</f>
        <v>26</v>
      </c>
      <c r="BB22" s="16">
        <f>J22-D22</f>
        <v>28</v>
      </c>
      <c r="BC22" s="9">
        <f>IF(ISERROR(V22-S22),"-",V22-S22)</f>
        <v>19</v>
      </c>
      <c r="BD22" s="3">
        <f>J22-D22</f>
        <v>28</v>
      </c>
      <c r="BE22" s="3">
        <f>AE22-AB22</f>
        <v>52</v>
      </c>
      <c r="BF22" s="3">
        <f>AH22-AE22</f>
        <v>36</v>
      </c>
    </row>
    <row r="23" spans="1:60" s="3" customFormat="1" x14ac:dyDescent="0.2">
      <c r="A23" s="3" t="s">
        <v>340</v>
      </c>
      <c r="B23" s="3" t="str">
        <f>LOWER(VLOOKUP(A23,Xtal_Templ!A:B,2,FALSE))</f>
        <v>opsd_human</v>
      </c>
      <c r="C23" s="3">
        <f>VLOOKUP($A23,'SegEnds_NonXtal_BW#'!$A:$Z,3,FALSE)+D23-50</f>
        <v>50</v>
      </c>
      <c r="D23" s="3">
        <v>71</v>
      </c>
      <c r="E23" s="3">
        <f>IF(ISERROR(VLOOKUP($A23,'SegEnds_NonXtal_BW#'!$A:$Z,4,FALSE)+VLOOKUP($A23,A:AL,4,FALSE)-50),"-",(VLOOKUP($A23,'SegEnds_NonXtal_BW#'!$A:$Z,4,FALSE)+VLOOKUP($A23,A:AL,4,FALSE)-50))</f>
        <v>81</v>
      </c>
      <c r="F23" s="3">
        <f>G23-2</f>
        <v>82</v>
      </c>
      <c r="G23" s="3">
        <v>84</v>
      </c>
      <c r="H23" s="3">
        <f>G23+1</f>
        <v>85</v>
      </c>
      <c r="I23" s="3">
        <f>H23+1</f>
        <v>86</v>
      </c>
      <c r="J23" s="3">
        <v>99</v>
      </c>
      <c r="K23" s="3">
        <f>VLOOKUP($A23,'SegEnds_NonXtal_BW#'!$A:$Z,8,FALSE)+VLOOKUP($A23,A:AL,10,FALSE)-50</f>
        <v>116</v>
      </c>
      <c r="L23" s="3">
        <f>M23-1</f>
        <v>118</v>
      </c>
      <c r="M23" s="3">
        <v>119</v>
      </c>
      <c r="N23" s="3">
        <f>M23+2</f>
        <v>121</v>
      </c>
      <c r="O23" s="3">
        <f>N23+1</f>
        <v>122</v>
      </c>
      <c r="P23" s="3">
        <v>151</v>
      </c>
      <c r="Q23" s="3">
        <f>VLOOKUP($A23,'SegEnds_NonXtal_BW#'!$A:$Z,12,FALSE)+VLOOKUP($A23,A:AL,16,FALSE)-50</f>
        <v>157</v>
      </c>
      <c r="R23" s="3">
        <f>IF(ISERROR(VLOOKUP($A23,'SegEnds_NonXtal_BW#'!$A:$Z,13,FALSE)+VLOOKUP($A23,A:AL,19,FALSE)-50),"-",VLOOKUP($A23,'SegEnds_NonXtal_BW#'!$A:$Z,13,FALSE)+VLOOKUP($A23,A:AL,19,FALSE)-50)</f>
        <v>158</v>
      </c>
      <c r="S23" s="3">
        <v>158</v>
      </c>
      <c r="T23" s="103">
        <f>IF(ISERROR(VLOOKUP($A23,'SegEnds_NonXtal_BW#'!$A:$Z,14,FALSE)+VLOOKUP($A23,A:AL,19,FALSE)-50),"-",(VLOOKUP($A23,'SegEnds_NonXtal_BW#'!$A:$Z,14,FALSE)+VLOOKUP($A23,A:AL,19,FALSE)-50))</f>
        <v>164</v>
      </c>
      <c r="U23" s="9">
        <f>IF(ISERROR(VLOOKUP($A23,'SegEnds_NonXtal_BW#'!$A:$Z,15,FALSE)+VLOOKUP($A23,A:AL,22,FALSE)-50),"-",VLOOKUP($A23,'SegEnds_NonXtal_BW#'!$A:$Z,15,FALSE)+VLOOKUP($A23,A:AL,22,FALSE)-50)</f>
        <v>165</v>
      </c>
      <c r="V23" s="3">
        <v>177</v>
      </c>
      <c r="W23" s="3">
        <f>IF(ISERROR(VLOOKUP($A23,'SegEnds_NonXtal_BW#'!$A:$Z,16,FALSE)+VLOOKUP($A23,A:AL,22,FALSE)-50),"-",(VLOOKUP($A23,'SegEnds_NonXtal_BW#'!$A:$Z,16,FALSE)+VLOOKUP($A23,A:AL,22,FALSE)-50))</f>
        <v>189</v>
      </c>
      <c r="X23" s="3">
        <f>IF(ISERROR(VLOOKUP($A23,'SegEnds_NonXtal_BW#'!$A:$Z,17,FALSE)+VLOOKUP($A23,A:AL,25,FALSE)-50),"-",(VLOOKUP($A23,'SegEnds_NonXtal_BW#'!$A:$Z,17,FALSE)+VLOOKUP($A23,A:AL,25,FALSE)-50))</f>
        <v>203</v>
      </c>
      <c r="Y23" s="3">
        <v>203</v>
      </c>
      <c r="Z23" s="3">
        <f>Y23+2</f>
        <v>205</v>
      </c>
      <c r="AA23" s="3">
        <f>IF(ISERROR(VLOOKUP($A23,'SegEnds_NonXtal_BW#'!$A:$Z,19,FALSE)+VLOOKUP($A23,A:AL,28,FALSE)-50),"-",(VLOOKUP($A23,'SegEnds_NonXtal_BW#'!$A:$Z,19,FALSE)+VLOOKUP($A23,A:AL,28,FALSE)-50))</f>
        <v>215</v>
      </c>
      <c r="AB23" s="3">
        <v>231</v>
      </c>
      <c r="AC23" s="3">
        <f>IF(ISERROR((VLOOKUP($A23,'SegEnds_NonXtal_BW#'!$A:$Z,20,FALSE)+VLOOKUP($A23,A:AL,28,FALSE)-50)),"-",(VLOOKUP($A23,'SegEnds_NonXtal_BW#'!$A:$Z,20,FALSE)+VLOOKUP($A23,A:AL,28,FALSE)-50))</f>
        <v>253</v>
      </c>
      <c r="AD23" s="3">
        <f>IF(ISERROR(VLOOKUP($A23,'SegEnds_NonXtal_BW#'!$A:$Z,21,FALSE)+VLOOKUP($A23,A:AL,31,FALSE)-50),"-",(VLOOKUP($A23,'SegEnds_NonXtal_BW#'!$A:$Z,21,FALSE)+VLOOKUP($A23,A:AL,31,FALSE)-50))</f>
        <v>257</v>
      </c>
      <c r="AE23" s="3">
        <v>283</v>
      </c>
      <c r="AF23" s="3">
        <f>IF(ISERROR((VLOOKUP($A23,'SegEnds_NonXtal_BW#'!$A:$Z,22,FALSE)+VLOOKUP($A23,A:AL,31,FALSE)-50)),"-",(VLOOKUP($A23,'SegEnds_NonXtal_BW#'!$A:$Z,22,FALSE)+VLOOKUP($A23,A:AL,31,FALSE)-50))</f>
        <v>294</v>
      </c>
      <c r="AG23" s="3">
        <f>IF(ISERROR(VLOOKUP($A23,'SegEnds_NonXtal_BW#'!$A:$Z,23,FALSE)+VLOOKUP($A23,A:AL,34,FALSE)-50),"-",(VLOOKUP($A23,'SegEnds_NonXtal_BW#'!$A:$Z,23,FALSE)+VLOOKUP($A23,A:AL,34,FALSE)-50))</f>
        <v>300</v>
      </c>
      <c r="AH23" s="3">
        <v>319</v>
      </c>
      <c r="AI23" s="3">
        <f>IF(ISERROR((VLOOKUP($A23,'SegEnds_NonXtal_BW#'!$A:$Z,24,FALSE)+VLOOKUP($A23,A:AL,34,FALSE)-50)),"-",(VLOOKUP($A23,'SegEnds_NonXtal_BW#'!$A:$Z,24,FALSE)+VLOOKUP($A23,A:AL,34,FALSE)-50))</f>
        <v>325</v>
      </c>
      <c r="AJ23" s="3">
        <f>IF(ISERROR(VLOOKUP($A23,'SegEnds_NonXtal_BW#'!$A:$Z,25,FALSE)+VLOOKUP($A23,A:AL,37,FALSE)-50),"-",(VLOOKUP($A23,'SegEnds_NonXtal_BW#'!$A:$Z,25,FALSE)+VLOOKUP($A23,A:AL,37,FALSE)-50))</f>
        <v>326</v>
      </c>
      <c r="AK23" s="3">
        <v>329</v>
      </c>
      <c r="AL23" s="3">
        <f>IF(ISERROR((VLOOKUP($A23,'SegEnds_NonXtal_BW#'!$A:$Z,26,FALSE)+VLOOKUP($A23,A:AL,37,FALSE)-50)),"-",(VLOOKUP($A23,'SegEnds_NonXtal_BW#'!$A:$Z,26,FALSE)+VLOOKUP($A23,A:AL,37,FALSE)-50))</f>
        <v>338</v>
      </c>
      <c r="AM23" s="28" t="str">
        <f>VLOOKUP(A23,Classification!A:B,2,FALSE)</f>
        <v>A</v>
      </c>
      <c r="AN23" s="28" t="b">
        <f>AND(IF(Y23="-",IF(AA23-W23&gt;3,TRUE,FALSE),TRUE),IF(M23="-",IF(O23-K23&gt;3,TRUE,FALSE),TRUE),C23&lt;E23,OR(E23&lt;F23,F23="-"),OR(F23&lt;H23,F23="-"),OR(H23&lt;I23,H23="-"),I23&lt;K23,OR(K23&lt;L23,L23="-"),OR(L23&lt;N23,L23="-"),OR(N23&lt;O23,N23="-"),O23&lt;Q23,OR(Q23&lt;R23,R23="-"),OR(R23&lt;T23,R23="-"),OR(T23&lt;U23,T23="-"),U23&lt;W23,OR(W23&lt;X23,X23="-"),OR(X23&lt;Z23,X23="-"),OR(Z23&lt;AA23,Z23="-"),AA23&lt;AC23,AC23&lt;AD23,AD23&lt;AF23,AF23&lt;AG23,AG23&lt;AI23,OR(AI23&lt;AJ23,AJ23="-"),OR(AJ23&lt;AL23,AJ23="-"))</f>
        <v>1</v>
      </c>
      <c r="AO23" s="3" t="str">
        <f>IF(ISERROR(MATCH(A23,'SegEnds_Xtal_Prot#'!B:B, 0)), "NoXtal", "Xtal")</f>
        <v>NoXtal</v>
      </c>
      <c r="AP23" s="3">
        <f>IF(ISERROR(F23-E23),"-",F23-E23)</f>
        <v>1</v>
      </c>
      <c r="AQ23" s="3">
        <f>IF(ISERROR(I23-H23),"-",I23-H23)</f>
        <v>1</v>
      </c>
      <c r="AR23" s="3">
        <f>IF(ISERROR(L23-K23),"-",L23-K23)</f>
        <v>2</v>
      </c>
      <c r="AS23" s="3">
        <f>IF(ISERROR(O23-N23),"-",O23-N23)</f>
        <v>1</v>
      </c>
      <c r="AT23" s="3">
        <f>IF(ISERROR(R23-Q23),"-",R23-Q23)</f>
        <v>1</v>
      </c>
      <c r="AU23" s="3">
        <f>IF(ISERROR(U23-T23),"-",U23-T23)</f>
        <v>1</v>
      </c>
      <c r="AV23" s="3">
        <f>IF(ISERROR(X23-W23),"-",X23-W23)</f>
        <v>14</v>
      </c>
      <c r="AW23" s="3">
        <f>IF(ISERROR(AA23-Z23),"-",AA23-Z23)</f>
        <v>10</v>
      </c>
      <c r="AX23" s="3">
        <f>IF(ISERROR(AD23-AC23),"-",AD23-AC23)</f>
        <v>4</v>
      </c>
      <c r="AY23" s="3">
        <f>IF(ISERROR(AG23-AF23),"-",AG23-AF23)</f>
        <v>6</v>
      </c>
      <c r="AZ23" s="3">
        <f>IF(ISERROR(AJ23-AI23),"-",AJ23-AI23)</f>
        <v>1</v>
      </c>
      <c r="BA23" s="3">
        <f>IF(ISERROR(LEN(VLOOKUP(A23,Seqs!A:E,2,FALSE))-AL23),"-",LEN(VLOOKUP(A23,Seqs!A:E,2,FALSE))-AL23)</f>
        <v>26</v>
      </c>
      <c r="BB23" s="16">
        <f>J23-D23</f>
        <v>28</v>
      </c>
      <c r="BC23" s="9">
        <f>IF(ISERROR(V23-S23),"-",V23-S23)</f>
        <v>19</v>
      </c>
      <c r="BD23" s="3">
        <f>J23-D23</f>
        <v>28</v>
      </c>
      <c r="BE23" s="3">
        <f>AE23-AB23</f>
        <v>52</v>
      </c>
      <c r="BF23" s="3">
        <f>AH23-AE23</f>
        <v>36</v>
      </c>
    </row>
    <row r="24" spans="1:60" s="3" customFormat="1" x14ac:dyDescent="0.2">
      <c r="A24" s="3" t="s">
        <v>341</v>
      </c>
      <c r="B24" s="3" t="str">
        <f>LOWER(VLOOKUP(A24,Xtal_Templ!A:B,2,FALSE))</f>
        <v>opsd_bovin</v>
      </c>
      <c r="C24" s="3">
        <f>VLOOKUP($A24,'SegEnds_NonXtal_BW#'!$A:$Z,3,FALSE)+D24-50</f>
        <v>50</v>
      </c>
      <c r="D24" s="3">
        <v>71</v>
      </c>
      <c r="E24" s="3">
        <f>IF(ISERROR(VLOOKUP($A24,'SegEnds_NonXtal_BW#'!$A:$Z,4,FALSE)+VLOOKUP($A24,A:AL,4,FALSE)-50),"-",(VLOOKUP($A24,'SegEnds_NonXtal_BW#'!$A:$Z,4,FALSE)+VLOOKUP($A24,A:AL,4,FALSE)-50))</f>
        <v>81</v>
      </c>
      <c r="F24" s="3">
        <f>G24-2</f>
        <v>82</v>
      </c>
      <c r="G24" s="3">
        <v>84</v>
      </c>
      <c r="H24" s="3">
        <f>G24+1</f>
        <v>85</v>
      </c>
      <c r="I24" s="3">
        <f>H24+1</f>
        <v>86</v>
      </c>
      <c r="J24" s="3">
        <v>99</v>
      </c>
      <c r="K24" s="3">
        <f>VLOOKUP($A24,'SegEnds_NonXtal_BW#'!$A:$Z,8,FALSE)+VLOOKUP($A24,A:AL,10,FALSE)-50</f>
        <v>116</v>
      </c>
      <c r="L24" s="3">
        <f>M24-1</f>
        <v>117</v>
      </c>
      <c r="M24" s="3">
        <v>118</v>
      </c>
      <c r="N24" s="3">
        <f>M24+2</f>
        <v>120</v>
      </c>
      <c r="O24" s="3">
        <f>N24+1</f>
        <v>121</v>
      </c>
      <c r="P24" s="3">
        <v>151</v>
      </c>
      <c r="Q24" s="3">
        <f>VLOOKUP($A24,'SegEnds_NonXtal_BW#'!$A:$Z,12,FALSE)+VLOOKUP($A24,A:AL,16,FALSE)-50</f>
        <v>157</v>
      </c>
      <c r="R24" s="3">
        <f>IF(ISERROR(VLOOKUP($A24,'SegEnds_NonXtal_BW#'!$A:$Z,13,FALSE)+VLOOKUP($A24,A:AL,19,FALSE)-50),"-",VLOOKUP($A24,'SegEnds_NonXtal_BW#'!$A:$Z,13,FALSE)+VLOOKUP($A24,A:AL,19,FALSE)-50)</f>
        <v>158</v>
      </c>
      <c r="S24" s="3">
        <v>158</v>
      </c>
      <c r="T24" s="103">
        <f>IF(ISERROR(VLOOKUP($A24,'SegEnds_NonXtal_BW#'!$A:$Z,14,FALSE)+VLOOKUP($A24,A:AL,19,FALSE)-50),"-",(VLOOKUP($A24,'SegEnds_NonXtal_BW#'!$A:$Z,14,FALSE)+VLOOKUP($A24,A:AL,19,FALSE)-50))</f>
        <v>164</v>
      </c>
      <c r="U24" s="9">
        <f>IF(ISERROR(VLOOKUP($A24,'SegEnds_NonXtal_BW#'!$A:$Z,15,FALSE)+VLOOKUP($A24,A:AL,22,FALSE)-50),"-",VLOOKUP($A24,'SegEnds_NonXtal_BW#'!$A:$Z,15,FALSE)+VLOOKUP($A24,A:AL,22,FALSE)-50)</f>
        <v>165</v>
      </c>
      <c r="V24" s="3">
        <v>177</v>
      </c>
      <c r="W24" s="3">
        <f>IF(ISERROR(VLOOKUP($A24,'SegEnds_NonXtal_BW#'!$A:$Z,16,FALSE)+VLOOKUP($A24,A:AL,22,FALSE)-50),"-",(VLOOKUP($A24,'SegEnds_NonXtal_BW#'!$A:$Z,16,FALSE)+VLOOKUP($A24,A:AL,22,FALSE)-50))</f>
        <v>189</v>
      </c>
      <c r="X24" s="3">
        <f>IF(ISERROR(VLOOKUP($A24,'SegEnds_NonXtal_BW#'!$A:$Z,17,FALSE)+VLOOKUP($A24,A:AL,25,FALSE)-50),"-",(VLOOKUP($A24,'SegEnds_NonXtal_BW#'!$A:$Z,17,FALSE)+VLOOKUP($A24,A:AL,25,FALSE)-50))</f>
        <v>203</v>
      </c>
      <c r="Y24" s="3">
        <v>203</v>
      </c>
      <c r="Z24" s="3">
        <f>Y24+2</f>
        <v>205</v>
      </c>
      <c r="AA24" s="3">
        <f>IF(ISERROR(VLOOKUP($A24,'SegEnds_NonXtal_BW#'!$A:$Z,19,FALSE)+VLOOKUP($A24,A:AL,28,FALSE)-50),"-",(VLOOKUP($A24,'SegEnds_NonXtal_BW#'!$A:$Z,19,FALSE)+VLOOKUP($A24,A:AL,28,FALSE)-50))</f>
        <v>215</v>
      </c>
      <c r="AB24" s="3">
        <v>231</v>
      </c>
      <c r="AC24" s="3">
        <f>IF(ISERROR((VLOOKUP($A24,'SegEnds_NonXtal_BW#'!$A:$Z,20,FALSE)+VLOOKUP($A24,A:AL,28,FALSE)-50)),"-",(VLOOKUP($A24,'SegEnds_NonXtal_BW#'!$A:$Z,20,FALSE)+VLOOKUP($A24,A:AL,28,FALSE)-50))</f>
        <v>253</v>
      </c>
      <c r="AD24" s="3">
        <f>IF(ISERROR(VLOOKUP($A24,'SegEnds_NonXtal_BW#'!$A:$Z,21,FALSE)+VLOOKUP($A24,A:AL,31,FALSE)-50),"-",(VLOOKUP($A24,'SegEnds_NonXtal_BW#'!$A:$Z,21,FALSE)+VLOOKUP($A24,A:AL,31,FALSE)-50))</f>
        <v>257</v>
      </c>
      <c r="AE24" s="3">
        <v>283</v>
      </c>
      <c r="AF24" s="3">
        <f>IF(ISERROR((VLOOKUP($A24,'SegEnds_NonXtal_BW#'!$A:$Z,22,FALSE)+VLOOKUP($A24,A:AL,31,FALSE)-50)),"-",(VLOOKUP($A24,'SegEnds_NonXtal_BW#'!$A:$Z,22,FALSE)+VLOOKUP($A24,A:AL,31,FALSE)-50))</f>
        <v>294</v>
      </c>
      <c r="AG24" s="3">
        <f>IF(ISERROR(VLOOKUP($A24,'SegEnds_NonXtal_BW#'!$A:$Z,23,FALSE)+VLOOKUP($A24,A:AL,34,FALSE)-50),"-",(VLOOKUP($A24,'SegEnds_NonXtal_BW#'!$A:$Z,23,FALSE)+VLOOKUP($A24,A:AL,34,FALSE)-50))</f>
        <v>300</v>
      </c>
      <c r="AH24" s="3">
        <v>319</v>
      </c>
      <c r="AI24" s="3">
        <f>IF(ISERROR((VLOOKUP($A24,'SegEnds_NonXtal_BW#'!$A:$Z,24,FALSE)+VLOOKUP($A24,A:AL,34,FALSE)-50)),"-",(VLOOKUP($A24,'SegEnds_NonXtal_BW#'!$A:$Z,24,FALSE)+VLOOKUP($A24,A:AL,34,FALSE)-50))</f>
        <v>325</v>
      </c>
      <c r="AJ24" s="3">
        <f>IF(ISERROR(VLOOKUP($A24,'SegEnds_NonXtal_BW#'!$A:$Z,25,FALSE)+VLOOKUP($A24,A:AL,37,FALSE)-50),"-",(VLOOKUP($A24,'SegEnds_NonXtal_BW#'!$A:$Z,25,FALSE)+VLOOKUP($A24,A:AL,37,FALSE)-50))</f>
        <v>326</v>
      </c>
      <c r="AK24" s="3">
        <v>329</v>
      </c>
      <c r="AL24" s="3">
        <f>IF(ISERROR((VLOOKUP($A24,'SegEnds_NonXtal_BW#'!$A:$Z,26,FALSE)+VLOOKUP($A24,A:AL,37,FALSE)-50)),"-",(VLOOKUP($A24,'SegEnds_NonXtal_BW#'!$A:$Z,26,FALSE)+VLOOKUP($A24,A:AL,37,FALSE)-50))</f>
        <v>338</v>
      </c>
      <c r="AM24" s="28" t="str">
        <f>VLOOKUP(A24,Classification!A:B,2,FALSE)</f>
        <v>A</v>
      </c>
      <c r="AN24" s="28" t="b">
        <f>AND(IF(Y24="-",IF(AA24-W24&gt;3,TRUE,FALSE),TRUE),IF(M24="-",IF(O24-K24&gt;3,TRUE,FALSE),TRUE),C24&lt;E24,OR(E24&lt;F24,F24="-"),OR(F24&lt;H24,F24="-"),OR(H24&lt;I24,H24="-"),I24&lt;K24,OR(K24&lt;L24,L24="-"),OR(L24&lt;N24,L24="-"),OR(N24&lt;O24,N24="-"),O24&lt;Q24,OR(Q24&lt;R24,R24="-"),OR(R24&lt;T24,R24="-"),OR(T24&lt;U24,T24="-"),U24&lt;W24,OR(W24&lt;X24,X24="-"),OR(X24&lt;Z24,X24="-"),OR(Z24&lt;AA24,Z24="-"),AA24&lt;AC24,AC24&lt;AD24,AD24&lt;AF24,AF24&lt;AG24,AG24&lt;AI24,OR(AI24&lt;AJ24,AJ24="-"),OR(AJ24&lt;AL24,AJ24="-"))</f>
        <v>1</v>
      </c>
      <c r="AO24" s="3" t="str">
        <f>IF(ISERROR(MATCH(A24,'SegEnds_Xtal_Prot#'!B:B, 0)), "NoXtal", "Xtal")</f>
        <v>NoXtal</v>
      </c>
      <c r="AP24" s="3">
        <f>IF(ISERROR(F24-E24),"-",F24-E24)</f>
        <v>1</v>
      </c>
      <c r="AQ24" s="3">
        <f>IF(ISERROR(I24-H24),"-",I24-H24)</f>
        <v>1</v>
      </c>
      <c r="AR24" s="3">
        <f>IF(ISERROR(L24-K24),"-",L24-K24)</f>
        <v>1</v>
      </c>
      <c r="AS24" s="3">
        <f>IF(ISERROR(O24-N24),"-",O24-N24)</f>
        <v>1</v>
      </c>
      <c r="AT24" s="3">
        <f>IF(ISERROR(R24-Q24),"-",R24-Q24)</f>
        <v>1</v>
      </c>
      <c r="AU24" s="3">
        <f>IF(ISERROR(U24-T24),"-",U24-T24)</f>
        <v>1</v>
      </c>
      <c r="AV24" s="3">
        <f>IF(ISERROR(X24-W24),"-",X24-W24)</f>
        <v>14</v>
      </c>
      <c r="AW24" s="3">
        <f>IF(ISERROR(AA24-Z24),"-",AA24-Z24)</f>
        <v>10</v>
      </c>
      <c r="AX24" s="3">
        <f>IF(ISERROR(AD24-AC24),"-",AD24-AC24)</f>
        <v>4</v>
      </c>
      <c r="AY24" s="3">
        <f>IF(ISERROR(AG24-AF24),"-",AG24-AF24)</f>
        <v>6</v>
      </c>
      <c r="AZ24" s="3">
        <f>IF(ISERROR(AJ24-AI24),"-",AJ24-AI24)</f>
        <v>1</v>
      </c>
      <c r="BA24" s="3">
        <f>IF(ISERROR(LEN(VLOOKUP(A24,Seqs!A:E,2,FALSE))-AL24),"-",LEN(VLOOKUP(A24,Seqs!A:E,2,FALSE))-AL24)</f>
        <v>26</v>
      </c>
      <c r="BB24" s="16">
        <f>J24-D24</f>
        <v>28</v>
      </c>
      <c r="BC24" s="9">
        <f>IF(ISERROR(V24-S24),"-",V24-S24)</f>
        <v>19</v>
      </c>
      <c r="BD24" s="3">
        <f>J24-D24</f>
        <v>28</v>
      </c>
      <c r="BE24" s="3">
        <f>AE24-AB24</f>
        <v>52</v>
      </c>
      <c r="BF24" s="3">
        <f>AH24-AE24</f>
        <v>36</v>
      </c>
    </row>
    <row r="25" spans="1:60" s="3" customFormat="1" x14ac:dyDescent="0.2">
      <c r="A25" s="3" t="s">
        <v>350</v>
      </c>
      <c r="B25" s="3" t="str">
        <f>LOWER(VLOOKUP(A25,Xtal_Templ!A:B,2,FALSE))</f>
        <v>p2ry1_human</v>
      </c>
      <c r="C25" s="3">
        <f>VLOOKUP($A25,'SegEnds_NonXtal_BW#'!$A:$Z,3,FALSE)+D25-50</f>
        <v>32</v>
      </c>
      <c r="D25" s="3">
        <v>52</v>
      </c>
      <c r="E25" s="3">
        <f>IF(ISERROR(VLOOKUP($A25,'SegEnds_NonXtal_BW#'!$A:$Z,4,FALSE)+VLOOKUP($A25,A:AL,4,FALSE)-50),"-",(VLOOKUP($A25,'SegEnds_NonXtal_BW#'!$A:$Z,4,FALSE)+VLOOKUP($A25,A:AL,4,FALSE)-50))</f>
        <v>62</v>
      </c>
      <c r="F25" s="3" t="str">
        <f>IF(ISERROR(VLOOKUP($A25,'SegEnds_NonXtal_BW#'!$A:$Z,5,FALSE)+VLOOKUP($A25,A:AL,7,FALSE)-50),"-",(VLOOKUP($A25,'SegEnds_NonXtal_BW#'!$A:$Z,5,FALSE)+VLOOKUP($A25,A:AL,7,FALSE)-50))</f>
        <v>-</v>
      </c>
      <c r="G25" s="3" t="s">
        <v>23</v>
      </c>
      <c r="H25" s="3" t="str">
        <f>IF(ISERROR(VLOOKUP($A25,'SegEnds_NonXtal_BW#'!$A:$Z,6,FALSE)+VLOOKUP($A25,A:AL,7,FALSE)-50),"-",(VLOOKUP($A25,'SegEnds_NonXtal_BW#'!$A:$Z,6,FALSE)+VLOOKUP($A25,A:AL,7,FALSE)-50))</f>
        <v>-</v>
      </c>
      <c r="I25" s="3">
        <f>VLOOKUP($A25,'SegEnds_NonXtal_BW#'!$A:$Z,7,FALSE)+J25-50</f>
        <v>67</v>
      </c>
      <c r="J25" s="3">
        <v>80</v>
      </c>
      <c r="K25" s="3">
        <f>VLOOKUP($A25,'SegEnds_NonXtal_BW#'!$A:$Z,8,FALSE)+VLOOKUP($A25,A:AL,10,FALSE)-50</f>
        <v>96</v>
      </c>
      <c r="L25" s="3">
        <f>M25-1</f>
        <v>98</v>
      </c>
      <c r="M25" s="3">
        <v>99</v>
      </c>
      <c r="N25" s="3">
        <f>M25+2</f>
        <v>101</v>
      </c>
      <c r="O25" s="3">
        <f>N25+1</f>
        <v>102</v>
      </c>
      <c r="P25" s="3">
        <v>131</v>
      </c>
      <c r="Q25" s="3">
        <f>VLOOKUP($A25,'SegEnds_NonXtal_BW#'!$A:$Z,12,FALSE)+VLOOKUP($A25,A:AL,16,FALSE)-50</f>
        <v>137</v>
      </c>
      <c r="R25" s="3">
        <f>IF(ISERROR(VLOOKUP($A25,'SegEnds_NonXtal_BW#'!$A:$Z,13,FALSE)+VLOOKUP($A25,A:AL,19,FALSE)-50),"-",VLOOKUP($A25,'SegEnds_NonXtal_BW#'!$A:$Z,13,FALSE)+VLOOKUP($A25,A:AL,19,FALSE)-50)</f>
        <v>138</v>
      </c>
      <c r="S25" s="3">
        <v>138</v>
      </c>
      <c r="T25" s="103">
        <f>IF(ISERROR(VLOOKUP($A25,'SegEnds_NonXtal_BW#'!$A:$Z,14,FALSE)+VLOOKUP($A25,A:AL,19,FALSE)-50),"-",(VLOOKUP($A25,'SegEnds_NonXtal_BW#'!$A:$Z,14,FALSE)+VLOOKUP($A25,A:AL,19,FALSE)-50))</f>
        <v>144</v>
      </c>
      <c r="U25" s="9">
        <f>IF(ISERROR(VLOOKUP($A25,'SegEnds_NonXtal_BW#'!$A:$Z,15,FALSE)+VLOOKUP($A25,A:AL,22,FALSE)-50),"-",VLOOKUP($A25,'SegEnds_NonXtal_BW#'!$A:$Z,15,FALSE)+VLOOKUP($A25,A:AL,22,FALSE)-50)</f>
        <v>145</v>
      </c>
      <c r="V25" s="3">
        <v>157</v>
      </c>
      <c r="W25" s="3">
        <f>IF(ISERROR(VLOOKUP($A25,'SegEnds_NonXtal_BW#'!$A:$Z,16,FALSE)+VLOOKUP($A25,A:AL,22,FALSE)-50),"-",(VLOOKUP($A25,'SegEnds_NonXtal_BW#'!$A:$Z,16,FALSE)+VLOOKUP($A25,A:AL,22,FALSE)-50))</f>
        <v>171</v>
      </c>
      <c r="X25" s="3">
        <f>IF(ISERROR(VLOOKUP($A25,'SegEnds_NonXtal_BW#'!$A:$Z,17,FALSE)+VLOOKUP($A25,A:AL,25,FALSE)-50),"-",(VLOOKUP($A25,'SegEnds_NonXtal_BW#'!$A:$Z,17,FALSE)+VLOOKUP($A25,A:AL,25,FALSE)-50))</f>
        <v>181</v>
      </c>
      <c r="Y25" s="3">
        <v>181</v>
      </c>
      <c r="Z25" s="3">
        <f>Y25+2</f>
        <v>183</v>
      </c>
      <c r="AA25" s="3">
        <f>IF(ISERROR(VLOOKUP($A25,'SegEnds_NonXtal_BW#'!$A:$Z,19,FALSE)+VLOOKUP($A25,A:AL,28,FALSE)-50),"-",(VLOOKUP($A25,'SegEnds_NonXtal_BW#'!$A:$Z,19,FALSE)+VLOOKUP($A25,A:AL,28,FALSE)-50))</f>
        <v>192</v>
      </c>
      <c r="AB25" s="3">
        <v>210</v>
      </c>
      <c r="AC25" s="3">
        <f>IF(ISERROR((VLOOKUP($A25,'SegEnds_NonXtal_BW#'!$A:$Z,20,FALSE)+VLOOKUP($A25,A:AL,28,FALSE)-50)),"-",(VLOOKUP($A25,'SegEnds_NonXtal_BW#'!$A:$Z,20,FALSE)+VLOOKUP($A25,A:AL,28,FALSE)-50))</f>
        <v>228</v>
      </c>
      <c r="AD25" s="3">
        <f>IF(ISERROR(VLOOKUP($A25,'SegEnds_NonXtal_BW#'!$A:$Z,21,FALSE)+VLOOKUP($A25,A:AL,31,FALSE)-50),"-",(VLOOKUP($A25,'SegEnds_NonXtal_BW#'!$A:$Z,21,FALSE)+VLOOKUP($A25,A:AL,31,FALSE)-50))</f>
        <v>232</v>
      </c>
      <c r="AE25" s="3">
        <v>258</v>
      </c>
      <c r="AF25" s="3">
        <f>IF(ISERROR((VLOOKUP($A25,'SegEnds_NonXtal_BW#'!$A:$Z,22,FALSE)+VLOOKUP($A25,A:AL,31,FALSE)-50)),"-",(VLOOKUP($A25,'SegEnds_NonXtal_BW#'!$A:$Z,22,FALSE)+VLOOKUP($A25,A:AL,31,FALSE)-50))</f>
        <v>272</v>
      </c>
      <c r="AG25" s="3">
        <f>IF(ISERROR(VLOOKUP($A25,'SegEnds_NonXtal_BW#'!$A:$Z,23,FALSE)+VLOOKUP($A25,A:AL,34,FALSE)-50),"-",(VLOOKUP($A25,'SegEnds_NonXtal_BW#'!$A:$Z,23,FALSE)+VLOOKUP($A25,A:AL,34,FALSE)-50))</f>
        <v>276</v>
      </c>
      <c r="AH25" s="3">
        <v>302</v>
      </c>
      <c r="AI25" s="3">
        <f>IF(ISERROR((VLOOKUP($A25,'SegEnds_NonXtal_BW#'!$A:$Z,24,FALSE)+VLOOKUP($A25,A:AL,34,FALSE)-50)),"-",(VLOOKUP($A25,'SegEnds_NonXtal_BW#'!$A:$Z,24,FALSE)+VLOOKUP($A25,A:AL,34,FALSE)-50))</f>
        <v>308</v>
      </c>
      <c r="AJ25" s="3">
        <f>IF(ISERROR(VLOOKUP($A25,'SegEnds_NonXtal_BW#'!$A:$Z,25,FALSE)+VLOOKUP($A25,A:AL,37,FALSE)-50),"-",(VLOOKUP($A25,'SegEnds_NonXtal_BW#'!$A:$Z,25,FALSE)+VLOOKUP($A25,A:AL,37,FALSE)-50))</f>
        <v>309</v>
      </c>
      <c r="AK25" s="3">
        <v>312</v>
      </c>
      <c r="AL25" s="3">
        <f>IF(ISERROR((VLOOKUP($A25,'SegEnds_NonXtal_BW#'!$A:$Z,26,FALSE)+VLOOKUP($A25,A:AL,37,FALSE)-50)),"-",(VLOOKUP($A25,'SegEnds_NonXtal_BW#'!$A:$Z,26,FALSE)+VLOOKUP($A25,A:AL,37,FALSE)-50))</f>
        <v>321</v>
      </c>
      <c r="AM25" s="28" t="str">
        <f>VLOOKUP(A25,Classification!A:B,2,FALSE)</f>
        <v>A</v>
      </c>
      <c r="AN25" s="28" t="b">
        <f>AND(IF(Y25="-",IF(AA25-W25&gt;3,TRUE,FALSE),TRUE),IF(M25="-",IF(O25-K25&gt;3,TRUE,FALSE),TRUE),C25&lt;E25,OR(E25&lt;F25,F25="-"),OR(F25&lt;H25,F25="-"),OR(H25&lt;I25,H25="-"),I25&lt;K25,OR(K25&lt;L25,L25="-"),OR(L25&lt;N25,L25="-"),OR(N25&lt;O25,N25="-"),O25&lt;Q25,OR(Q25&lt;R25,R25="-"),OR(R25&lt;T25,R25="-"),OR(T25&lt;U25,T25="-"),U25&lt;W25,OR(W25&lt;X25,X25="-"),OR(X25&lt;Z25,X25="-"),OR(Z25&lt;AA25,Z25="-"),AA25&lt;AC25,AC25&lt;AD25,AD25&lt;AF25,AF25&lt;AG25,AG25&lt;AI25,OR(AI25&lt;AJ25,AJ25="-"),OR(AJ25&lt;AL25,AJ25="-"))</f>
        <v>1</v>
      </c>
      <c r="AO25" s="3" t="str">
        <f>IF(ISERROR(MATCH(A25,'SegEnds_Xtal_Prot#'!B:B, 0)), "NoXtal", "Xtal")</f>
        <v>NoXtal</v>
      </c>
      <c r="AP25" s="3" t="str">
        <f>IF(ISERROR(F25-E25),"-",F25-E25)</f>
        <v>-</v>
      </c>
      <c r="AQ25" s="3" t="str">
        <f>IF(ISERROR(I25-H25),"-",I25-H25)</f>
        <v>-</v>
      </c>
      <c r="AR25" s="3">
        <f>IF(ISERROR(L25-K25),"-",L25-K25)</f>
        <v>2</v>
      </c>
      <c r="AS25" s="3">
        <f>IF(ISERROR(O25-N25),"-",O25-N25)</f>
        <v>1</v>
      </c>
      <c r="AT25" s="3">
        <f>IF(ISERROR(R25-Q25),"-",R25-Q25)</f>
        <v>1</v>
      </c>
      <c r="AU25" s="3">
        <f>IF(ISERROR(U25-T25),"-",U25-T25)</f>
        <v>1</v>
      </c>
      <c r="AV25" s="3">
        <f>IF(ISERROR(X25-W25),"-",X25-W25)</f>
        <v>10</v>
      </c>
      <c r="AW25" s="3">
        <f>IF(ISERROR(AA25-Z25),"-",AA25-Z25)</f>
        <v>9</v>
      </c>
      <c r="AX25" s="3">
        <f>IF(ISERROR(AD25-AC25),"-",AD25-AC25)</f>
        <v>4</v>
      </c>
      <c r="AY25" s="3">
        <f>IF(ISERROR(AG25-AF25),"-",AG25-AF25)</f>
        <v>4</v>
      </c>
      <c r="AZ25" s="3">
        <f>IF(ISERROR(AJ25-AI25),"-",AJ25-AI25)</f>
        <v>1</v>
      </c>
      <c r="BA25" s="3">
        <f>IF(ISERROR(LEN(VLOOKUP(A25,Seqs!A:E,2,FALSE))-AL25),"-",LEN(VLOOKUP(A25,Seqs!A:E,2,FALSE))-AL25)</f>
        <v>18</v>
      </c>
      <c r="BB25" s="16">
        <f>J25-D25</f>
        <v>28</v>
      </c>
      <c r="BC25" s="9">
        <f>IF(ISERROR(V25-S25),"-",V25-S25)</f>
        <v>19</v>
      </c>
      <c r="BD25" s="3">
        <f>J25-D25</f>
        <v>28</v>
      </c>
      <c r="BE25" s="3">
        <f>AE25-AB25</f>
        <v>48</v>
      </c>
      <c r="BF25" s="3">
        <f>AH25-AE25</f>
        <v>44</v>
      </c>
    </row>
    <row r="26" spans="1:60" s="3" customFormat="1" x14ac:dyDescent="0.2">
      <c r="A26" s="3" t="s">
        <v>356</v>
      </c>
      <c r="B26" s="3" t="str">
        <f>LOWER(VLOOKUP(A26,Xtal_Templ!A:B,2,FALSE))</f>
        <v>par2_human</v>
      </c>
      <c r="C26" s="3">
        <f>VLOOKUP($A26,'SegEnds_NonXtal_BW#'!$A:$Z,3,FALSE)+D26-50</f>
        <v>71</v>
      </c>
      <c r="D26" s="3">
        <v>93</v>
      </c>
      <c r="E26" s="3">
        <f>IF(ISERROR(VLOOKUP($A26,'SegEnds_NonXtal_BW#'!$A:$Z,4,FALSE)+VLOOKUP($A26,A:AL,4,FALSE)-50),"-",(VLOOKUP($A26,'SegEnds_NonXtal_BW#'!$A:$Z,4,FALSE)+VLOOKUP($A26,A:AL,4,FALSE)-50))</f>
        <v>103</v>
      </c>
      <c r="F26" s="3" t="str">
        <f>IF(ISERROR(VLOOKUP($A26,'SegEnds_NonXtal_BW#'!$A:$Z,5,FALSE)+VLOOKUP($A26,A:AL,7,FALSE)-50),"-",(VLOOKUP($A26,'SegEnds_NonXtal_BW#'!$A:$Z,5,FALSE)+VLOOKUP($A26,A:AL,7,FALSE)-50))</f>
        <v>-</v>
      </c>
      <c r="G26" s="3" t="s">
        <v>23</v>
      </c>
      <c r="H26" s="3" t="str">
        <f>IF(ISERROR(VLOOKUP($A26,'SegEnds_NonXtal_BW#'!$A:$Z,6,FALSE)+VLOOKUP($A26,A:AL,7,FALSE)-50),"-",(VLOOKUP($A26,'SegEnds_NonXtal_BW#'!$A:$Z,6,FALSE)+VLOOKUP($A26,A:AL,7,FALSE)-50))</f>
        <v>-</v>
      </c>
      <c r="I26" s="3">
        <f>VLOOKUP($A26,'SegEnds_NonXtal_BW#'!$A:$Z,7,FALSE)+J26-50</f>
        <v>108</v>
      </c>
      <c r="J26" s="3">
        <v>121</v>
      </c>
      <c r="K26" s="3">
        <f>VLOOKUP($A26,'SegEnds_NonXtal_BW#'!$A:$Z,8,FALSE)+VLOOKUP($A26,A:AL,10,FALSE)-50</f>
        <v>137</v>
      </c>
      <c r="L26" s="3">
        <f>M26-1</f>
        <v>140</v>
      </c>
      <c r="M26" s="3">
        <v>141</v>
      </c>
      <c r="N26" s="3">
        <f>M26+2</f>
        <v>143</v>
      </c>
      <c r="O26" s="3">
        <f>N26+1</f>
        <v>144</v>
      </c>
      <c r="P26" s="3">
        <v>173</v>
      </c>
      <c r="Q26" s="3">
        <f>VLOOKUP($A26,'SegEnds_NonXtal_BW#'!$A:$Z,12,FALSE)+VLOOKUP($A26,A:AL,16,FALSE)-50</f>
        <v>179</v>
      </c>
      <c r="R26" s="3">
        <f>IF(ISERROR(VLOOKUP($A26,'SegEnds_NonXtal_BW#'!$A:$Z,13,FALSE)+VLOOKUP($A26,A:AL,19,FALSE)-50),"-",VLOOKUP($A26,'SegEnds_NonXtal_BW#'!$A:$Z,13,FALSE)+VLOOKUP($A26,A:AL,19,FALSE)-50)</f>
        <v>180</v>
      </c>
      <c r="S26" s="3">
        <v>180</v>
      </c>
      <c r="T26" s="103">
        <f>IF(ISERROR(VLOOKUP($A26,'SegEnds_NonXtal_BW#'!$A:$Z,14,FALSE)+VLOOKUP($A26,A:AL,19,FALSE)-50),"-",(VLOOKUP($A26,'SegEnds_NonXtal_BW#'!$A:$Z,14,FALSE)+VLOOKUP($A26,A:AL,19,FALSE)-50))</f>
        <v>186</v>
      </c>
      <c r="U26" s="9">
        <f>IF(ISERROR(VLOOKUP($A26,'SegEnds_NonXtal_BW#'!$A:$Z,15,FALSE)+VLOOKUP($A26,A:AL,22,FALSE)-50),"-",VLOOKUP($A26,'SegEnds_NonXtal_BW#'!$A:$Z,15,FALSE)+VLOOKUP($A26,A:AL,22,FALSE)-50)</f>
        <v>187</v>
      </c>
      <c r="V26" s="3">
        <v>199</v>
      </c>
      <c r="W26" s="3">
        <f>IF(ISERROR(VLOOKUP($A26,'SegEnds_NonXtal_BW#'!$A:$Z,16,FALSE)+VLOOKUP($A26,A:AL,22,FALSE)-50),"-",(VLOOKUP($A26,'SegEnds_NonXtal_BW#'!$A:$Z,16,FALSE)+VLOOKUP($A26,A:AL,22,FALSE)-50))</f>
        <v>211</v>
      </c>
      <c r="X26" s="3">
        <f>IF(ISERROR(VLOOKUP($A26,'SegEnds_NonXtal_BW#'!$A:$Z,17,FALSE)+VLOOKUP($A26,A:AL,25,FALSE)-50),"-",(VLOOKUP($A26,'SegEnds_NonXtal_BW#'!$A:$Z,17,FALSE)+VLOOKUP($A26,A:AL,25,FALSE)-50))</f>
        <v>226</v>
      </c>
      <c r="Y26" s="3">
        <v>226</v>
      </c>
      <c r="Z26" s="3">
        <f>Y26+2</f>
        <v>228</v>
      </c>
      <c r="AA26" s="3">
        <f>IF(ISERROR(VLOOKUP($A26,'SegEnds_NonXtal_BW#'!$A:$Z,19,FALSE)+VLOOKUP($A26,A:AL,28,FALSE)-50),"-",(VLOOKUP($A26,'SegEnds_NonXtal_BW#'!$A:$Z,19,FALSE)+VLOOKUP($A26,A:AL,28,FALSE)-50))</f>
        <v>235</v>
      </c>
      <c r="AB26" s="3">
        <v>254</v>
      </c>
      <c r="AC26" s="3">
        <f>IF(ISERROR((VLOOKUP($A26,'SegEnds_NonXtal_BW#'!$A:$Z,20,FALSE)+VLOOKUP($A26,A:AL,28,FALSE)-50)),"-",(VLOOKUP($A26,'SegEnds_NonXtal_BW#'!$A:$Z,20,FALSE)+VLOOKUP($A26,A:AL,28,FALSE)-50))</f>
        <v>272</v>
      </c>
      <c r="AD26" s="3">
        <f>IF(ISERROR(VLOOKUP($A26,'SegEnds_NonXtal_BW#'!$A:$Z,21,FALSE)+VLOOKUP($A26,A:AL,31,FALSE)-50),"-",(VLOOKUP($A26,'SegEnds_NonXtal_BW#'!$A:$Z,21,FALSE)+VLOOKUP($A26,A:AL,31,FALSE)-50))</f>
        <v>276</v>
      </c>
      <c r="AE26" s="3">
        <v>302</v>
      </c>
      <c r="AF26" s="3">
        <f>IF(ISERROR((VLOOKUP($A26,'SegEnds_NonXtal_BW#'!$A:$Z,22,FALSE)+VLOOKUP($A26,A:AL,31,FALSE)-50)),"-",(VLOOKUP($A26,'SegEnds_NonXtal_BW#'!$A:$Z,22,FALSE)+VLOOKUP($A26,A:AL,31,FALSE)-50))</f>
        <v>314</v>
      </c>
      <c r="AG26" s="3">
        <f>IF(ISERROR(VLOOKUP($A26,'SegEnds_NonXtal_BW#'!$A:$Z,23,FALSE)+VLOOKUP($A26,A:AL,34,FALSE)-50),"-",(VLOOKUP($A26,'SegEnds_NonXtal_BW#'!$A:$Z,23,FALSE)+VLOOKUP($A26,A:AL,34,FALSE)-50))</f>
        <v>319</v>
      </c>
      <c r="AH26" s="3">
        <v>341</v>
      </c>
      <c r="AI26" s="3">
        <f>IF(ISERROR((VLOOKUP($A26,'SegEnds_NonXtal_BW#'!$A:$Z,24,FALSE)+VLOOKUP($A26,A:AL,34,FALSE)-50)),"-",(VLOOKUP($A26,'SegEnds_NonXtal_BW#'!$A:$Z,24,FALSE)+VLOOKUP($A26,A:AL,34,FALSE)-50))</f>
        <v>347</v>
      </c>
      <c r="AJ26" s="3">
        <f>IF(ISERROR(VLOOKUP($A26,'SegEnds_NonXtal_BW#'!$A:$Z,25,FALSE)+VLOOKUP($A26,A:AL,37,FALSE)-50),"-",(VLOOKUP($A26,'SegEnds_NonXtal_BW#'!$A:$Z,25,FALSE)+VLOOKUP($A26,A:AL,37,FALSE)-50))</f>
        <v>348</v>
      </c>
      <c r="AK26" s="3">
        <v>351</v>
      </c>
      <c r="AL26" s="3">
        <f>IF(ISERROR((VLOOKUP($A26,'SegEnds_NonXtal_BW#'!$A:$Z,26,FALSE)+VLOOKUP($A26,A:AL,37,FALSE)-50)),"-",(VLOOKUP($A26,'SegEnds_NonXtal_BW#'!$A:$Z,26,FALSE)+VLOOKUP($A26,A:AL,37,FALSE)-50))</f>
        <v>362</v>
      </c>
      <c r="AM26" s="28" t="str">
        <f>VLOOKUP(A26,Classification!A:B,2,FALSE)</f>
        <v>A</v>
      </c>
      <c r="AN26" s="28" t="b">
        <f>AND(IF(Y26="-",IF(AA26-W26&gt;3,TRUE,FALSE),TRUE),IF(M26="-",IF(O26-K26&gt;3,TRUE,FALSE),TRUE),C26&lt;E26,OR(E26&lt;F26,F26="-"),OR(F26&lt;H26,F26="-"),OR(H26&lt;I26,H26="-"),I26&lt;K26,OR(K26&lt;L26,L26="-"),OR(L26&lt;N26,L26="-"),OR(N26&lt;O26,N26="-"),O26&lt;Q26,OR(Q26&lt;R26,R26="-"),OR(R26&lt;T26,R26="-"),OR(T26&lt;U26,T26="-"),U26&lt;W26,OR(W26&lt;X26,X26="-"),OR(X26&lt;Z26,X26="-"),OR(Z26&lt;AA26,Z26="-"),AA26&lt;AC26,AC26&lt;AD26,AD26&lt;AF26,AF26&lt;AG26,AG26&lt;AI26,OR(AI26&lt;AJ26,AJ26="-"),OR(AJ26&lt;AL26,AJ26="-"))</f>
        <v>1</v>
      </c>
      <c r="AO26" s="3" t="str">
        <f>IF(ISERROR(MATCH(A26,'SegEnds_Xtal_Prot#'!B:B, 0)), "NoXtal", "Xtal")</f>
        <v>Xtal</v>
      </c>
      <c r="AP26" s="3" t="str">
        <f>IF(ISERROR(F26-E26),"-",F26-E26)</f>
        <v>-</v>
      </c>
      <c r="AQ26" s="3" t="str">
        <f>IF(ISERROR(I26-H26),"-",I26-H26)</f>
        <v>-</v>
      </c>
      <c r="AR26" s="3">
        <f>IF(ISERROR(L26-K26),"-",L26-K26)</f>
        <v>3</v>
      </c>
      <c r="AS26" s="3">
        <f>IF(ISERROR(O26-N26),"-",O26-N26)</f>
        <v>1</v>
      </c>
      <c r="AT26" s="3">
        <f>IF(ISERROR(R26-Q26),"-",R26-Q26)</f>
        <v>1</v>
      </c>
      <c r="AU26" s="3">
        <f>IF(ISERROR(U26-T26),"-",U26-T26)</f>
        <v>1</v>
      </c>
      <c r="AV26" s="3">
        <f>IF(ISERROR(X26-W26),"-",X26-W26)</f>
        <v>15</v>
      </c>
      <c r="AW26" s="3">
        <f>IF(ISERROR(AA26-Z26),"-",AA26-Z26)</f>
        <v>7</v>
      </c>
      <c r="AX26" s="3">
        <f>IF(ISERROR(AD26-AC26),"-",AD26-AC26)</f>
        <v>4</v>
      </c>
      <c r="AY26" s="3">
        <f>IF(ISERROR(AG26-AF26),"-",AG26-AF26)</f>
        <v>5</v>
      </c>
      <c r="AZ26" s="3">
        <f>IF(ISERROR(AJ26-AI26),"-",AJ26-AI26)</f>
        <v>1</v>
      </c>
      <c r="BA26" s="3">
        <f>IF(ISERROR(LEN(VLOOKUP(A26,Seqs!A:E,2,FALSE))-AL26),"-",LEN(VLOOKUP(A26,Seqs!A:E,2,FALSE))-AL26)</f>
        <v>35</v>
      </c>
      <c r="BB26" s="16">
        <f>J26-D26</f>
        <v>28</v>
      </c>
      <c r="BC26" s="9">
        <f>IF(ISERROR(V26-S26),"-",V26-S26)</f>
        <v>19</v>
      </c>
      <c r="BD26" s="3">
        <f>J26-D26</f>
        <v>28</v>
      </c>
      <c r="BE26" s="3">
        <f>AE26-AB26</f>
        <v>48</v>
      </c>
    </row>
    <row r="27" spans="1:60" s="3" customFormat="1" x14ac:dyDescent="0.2">
      <c r="A27" s="3" t="s">
        <v>375</v>
      </c>
      <c r="B27" s="3" t="str">
        <f>LOWER(VLOOKUP(A27,Xtal_Templ!A:B,2,FALSE))</f>
        <v>aa1r_human</v>
      </c>
      <c r="C27" s="3">
        <f>VLOOKUP($A27,'SegEnds_NonXtal_BW#'!$A:$Z,3,FALSE)+D27-50</f>
        <v>402</v>
      </c>
      <c r="D27" s="3">
        <v>423</v>
      </c>
      <c r="E27" s="3">
        <f>IF(ISERROR(VLOOKUP($A27,'SegEnds_NonXtal_BW#'!$A:$Z,4,FALSE)+VLOOKUP($A27,A:AL,4,FALSE)-50),"-",(VLOOKUP($A27,'SegEnds_NonXtal_BW#'!$A:$Z,4,FALSE)+VLOOKUP($A27,A:AL,4,FALSE)-50))</f>
        <v>433</v>
      </c>
      <c r="F27" s="3">
        <f>G27-2</f>
        <v>434</v>
      </c>
      <c r="G27" s="3">
        <v>436</v>
      </c>
      <c r="H27" s="3">
        <f>G27+1</f>
        <v>437</v>
      </c>
      <c r="I27" s="3">
        <f>H27+1</f>
        <v>438</v>
      </c>
      <c r="J27" s="3">
        <v>451</v>
      </c>
      <c r="K27" s="3">
        <f>VLOOKUP($A27,'SegEnds_NonXtal_BW#'!$A:$Z,8,FALSE)+VLOOKUP($A27,A:AL,10,FALSE)-50</f>
        <v>468</v>
      </c>
      <c r="L27" s="3" t="str">
        <f>IF(ISERROR(VLOOKUP($A27,'SegEnds_NonXtal_BW#'!$A:$Z,9,FALSE)+VLOOKUP($A27,A:AL,13,FALSE)-50),"-",(VLOOKUP($A27,'SegEnds_NonXtal_BW#'!$A:$Z,9,FALSE)+VLOOKUP($A27,A:AL,13,FALSE)-50))</f>
        <v>-</v>
      </c>
      <c r="M27" s="3" t="s">
        <v>23</v>
      </c>
      <c r="N27" s="3" t="str">
        <f>IF(ISERROR(VLOOKUP($A27,'SegEnds_NonXtal_BW#'!$A:$Z,10,FALSE)+VLOOKUP($A27,A:AL,13,FALSE)-50),"-",(VLOOKUP($A27,'SegEnds_NonXtal_BW#'!$A:$Z,10,FALSE)+VLOOKUP($A27,A:AL,13,FALSE)-50))</f>
        <v>-</v>
      </c>
      <c r="O27" s="3">
        <f>VLOOKUP($A27,'SegEnds_NonXtal_BW#'!$A:$Z,11,FALSE)+VLOOKUP($A27,A:AL,16,FALSE)-50</f>
        <v>478</v>
      </c>
      <c r="P27" s="3">
        <v>510</v>
      </c>
      <c r="Q27" s="3">
        <f>VLOOKUP($A27,'SegEnds_NonXtal_BW#'!$A:$Z,12,FALSE)+VLOOKUP($A27,A:AL,16,FALSE)-50</f>
        <v>516</v>
      </c>
      <c r="R27" s="3">
        <f>IF(ISERROR(VLOOKUP($A27,'SegEnds_NonXtal_BW#'!$A:$Z,13,FALSE)+VLOOKUP($A27,A:AL,19,FALSE)-50),"-",VLOOKUP($A27,'SegEnds_NonXtal_BW#'!$A:$Z,13,FALSE)+VLOOKUP($A27,A:AL,19,FALSE)-50)</f>
        <v>517</v>
      </c>
      <c r="S27" s="3">
        <v>517</v>
      </c>
      <c r="T27" s="103">
        <f>IF(ISERROR(VLOOKUP($A27,'SegEnds_NonXtal_BW#'!$A:$Z,14,FALSE)+VLOOKUP($A27,A:AL,19,FALSE)-50),"-",(VLOOKUP($A27,'SegEnds_NonXtal_BW#'!$A:$Z,14,FALSE)+VLOOKUP($A27,A:AL,19,FALSE)-50))</f>
        <v>523</v>
      </c>
      <c r="U27" s="9">
        <f>IF(ISERROR(VLOOKUP($A27,'SegEnds_NonXtal_BW#'!$A:$Z,15,FALSE)+VLOOKUP($A27,A:AL,22,FALSE)-50),"-",VLOOKUP($A27,'SegEnds_NonXtal_BW#'!$A:$Z,15,FALSE)+VLOOKUP($A27,A:AL,22,FALSE)-50)</f>
        <v>524</v>
      </c>
      <c r="V27" s="3">
        <v>536</v>
      </c>
      <c r="W27" s="3">
        <f>IF(ISERROR(VLOOKUP($A27,'SegEnds_NonXtal_BW#'!$A:$Z,16,FALSE)+VLOOKUP($A27,A:AL,22,FALSE)-50),"-",(VLOOKUP($A27,'SegEnds_NonXtal_BW#'!$A:$Z,16,FALSE)+VLOOKUP($A27,A:AL,22,FALSE)-50))</f>
        <v>549</v>
      </c>
      <c r="X27" s="3">
        <f>IF(ISERROR(VLOOKUP($A27,'SegEnds_NonXtal_BW#'!$A:$Z,17,FALSE)+VLOOKUP($A27,A:AL,25,FALSE)-50),"-",(VLOOKUP($A27,'SegEnds_NonXtal_BW#'!$A:$Z,17,FALSE)+VLOOKUP($A27,A:AL,25,FALSE)-50))</f>
        <v>563</v>
      </c>
      <c r="Y27" s="3">
        <v>563</v>
      </c>
      <c r="Z27" s="3">
        <f>Y27+2</f>
        <v>565</v>
      </c>
      <c r="AA27" s="3">
        <f>IF(ISERROR(VLOOKUP($A27,'SegEnds_NonXtal_BW#'!$A:$Z,19,FALSE)+VLOOKUP($A27,A:AL,28,FALSE)-50),"-",(VLOOKUP($A27,'SegEnds_NonXtal_BW#'!$A:$Z,19,FALSE)+VLOOKUP($A27,A:AL,28,FALSE)-50))</f>
        <v>576</v>
      </c>
      <c r="AB27" s="3">
        <v>591</v>
      </c>
      <c r="AC27" s="3">
        <f>IF(ISERROR((VLOOKUP($A27,'SegEnds_NonXtal_BW#'!$A:$Z,20,FALSE)+VLOOKUP($A27,A:AL,28,FALSE)-50)),"-",(VLOOKUP($A27,'SegEnds_NonXtal_BW#'!$A:$Z,20,FALSE)+VLOOKUP($A27,A:AL,28,FALSE)-50))</f>
        <v>613</v>
      </c>
      <c r="AD27" s="3">
        <f>IF(ISERROR(VLOOKUP($A27,'SegEnds_NonXtal_BW#'!$A:$Z,21,FALSE)+VLOOKUP($A27,A:AL,31,FALSE)-50),"-",(VLOOKUP($A27,'SegEnds_NonXtal_BW#'!$A:$Z,21,FALSE)+VLOOKUP($A27,A:AL,31,FALSE)-50))</f>
        <v>617</v>
      </c>
      <c r="AE27" s="3">
        <v>643</v>
      </c>
      <c r="AF27" s="3">
        <f>IF(ISERROR((VLOOKUP($A27,'SegEnds_NonXtal_BW#'!$A:$Z,22,FALSE)+VLOOKUP($A27,A:AL,31,FALSE)-50)),"-",(VLOOKUP($A27,'SegEnds_NonXtal_BW#'!$A:$Z,22,FALSE)+VLOOKUP($A27,A:AL,31,FALSE)-50))</f>
        <v>654</v>
      </c>
      <c r="AG27" s="3">
        <f>IF(ISERROR(VLOOKUP($A27,'SegEnds_NonXtal_BW#'!$A:$Z,23,FALSE)+VLOOKUP($A27,A:AL,34,FALSE)-50),"-",(VLOOKUP($A27,'SegEnds_NonXtal_BW#'!$A:$Z,23,FALSE)+VLOOKUP($A27,A:AL,34,FALSE)-50))</f>
        <v>659</v>
      </c>
      <c r="AH27" s="3">
        <v>678</v>
      </c>
      <c r="AI27" s="3">
        <v>684</v>
      </c>
      <c r="AJ27" s="3">
        <f>IF(ISERROR(VLOOKUP($A27,'SegEnds_NonXtal_BW#'!$A:$Z,25,FALSE)+VLOOKUP($A27,A:AL,37,FALSE)-50),"-",(VLOOKUP($A27,'SegEnds_NonXtal_BW#'!$A:$Z,25,FALSE)+VLOOKUP($A27,A:AL,37,FALSE)-50))</f>
        <v>685</v>
      </c>
      <c r="AK27" s="3">
        <v>688</v>
      </c>
      <c r="AL27" s="3">
        <f>IF(ISERROR((VLOOKUP($A27,'SegEnds_NonXtal_BW#'!$A:$Z,26,FALSE)+VLOOKUP($A27,A:AL,37,FALSE)-50)),"-",(VLOOKUP($A27,'SegEnds_NonXtal_BW#'!$A:$Z,26,FALSE)+VLOOKUP($A27,A:AL,37,FALSE)-50))</f>
        <v>707</v>
      </c>
      <c r="AM27" s="28" t="str">
        <f>VLOOKUP(A27,Classification!A:B,2,FALSE)</f>
        <v>A</v>
      </c>
      <c r="AN27" s="28" t="b">
        <f>AND(IF(Y27="-",IF(AA27-W27&gt;3,TRUE,FALSE),TRUE),IF(M27="-",IF(O27-K27&gt;3,TRUE,FALSE),TRUE),C27&lt;E27,OR(E27&lt;F27,F27="-"),OR(F27&lt;H27,F27="-"),OR(H27&lt;I27,H27="-"),I27&lt;K27,OR(K27&lt;L27,L27="-"),OR(L27&lt;N27,L27="-"),OR(N27&lt;O27,N27="-"),O27&lt;Q27,OR(Q27&lt;R27,R27="-"),OR(R27&lt;T27,R27="-"),OR(T27&lt;U27,T27="-"),U27&lt;W27,OR(W27&lt;X27,X27="-"),OR(X27&lt;Z27,X27="-"),OR(Z27&lt;AA27,Z27="-"),AA27&lt;AC27,AC27&lt;AD27,AD27&lt;AF27,AF27&lt;AG27,AG27&lt;AI27,OR(AI27&lt;AJ27,AJ27="-"),OR(AJ27&lt;AL27,AJ27="-"))</f>
        <v>1</v>
      </c>
      <c r="AO27" s="3" t="str">
        <f>IF(ISERROR(MATCH(A27,'SegEnds_Xtal_Prot#'!B:B, 0)), "NoXtal", "Xtal")</f>
        <v>NoXtal</v>
      </c>
      <c r="AP27" s="3">
        <f>IF(ISERROR(F27-E27),"-",F27-E27)</f>
        <v>1</v>
      </c>
      <c r="AQ27" s="3">
        <f>IF(ISERROR(I27-H27),"-",I27-H27)</f>
        <v>1</v>
      </c>
      <c r="AR27" s="3" t="str">
        <f>IF(ISERROR(L27-K27),"-",L27-K27)</f>
        <v>-</v>
      </c>
      <c r="AS27" s="3" t="str">
        <f>IF(ISERROR(O27-N27),"-",O27-N27)</f>
        <v>-</v>
      </c>
      <c r="AT27" s="3">
        <f>IF(ISERROR(R27-Q27),"-",R27-Q27)</f>
        <v>1</v>
      </c>
      <c r="AU27" s="3">
        <f>IF(ISERROR(U27-T27),"-",U27-T27)</f>
        <v>1</v>
      </c>
      <c r="AV27" s="3">
        <f>IF(ISERROR(X27-W27),"-",X27-W27)</f>
        <v>14</v>
      </c>
      <c r="AW27" s="3">
        <f>IF(ISERROR(AA27-Z27),"-",AA27-Z27)</f>
        <v>11</v>
      </c>
      <c r="AX27" s="3">
        <f>IF(ISERROR(AD27-AC27),"-",AD27-AC27)</f>
        <v>4</v>
      </c>
      <c r="AY27" s="3">
        <f>IF(ISERROR(AG27-AF27),"-",AG27-AF27)</f>
        <v>5</v>
      </c>
      <c r="AZ27" s="3">
        <f>IF(ISERROR(AJ27-AI27),"-",AJ27-AI27)</f>
        <v>1</v>
      </c>
      <c r="BA27" s="3">
        <f>IF(ISERROR(LEN(VLOOKUP(A27,Seqs!A:E,2,FALSE))-AL27),"-",LEN(VLOOKUP(A27,Seqs!A:E,2,FALSE))-AL27)</f>
        <v>50</v>
      </c>
      <c r="BB27" s="16">
        <f>J27-D27</f>
        <v>28</v>
      </c>
      <c r="BC27" s="9">
        <f>IF(ISERROR(V27-S27),"-",V27-S27)</f>
        <v>19</v>
      </c>
      <c r="BD27" s="3">
        <f>J27-D27</f>
        <v>28</v>
      </c>
      <c r="BE27" s="3">
        <f>AE27-AB27</f>
        <v>52</v>
      </c>
    </row>
    <row r="28" spans="1:60" s="3" customFormat="1" x14ac:dyDescent="0.2">
      <c r="A28" s="3" t="s">
        <v>376</v>
      </c>
      <c r="B28" s="3" t="str">
        <f>LOWER(VLOOKUP(A28,Xtal_Templ!A:B,2,FALSE))</f>
        <v>aa1r_human</v>
      </c>
      <c r="C28" s="3">
        <f>VLOOKUP($A28,'SegEnds_NonXtal_BW#'!$A:$Z,3,FALSE)+D28-50</f>
        <v>412</v>
      </c>
      <c r="D28" s="3">
        <v>433</v>
      </c>
      <c r="E28" s="3">
        <f>IF(ISERROR(VLOOKUP($A28,'SegEnds_NonXtal_BW#'!$A:$Z,4,FALSE)+VLOOKUP($A28,A:AL,4,FALSE)-50),"-",(VLOOKUP($A28,'SegEnds_NonXtal_BW#'!$A:$Z,4,FALSE)+VLOOKUP($A28,A:AL,4,FALSE)-50))</f>
        <v>443</v>
      </c>
      <c r="F28" s="3">
        <f>G28-2</f>
        <v>444</v>
      </c>
      <c r="G28" s="3">
        <v>446</v>
      </c>
      <c r="H28" s="3">
        <f>G28+1</f>
        <v>447</v>
      </c>
      <c r="I28" s="3">
        <f>H28+1</f>
        <v>448</v>
      </c>
      <c r="J28" s="3">
        <v>461</v>
      </c>
      <c r="K28" s="3">
        <f>VLOOKUP($A28,'SegEnds_NonXtal_BW#'!$A:$Z,8,FALSE)+VLOOKUP($A28,A:AL,10,FALSE)-50</f>
        <v>478</v>
      </c>
      <c r="L28" s="3">
        <f>M28-1</f>
        <v>484</v>
      </c>
      <c r="M28" s="3">
        <v>485</v>
      </c>
      <c r="N28" s="3">
        <f>M28+2</f>
        <v>487</v>
      </c>
      <c r="O28" s="3">
        <f>N28+1</f>
        <v>488</v>
      </c>
      <c r="P28" s="3">
        <v>520</v>
      </c>
      <c r="Q28" s="3">
        <f>VLOOKUP($A28,'SegEnds_NonXtal_BW#'!$A:$Z,12,FALSE)+VLOOKUP($A28,A:AL,16,FALSE)-50</f>
        <v>526</v>
      </c>
      <c r="R28" s="3">
        <f>IF(ISERROR(VLOOKUP($A28,'SegEnds_NonXtal_BW#'!$A:$Z,13,FALSE)+VLOOKUP($A28,A:AL,19,FALSE)-50),"-",VLOOKUP($A28,'SegEnds_NonXtal_BW#'!$A:$Z,13,FALSE)+VLOOKUP($A28,A:AL,19,FALSE)-50)</f>
        <v>527</v>
      </c>
      <c r="S28" s="3">
        <v>527</v>
      </c>
      <c r="T28" s="103">
        <f>IF(ISERROR(VLOOKUP($A28,'SegEnds_NonXtal_BW#'!$A:$Z,14,FALSE)+VLOOKUP($A28,A:AL,19,FALSE)-50),"-",(VLOOKUP($A28,'SegEnds_NonXtal_BW#'!$A:$Z,14,FALSE)+VLOOKUP($A28,A:AL,19,FALSE)-50))</f>
        <v>533</v>
      </c>
      <c r="U28" s="9">
        <f>IF(ISERROR(VLOOKUP($A28,'SegEnds_NonXtal_BW#'!$A:$Z,15,FALSE)+VLOOKUP($A28,A:AL,22,FALSE)-50),"-",VLOOKUP($A28,'SegEnds_NonXtal_BW#'!$A:$Z,15,FALSE)+VLOOKUP($A28,A:AL,22,FALSE)-50)</f>
        <v>534</v>
      </c>
      <c r="V28" s="3">
        <v>546</v>
      </c>
      <c r="W28" s="3">
        <f>IF(ISERROR(VLOOKUP($A28,'SegEnds_NonXtal_BW#'!$A:$Z,16,FALSE)+VLOOKUP($A28,A:AL,22,FALSE)-50),"-",(VLOOKUP($A28,'SegEnds_NonXtal_BW#'!$A:$Z,16,FALSE)+VLOOKUP($A28,A:AL,22,FALSE)-50))</f>
        <v>559</v>
      </c>
      <c r="X28" s="3">
        <f>IF(ISERROR(VLOOKUP($A28,'SegEnds_NonXtal_BW#'!$A:$Z,17,FALSE)+VLOOKUP($A28,A:AL,25,FALSE)-50),"-",(VLOOKUP($A28,'SegEnds_NonXtal_BW#'!$A:$Z,17,FALSE)+VLOOKUP($A28,A:AL,25,FALSE)-50))</f>
        <v>573</v>
      </c>
      <c r="Y28" s="3">
        <v>573</v>
      </c>
      <c r="Z28" s="3">
        <f>Y28+2</f>
        <v>575</v>
      </c>
      <c r="AA28" s="3">
        <f>IF(ISERROR(VLOOKUP($A28,'SegEnds_NonXtal_BW#'!$A:$Z,19,FALSE)+VLOOKUP($A28,A:AL,28,FALSE)-50),"-",(VLOOKUP($A28,'SegEnds_NonXtal_BW#'!$A:$Z,19,FALSE)+VLOOKUP($A28,A:AL,28,FALSE)-50))</f>
        <v>586</v>
      </c>
      <c r="AB28" s="3">
        <v>601</v>
      </c>
      <c r="AC28" s="3">
        <f>IF(ISERROR((VLOOKUP($A28,'SegEnds_NonXtal_BW#'!$A:$Z,20,FALSE)+VLOOKUP($A28,A:AL,28,FALSE)-50)),"-",(VLOOKUP($A28,'SegEnds_NonXtal_BW#'!$A:$Z,20,FALSE)+VLOOKUP($A28,A:AL,28,FALSE)-50))</f>
        <v>623</v>
      </c>
      <c r="AD28" s="3">
        <f>IF(ISERROR(VLOOKUP($A28,'SegEnds_NonXtal_BW#'!$A:$Z,21,FALSE)+VLOOKUP($A28,A:AL,31,FALSE)-50),"-",(VLOOKUP($A28,'SegEnds_NonXtal_BW#'!$A:$Z,21,FALSE)+VLOOKUP($A28,A:AL,31,FALSE)-50))</f>
        <v>627</v>
      </c>
      <c r="AE28" s="3">
        <v>653</v>
      </c>
      <c r="AF28" s="3">
        <f>IF(ISERROR((VLOOKUP($A28,'SegEnds_NonXtal_BW#'!$A:$Z,22,FALSE)+VLOOKUP($A28,A:AL,31,FALSE)-50)),"-",(VLOOKUP($A28,'SegEnds_NonXtal_BW#'!$A:$Z,22,FALSE)+VLOOKUP($A28,A:AL,31,FALSE)-50))</f>
        <v>664</v>
      </c>
      <c r="AG28" s="3">
        <f>IF(ISERROR(VLOOKUP($A28,'SegEnds_NonXtal_BW#'!$A:$Z,23,FALSE)+VLOOKUP($A28,A:AL,34,FALSE)-50),"-",(VLOOKUP($A28,'SegEnds_NonXtal_BW#'!$A:$Z,23,FALSE)+VLOOKUP($A28,A:AL,34,FALSE)-50))</f>
        <v>669</v>
      </c>
      <c r="AH28" s="3">
        <v>688</v>
      </c>
      <c r="AI28" s="3">
        <v>694</v>
      </c>
      <c r="AJ28" s="3">
        <f>IF(ISERROR(VLOOKUP($A28,'SegEnds_NonXtal_BW#'!$A:$Z,25,FALSE)+VLOOKUP($A28,A:AL,37,FALSE)-50),"-",(VLOOKUP($A28,'SegEnds_NonXtal_BW#'!$A:$Z,25,FALSE)+VLOOKUP($A28,A:AL,37,FALSE)-50))</f>
        <v>695</v>
      </c>
      <c r="AK28" s="3">
        <v>698</v>
      </c>
      <c r="AL28" s="3">
        <f>IF(ISERROR((VLOOKUP($A28,'SegEnds_NonXtal_BW#'!$A:$Z,26,FALSE)+VLOOKUP($A28,A:AL,37,FALSE)-50)),"-",(VLOOKUP($A28,'SegEnds_NonXtal_BW#'!$A:$Z,26,FALSE)+VLOOKUP($A28,A:AL,37,FALSE)-50))</f>
        <v>717</v>
      </c>
      <c r="AM28" s="28" t="str">
        <f>VLOOKUP(A28,Classification!A:B,2,FALSE)</f>
        <v>A</v>
      </c>
      <c r="AN28" s="28" t="b">
        <f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NoXtal</v>
      </c>
      <c r="AP28" s="3">
        <f>IF(ISERROR(F28-E28),"-",F28-E28)</f>
        <v>1</v>
      </c>
      <c r="AQ28" s="3">
        <f>IF(ISERROR(I28-H28),"-",I28-H28)</f>
        <v>1</v>
      </c>
      <c r="AR28" s="3">
        <f>IF(ISERROR(L28-K28),"-",L28-K28)</f>
        <v>6</v>
      </c>
      <c r="AS28" s="3">
        <f>IF(ISERROR(O28-N28),"-",O28-N28)</f>
        <v>1</v>
      </c>
      <c r="AT28" s="3">
        <f>IF(ISERROR(R28-Q28),"-",R28-Q28)</f>
        <v>1</v>
      </c>
      <c r="AU28" s="3">
        <f>IF(ISERROR(U28-T28),"-",U28-T28)</f>
        <v>1</v>
      </c>
      <c r="AV28" s="3">
        <f>IF(ISERROR(X28-W28),"-",X28-W28)</f>
        <v>14</v>
      </c>
      <c r="AW28" s="3">
        <f>IF(ISERROR(AA28-Z28),"-",AA28-Z28)</f>
        <v>11</v>
      </c>
      <c r="AX28" s="3">
        <f>IF(ISERROR(AD28-AC28),"-",AD28-AC28)</f>
        <v>4</v>
      </c>
      <c r="AY28" s="3">
        <f>IF(ISERROR(AG28-AF28),"-",AG28-AF28)</f>
        <v>5</v>
      </c>
      <c r="AZ28" s="3">
        <f>IF(ISERROR(AJ28-AI28),"-",AJ28-AI28)</f>
        <v>1</v>
      </c>
      <c r="BA28" s="3">
        <f>IF(ISERROR(LEN(VLOOKUP(A28,Seqs!A:E,2,FALSE))-AL28),"-",LEN(VLOOKUP(A28,Seqs!A:E,2,FALSE))-AL28)</f>
        <v>37</v>
      </c>
      <c r="BB28" s="16">
        <f>J28-D28</f>
        <v>28</v>
      </c>
      <c r="BC28" s="9">
        <f>IF(ISERROR(V28-S28),"-",V28-S28)</f>
        <v>19</v>
      </c>
      <c r="BD28" s="3">
        <f>J28-D28</f>
        <v>28</v>
      </c>
      <c r="BE28" s="3">
        <f>AE28-AB28</f>
        <v>52</v>
      </c>
    </row>
    <row r="29" spans="1:60" s="3" customFormat="1" x14ac:dyDescent="0.2">
      <c r="A29" s="3" t="s">
        <v>104</v>
      </c>
      <c r="B29" s="3" t="str">
        <f>LOWER(VLOOKUP(A29,Xtal_Templ!A:B,2,FALSE))</f>
        <v>s1pr1_human</v>
      </c>
      <c r="C29" s="3">
        <f>VLOOKUP($A29,'SegEnds_NonXtal_BW#'!$A:$Z,3,FALSE)+D29-50</f>
        <v>42</v>
      </c>
      <c r="D29" s="3">
        <v>63</v>
      </c>
      <c r="E29" s="3">
        <f>IF(ISERROR(VLOOKUP($A29,'SegEnds_NonXtal_BW#'!$A:$Z,4,FALSE)+VLOOKUP($A29,A:AL,4,FALSE)-50),"-",(VLOOKUP($A29,'SegEnds_NonXtal_BW#'!$A:$Z,4,FALSE)+VLOOKUP($A29,A:AL,4,FALSE)-50))</f>
        <v>73</v>
      </c>
      <c r="F29" s="3">
        <f>G29-2</f>
        <v>74</v>
      </c>
      <c r="G29" s="3">
        <v>76</v>
      </c>
      <c r="H29" s="3">
        <f>G29+1</f>
        <v>77</v>
      </c>
      <c r="I29" s="3">
        <f>H29+1</f>
        <v>78</v>
      </c>
      <c r="J29" s="3">
        <v>91</v>
      </c>
      <c r="K29" s="3">
        <f>VLOOKUP($A29,'SegEnds_NonXtal_BW#'!$A:$Z,8,FALSE)+VLOOKUP($A29,A:AL,10,FALSE)-50</f>
        <v>104</v>
      </c>
      <c r="L29" s="3">
        <f>M29-3</f>
        <v>106</v>
      </c>
      <c r="M29" s="3">
        <v>109</v>
      </c>
      <c r="N29" s="3">
        <f>M29+3</f>
        <v>112</v>
      </c>
      <c r="O29" s="3">
        <f>N29+1</f>
        <v>113</v>
      </c>
      <c r="P29" s="3">
        <v>142</v>
      </c>
      <c r="Q29" s="3">
        <f>VLOOKUP($A29,'SegEnds_NonXtal_BW#'!$A:$Z,12,FALSE)+VLOOKUP($A29,A:AL,16,FALSE)-50</f>
        <v>148</v>
      </c>
      <c r="R29" s="3">
        <f>IF(ISERROR(VLOOKUP($A29,'SegEnds_NonXtal_BW#'!$A:$Z,13,FALSE)+VLOOKUP($A29,A:AL,19,FALSE)-50),"-",VLOOKUP($A29,'SegEnds_NonXtal_BW#'!$A:$Z,13,FALSE)+VLOOKUP($A29,A:AL,19,FALSE)-50)</f>
        <v>149</v>
      </c>
      <c r="S29" s="3">
        <v>149</v>
      </c>
      <c r="T29" s="103">
        <f>IF(ISERROR(VLOOKUP($A29,'SegEnds_NonXtal_BW#'!$A:$Z,14,FALSE)+VLOOKUP($A29,A:AL,19,FALSE)-50),"-",(VLOOKUP($A29,'SegEnds_NonXtal_BW#'!$A:$Z,14,FALSE)+VLOOKUP($A29,A:AL,19,FALSE)-50))</f>
        <v>155</v>
      </c>
      <c r="U29" s="9">
        <f>IF(ISERROR(VLOOKUP($A29,'SegEnds_NonXtal_BW#'!$A:$Z,15,FALSE)+VLOOKUP($A29,A:AL,22,FALSE)-50),"-",VLOOKUP($A29,'SegEnds_NonXtal_BW#'!$A:$Z,15,FALSE)+VLOOKUP($A29,A:AL,22,FALSE)-50)</f>
        <v>156</v>
      </c>
      <c r="V29" s="3">
        <v>168</v>
      </c>
      <c r="W29" s="3">
        <f>IF(ISERROR(VLOOKUP($A29,'SegEnds_NonXtal_BW#'!$A:$Z,16,FALSE)+VLOOKUP($A29,A:AL,22,FALSE)-50),"-",(VLOOKUP($A29,'SegEnds_NonXtal_BW#'!$A:$Z,16,FALSE)+VLOOKUP($A29,A:AL,22,FALSE)-50))</f>
        <v>181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199</v>
      </c>
      <c r="AB29" s="3">
        <v>213</v>
      </c>
      <c r="AC29" s="3">
        <f>IF(ISERROR((VLOOKUP($A29,'SegEnds_NonXtal_BW#'!$A:$Z,20,FALSE)+VLOOKUP($A29,A:AL,28,FALSE)-50)),"-",(VLOOKUP($A29,'SegEnds_NonXtal_BW#'!$A:$Z,20,FALSE)+VLOOKUP($A29,A:AL,28,FALSE)-50))</f>
        <v>236</v>
      </c>
      <c r="AD29" s="3">
        <f>IF(ISERROR(VLOOKUP($A29,'SegEnds_NonXtal_BW#'!$A:$Z,21,FALSE)+VLOOKUP($A29,A:AL,31,FALSE)-50),"-",(VLOOKUP($A29,'SegEnds_NonXtal_BW#'!$A:$Z,21,FALSE)+VLOOKUP($A29,A:AL,31,FALSE)-50))</f>
        <v>245</v>
      </c>
      <c r="AE29" s="3">
        <v>271</v>
      </c>
      <c r="AF29" s="3">
        <f>IF(ISERROR((VLOOKUP($A29,'SegEnds_NonXtal_BW#'!$A:$Z,22,FALSE)+VLOOKUP($A29,A:AL,31,FALSE)-50)),"-",(VLOOKUP($A29,'SegEnds_NonXtal_BW#'!$A:$Z,22,FALSE)+VLOOKUP($A29,A:AL,31,FALSE)-50))</f>
        <v>282</v>
      </c>
      <c r="AG29" s="3">
        <f>IF(ISERROR(VLOOKUP($A29,'SegEnds_NonXtal_BW#'!$A:$Z,23,FALSE)+VLOOKUP($A29,A:AL,34,FALSE)-50),"-",(VLOOKUP($A29,'SegEnds_NonXtal_BW#'!$A:$Z,23,FALSE)+VLOOKUP($A29,A:AL,34,FALSE)-50))</f>
        <v>288</v>
      </c>
      <c r="AH29" s="3">
        <v>308</v>
      </c>
      <c r="AI29" s="3">
        <f>IF(ISERROR((VLOOKUP($A29,'SegEnds_NonXtal_BW#'!$A:$Z,24,FALSE)+VLOOKUP($A29,A:AL,34,FALSE)-50)),"-",(VLOOKUP($A29,'SegEnds_NonXtal_BW#'!$A:$Z,24,FALSE)+VLOOKUP($A29,A:AL,34,FALSE)-50))</f>
        <v>314</v>
      </c>
      <c r="AJ29" s="3">
        <f>IF(ISERROR(VLOOKUP($A29,'SegEnds_NonXtal_BW#'!$A:$Z,25,FALSE)+VLOOKUP($A29,A:AL,37,FALSE)-50),"-",(VLOOKUP($A29,'SegEnds_NonXtal_BW#'!$A:$Z,25,FALSE)+VLOOKUP($A29,A:AL,37,FALSE)-50))</f>
        <v>315</v>
      </c>
      <c r="AK29" s="3">
        <v>318</v>
      </c>
      <c r="AL29" s="3">
        <f>IF(ISERROR((VLOOKUP($A29,'SegEnds_NonXtal_BW#'!$A:$Z,26,FALSE)+VLOOKUP($A29,A:AL,37,FALSE)-50)),"-",(VLOOKUP($A29,'SegEnds_NonXtal_BW#'!$A:$Z,26,FALSE)+VLOOKUP($A29,A:AL,37,FALSE)-50))</f>
        <v>327</v>
      </c>
      <c r="AM29" s="28" t="str">
        <f>VLOOKUP(A29,Classification!A:B,2,FALSE)</f>
        <v>A</v>
      </c>
      <c r="AN29" s="28" t="b">
        <f>AND(IF(Y29="-",IF(AA29-W29&gt;3,TRUE,FALSE),TRUE),IF(M29="-",IF(O29-K29&gt;3,TRUE,FALSE),TRUE),C29&lt;E29,OR(E29&lt;F29,F29="-"),OR(F29&lt;H29,F29="-"),OR(H29&lt;I29,H29="-"),I29&lt;K29,OR(K29&lt;L29,L29="-"),OR(L29&lt;N29,L29="-"),OR(N29&lt;O29,N29="-"),O29&lt;Q29,OR(Q29&lt;R29,R29="-"),OR(R29&lt;T29,R29="-"),OR(T29&lt;U29,T29="-"),U29&lt;W29,OR(W29&lt;X29,X29="-"),OR(X29&lt;Z29,X29="-"),OR(Z29&lt;AA29,Z29="-"),AA29&lt;AC29,AC29&lt;AD29,AD29&lt;AF29,AF29&lt;AG29,AG29&lt;AI29,OR(AI29&lt;AJ29,AJ29="-"),OR(AJ29&lt;AL29,AJ29="-"))</f>
        <v>1</v>
      </c>
      <c r="AO29" s="3" t="str">
        <f>IF(ISERROR(MATCH(A29,'SegEnds_Xtal_Prot#'!B:B, 0)), "NoXtal", "Xtal")</f>
        <v>Xtal</v>
      </c>
      <c r="AP29" s="3">
        <f>IF(ISERROR(F29-E29),"-",F29-E29)</f>
        <v>1</v>
      </c>
      <c r="AQ29" s="3">
        <f>IF(ISERROR(I29-H29),"-",I29-H29)</f>
        <v>1</v>
      </c>
      <c r="AR29" s="3">
        <f>IF(ISERROR(L29-K29),"-",L29-K29)</f>
        <v>2</v>
      </c>
      <c r="AS29" s="3">
        <f>IF(ISERROR(O29-N29),"-",O29-N29)</f>
        <v>1</v>
      </c>
      <c r="AT29" s="3">
        <f>IF(ISERROR(R29-Q29),"-",R29-Q29)</f>
        <v>1</v>
      </c>
      <c r="AU29" s="3">
        <f>IF(ISERROR(U29-T29),"-",U29-T29)</f>
        <v>1</v>
      </c>
      <c r="AV29" s="3" t="str">
        <f>IF(ISERROR(X29-W29),"-",X29-W29)</f>
        <v>-</v>
      </c>
      <c r="AW29" s="3" t="str">
        <f>IF(ISERROR(AA29-Z29),"-",AA29-Z29)</f>
        <v>-</v>
      </c>
      <c r="AX29" s="3">
        <f>IF(ISERROR(AD29-AC29),"-",AD29-AC29)</f>
        <v>9</v>
      </c>
      <c r="AY29" s="3">
        <f>IF(ISERROR(AG29-AF29),"-",AG29-AF29)</f>
        <v>6</v>
      </c>
      <c r="AZ29" s="3">
        <f>IF(ISERROR(AJ29-AI29),"-",AJ29-AI29)</f>
        <v>1</v>
      </c>
      <c r="BA29" s="3">
        <f>IF(ISERROR(LEN(VLOOKUP(A29,Seqs!A:E,2,FALSE))-AL29),"-",LEN(VLOOKUP(A29,Seqs!A:E,2,FALSE))-AL29)</f>
        <v>55</v>
      </c>
      <c r="BB29" s="16">
        <f>J29-D29</f>
        <v>28</v>
      </c>
      <c r="BC29" s="9">
        <f>IF(ISERROR(V29-S29),"-",V29-S29)</f>
        <v>19</v>
      </c>
      <c r="BD29" s="3">
        <f>J29-D29</f>
        <v>28</v>
      </c>
      <c r="BE29" s="3">
        <f>AE29-AB29</f>
        <v>58</v>
      </c>
    </row>
    <row r="30" spans="1:60" s="3" customFormat="1" x14ac:dyDescent="0.2">
      <c r="A30" s="3" t="s">
        <v>377</v>
      </c>
      <c r="B30" s="3" t="str">
        <f>LOWER(VLOOKUP(A30,Xtal_Templ!A:B,2,FALSE))</f>
        <v>s1pr1_human</v>
      </c>
      <c r="C30" s="3">
        <f>VLOOKUP($A30,'SegEnds_NonXtal_BW#'!$A:$Z,3,FALSE)+D30-50</f>
        <v>30</v>
      </c>
      <c r="D30" s="3">
        <v>51</v>
      </c>
      <c r="E30" s="3">
        <f>IF(ISERROR(VLOOKUP($A30,'SegEnds_NonXtal_BW#'!$A:$Z,4,FALSE)+VLOOKUP($A30,A:AL,4,FALSE)-50),"-",(VLOOKUP($A30,'SegEnds_NonXtal_BW#'!$A:$Z,4,FALSE)+VLOOKUP($A30,A:AL,4,FALSE)-50))</f>
        <v>61</v>
      </c>
      <c r="F30" s="3">
        <f>G30-2</f>
        <v>62</v>
      </c>
      <c r="G30" s="3">
        <v>64</v>
      </c>
      <c r="H30" s="3">
        <f>G30+1</f>
        <v>65</v>
      </c>
      <c r="I30" s="3">
        <f>H30+1</f>
        <v>66</v>
      </c>
      <c r="J30" s="3">
        <v>79</v>
      </c>
      <c r="K30" s="3">
        <f>VLOOKUP($A30,'SegEnds_NonXtal_BW#'!$A:$Z,8,FALSE)+VLOOKUP($A30,A:AL,10,FALSE)-50</f>
        <v>92</v>
      </c>
      <c r="L30" s="3">
        <f>M30-3</f>
        <v>94</v>
      </c>
      <c r="M30" s="3">
        <v>97</v>
      </c>
      <c r="N30" s="3">
        <f>M30+3</f>
        <v>100</v>
      </c>
      <c r="O30" s="3">
        <f>N30+1</f>
        <v>101</v>
      </c>
      <c r="P30" s="3">
        <v>130</v>
      </c>
      <c r="Q30" s="3">
        <f>VLOOKUP($A30,'SegEnds_NonXtal_BW#'!$A:$Z,12,FALSE)+VLOOKUP($A30,A:AL,16,FALSE)-50</f>
        <v>136</v>
      </c>
      <c r="R30" s="3">
        <f>IF(ISERROR(VLOOKUP($A30,'SegEnds_NonXtal_BW#'!$A:$Z,13,FALSE)+VLOOKUP($A30,A:AL,19,FALSE)-50),"-",VLOOKUP($A30,'SegEnds_NonXtal_BW#'!$A:$Z,13,FALSE)+VLOOKUP($A30,A:AL,19,FALSE)-50)</f>
        <v>137</v>
      </c>
      <c r="S30" s="3">
        <v>137</v>
      </c>
      <c r="T30" s="103">
        <f>IF(ISERROR(VLOOKUP($A30,'SegEnds_NonXtal_BW#'!$A:$Z,14,FALSE)+VLOOKUP($A30,A:AL,19,FALSE)-50),"-",(VLOOKUP($A30,'SegEnds_NonXtal_BW#'!$A:$Z,14,FALSE)+VLOOKUP($A30,A:AL,19,FALSE)-50))</f>
        <v>143</v>
      </c>
      <c r="U30" s="9">
        <f>IF(ISERROR(VLOOKUP($A30,'SegEnds_NonXtal_BW#'!$A:$Z,15,FALSE)+VLOOKUP($A30,A:AL,22,FALSE)-50),"-",VLOOKUP($A30,'SegEnds_NonXtal_BW#'!$A:$Z,15,FALSE)+VLOOKUP($A30,A:AL,22,FALSE)-50)</f>
        <v>144</v>
      </c>
      <c r="V30" s="3">
        <v>156</v>
      </c>
      <c r="W30" s="3">
        <f>IF(ISERROR(VLOOKUP($A30,'SegEnds_NonXtal_BW#'!$A:$Z,16,FALSE)+VLOOKUP($A30,A:AL,22,FALSE)-50),"-",(VLOOKUP($A30,'SegEnds_NonXtal_BW#'!$A:$Z,16,FALSE)+VLOOKUP($A30,A:AL,22,FALSE)-50))</f>
        <v>169</v>
      </c>
      <c r="X30" s="3" t="str">
        <f>IF(ISERROR(VLOOKUP($A30,'SegEnds_NonXtal_BW#'!$A:$Z,17,FALSE)+VLOOKUP($A30,A:AL,25,FALSE)-50),"-",(VLOOKUP($A30,'SegEnds_NonXtal_BW#'!$A:$Z,17,FALSE)+VLOOKUP($A30,A:AL,25,FALSE)-50))</f>
        <v>-</v>
      </c>
      <c r="Y30" s="3" t="s">
        <v>23</v>
      </c>
      <c r="Z30" s="3" t="str">
        <f>IF(ISERROR(VLOOKUP($A30,'SegEnds_NonXtal_BW#'!$A:$Z,18,FALSE)+VLOOKUP($A30,A:AL,25,FALSE)-50),"-",(VLOOKUP($A30,'SegEnds_NonXtal_BW#'!$A:$Z,18,FALSE)+VLOOKUP($A30,A:AL,25,FALSE)-50))</f>
        <v>-</v>
      </c>
      <c r="AA30" s="3">
        <f>IF(ISERROR(VLOOKUP($A30,'SegEnds_NonXtal_BW#'!$A:$Z,19,FALSE)+VLOOKUP($A30,A:AL,28,FALSE)-50),"-",(VLOOKUP($A30,'SegEnds_NonXtal_BW#'!$A:$Z,19,FALSE)+VLOOKUP($A30,A:AL,28,FALSE)-50))</f>
        <v>187</v>
      </c>
      <c r="AB30" s="3">
        <v>201</v>
      </c>
      <c r="AC30" s="3">
        <f>IF(ISERROR((VLOOKUP($A30,'SegEnds_NonXtal_BW#'!$A:$Z,20,FALSE)+VLOOKUP($A30,A:AL,28,FALSE)-50)),"-",(VLOOKUP($A30,'SegEnds_NonXtal_BW#'!$A:$Z,20,FALSE)+VLOOKUP($A30,A:AL,28,FALSE)-50))</f>
        <v>218</v>
      </c>
      <c r="AD30" s="3">
        <f>IF(ISERROR(VLOOKUP($A30,'SegEnds_NonXtal_BW#'!$A:$Z,21,FALSE)+VLOOKUP($A30,A:AL,31,FALSE)-50),"-",(VLOOKUP($A30,'SegEnds_NonXtal_BW#'!$A:$Z,21,FALSE)+VLOOKUP($A30,A:AL,31,FALSE)-50))</f>
        <v>224</v>
      </c>
      <c r="AE30" s="3">
        <v>248</v>
      </c>
      <c r="AF30" s="3">
        <f>IF(ISERROR((VLOOKUP($A30,'SegEnds_NonXtal_BW#'!$A:$Z,22,FALSE)+VLOOKUP($A30,A:AL,31,FALSE)-50)),"-",(VLOOKUP($A30,'SegEnds_NonXtal_BW#'!$A:$Z,22,FALSE)+VLOOKUP($A30,A:AL,31,FALSE)-50))</f>
        <v>259</v>
      </c>
      <c r="AG30" s="3">
        <f>IF(ISERROR(VLOOKUP($A30,'SegEnds_NonXtal_BW#'!$A:$Z,23,FALSE)+VLOOKUP($A30,A:AL,34,FALSE)-50),"-",(VLOOKUP($A30,'SegEnds_NonXtal_BW#'!$A:$Z,23,FALSE)+VLOOKUP($A30,A:AL,34,FALSE)-50))</f>
        <v>265</v>
      </c>
      <c r="AH30" s="3">
        <v>285</v>
      </c>
      <c r="AI30" s="3">
        <f>IF(ISERROR((VLOOKUP($A30,'SegEnds_NonXtal_BW#'!$A:$Z,24,FALSE)+VLOOKUP($A30,A:AL,34,FALSE)-50)),"-",(VLOOKUP($A30,'SegEnds_NonXtal_BW#'!$A:$Z,24,FALSE)+VLOOKUP($A30,A:AL,34,FALSE)-50))</f>
        <v>291</v>
      </c>
      <c r="AJ30" s="3">
        <f>IF(ISERROR(VLOOKUP($A30,'SegEnds_NonXtal_BW#'!$A:$Z,25,FALSE)+VLOOKUP($A30,A:AL,37,FALSE)-50),"-",(VLOOKUP($A30,'SegEnds_NonXtal_BW#'!$A:$Z,25,FALSE)+VLOOKUP($A30,A:AL,37,FALSE)-50))</f>
        <v>292</v>
      </c>
      <c r="AK30" s="3">
        <v>295</v>
      </c>
      <c r="AL30" s="3">
        <f>IF(ISERROR((VLOOKUP($A30,'SegEnds_NonXtal_BW#'!$A:$Z,26,FALSE)+VLOOKUP($A30,A:AL,37,FALSE)-50)),"-",(VLOOKUP($A30,'SegEnds_NonXtal_BW#'!$A:$Z,26,FALSE)+VLOOKUP($A30,A:AL,37,FALSE)-50))</f>
        <v>304</v>
      </c>
      <c r="AM30" s="28" t="str">
        <f>VLOOKUP(A30,Classification!A:B,2,FALSE)</f>
        <v>A</v>
      </c>
      <c r="AN30" s="28" t="b">
        <f>AND(IF(Y30="-",IF(AA30-W30&gt;3,TRUE,FALSE),TRUE),IF(M30="-",IF(O30-K30&gt;3,TRUE,FALSE),TRUE),C30&lt;E30,OR(E30&lt;F30,F30="-"),OR(F30&lt;H30,F30="-"),OR(H30&lt;I30,H30="-"),I30&lt;K30,OR(K30&lt;L30,L30="-"),OR(L30&lt;N30,L30="-"),OR(N30&lt;O30,N30="-"),O30&lt;Q30,OR(Q30&lt;R30,R30="-"),OR(R30&lt;T30,R30="-"),OR(T30&lt;U30,T30="-"),U30&lt;W30,OR(W30&lt;X30,X30="-"),OR(X30&lt;Z30,X30="-"),OR(Z30&lt;AA30,Z30="-"),AA30&lt;AC30,AC30&lt;AD30,AD30&lt;AF30,AF30&lt;AG30,AG30&lt;AI30,OR(AI30&lt;AJ30,AJ30="-"),OR(AJ30&lt;AL30,AJ30="-"))</f>
        <v>1</v>
      </c>
      <c r="AO30" s="3" t="str">
        <f>IF(ISERROR(MATCH(A30,'SegEnds_Xtal_Prot#'!B:B, 0)), "NoXtal", "Xtal")</f>
        <v>NoXtal</v>
      </c>
      <c r="AP30" s="3">
        <f>IF(ISERROR(F30-E30),"-",F30-E30)</f>
        <v>1</v>
      </c>
      <c r="AQ30" s="3">
        <f>IF(ISERROR(I30-H30),"-",I30-H30)</f>
        <v>1</v>
      </c>
      <c r="AR30" s="3">
        <f>IF(ISERROR(L30-K30),"-",L30-K30)</f>
        <v>2</v>
      </c>
      <c r="AS30" s="3">
        <f>IF(ISERROR(O30-N30),"-",O30-N30)</f>
        <v>1</v>
      </c>
      <c r="AT30" s="3">
        <f>IF(ISERROR(R30-Q30),"-",R30-Q30)</f>
        <v>1</v>
      </c>
      <c r="AU30" s="3">
        <f>IF(ISERROR(U30-T30),"-",U30-T30)</f>
        <v>1</v>
      </c>
      <c r="AV30" s="3" t="str">
        <f>IF(ISERROR(X30-W30),"-",X30-W30)</f>
        <v>-</v>
      </c>
      <c r="AW30" s="3" t="str">
        <f>IF(ISERROR(AA30-Z30),"-",AA30-Z30)</f>
        <v>-</v>
      </c>
      <c r="AX30" s="3">
        <f>IF(ISERROR(AD30-AC30),"-",AD30-AC30)</f>
        <v>6</v>
      </c>
      <c r="AY30" s="3">
        <f>IF(ISERROR(AG30-AF30),"-",AG30-AF30)</f>
        <v>6</v>
      </c>
      <c r="AZ30" s="3">
        <f>IF(ISERROR(AJ30-AI30),"-",AJ30-AI30)</f>
        <v>1</v>
      </c>
      <c r="BA30" s="3">
        <f>IF(ISERROR(LEN(VLOOKUP(A30,Seqs!A:E,2,FALSE))-AL30),"-",LEN(VLOOKUP(A30,Seqs!A:E,2,FALSE))-AL30)</f>
        <v>49</v>
      </c>
      <c r="BB30" s="16">
        <f>J30-D30</f>
        <v>28</v>
      </c>
      <c r="BC30" s="9">
        <f>IF(ISERROR(V30-S30),"-",V30-S30)</f>
        <v>19</v>
      </c>
      <c r="BD30" s="3">
        <f>J30-D30</f>
        <v>28</v>
      </c>
      <c r="BE30" s="3">
        <f>AE30-AB30</f>
        <v>47</v>
      </c>
      <c r="BH30" s="9"/>
    </row>
    <row r="31" spans="1:60" s="3" customFormat="1" x14ac:dyDescent="0.2">
      <c r="A31" s="3" t="s">
        <v>378</v>
      </c>
      <c r="B31" s="3" t="str">
        <f>LOWER(VLOOKUP(A31,Xtal_Templ!A:B,2,FALSE))</f>
        <v>s1pr1_human</v>
      </c>
      <c r="C31" s="3">
        <f>VLOOKUP($A31,'SegEnds_NonXtal_BW#'!$A:$Z,3,FALSE)+D31-50</f>
        <v>36</v>
      </c>
      <c r="D31" s="3">
        <v>57</v>
      </c>
      <c r="E31" s="3">
        <f>IF(ISERROR(VLOOKUP($A31,'SegEnds_NonXtal_BW#'!$A:$Z,4,FALSE)+VLOOKUP($A31,A:AL,4,FALSE)-50),"-",(VLOOKUP($A31,'SegEnds_NonXtal_BW#'!$A:$Z,4,FALSE)+VLOOKUP($A31,A:AL,4,FALSE)-50))</f>
        <v>67</v>
      </c>
      <c r="F31" s="3">
        <f>G31-2</f>
        <v>68</v>
      </c>
      <c r="G31" s="3">
        <v>70</v>
      </c>
      <c r="H31" s="3">
        <f>G31+1</f>
        <v>71</v>
      </c>
      <c r="I31" s="3">
        <f>H31+1</f>
        <v>72</v>
      </c>
      <c r="J31" s="3">
        <v>85</v>
      </c>
      <c r="K31" s="3">
        <f>VLOOKUP($A31,'SegEnds_NonXtal_BW#'!$A:$Z,8,FALSE)+VLOOKUP($A31,A:AL,10,FALSE)-50</f>
        <v>98</v>
      </c>
      <c r="L31" s="3">
        <f>M31-3</f>
        <v>100</v>
      </c>
      <c r="M31" s="3">
        <v>103</v>
      </c>
      <c r="N31" s="3">
        <f>M31+3</f>
        <v>106</v>
      </c>
      <c r="O31" s="3">
        <f>N31+1</f>
        <v>107</v>
      </c>
      <c r="P31" s="3">
        <v>136</v>
      </c>
      <c r="Q31" s="3">
        <f>VLOOKUP($A31,'SegEnds_NonXtal_BW#'!$A:$Z,12,FALSE)+VLOOKUP($A31,A:AL,16,FALSE)-50</f>
        <v>142</v>
      </c>
      <c r="R31" s="3">
        <f>IF(ISERROR(VLOOKUP($A31,'SegEnds_NonXtal_BW#'!$A:$Z,13,FALSE)+VLOOKUP($A31,A:AL,19,FALSE)-50),"-",VLOOKUP($A31,'SegEnds_NonXtal_BW#'!$A:$Z,13,FALSE)+VLOOKUP($A31,A:AL,19,FALSE)-50)</f>
        <v>143</v>
      </c>
      <c r="S31" s="3">
        <v>143</v>
      </c>
      <c r="T31" s="103">
        <f>IF(ISERROR(VLOOKUP($A31,'SegEnds_NonXtal_BW#'!$A:$Z,14,FALSE)+VLOOKUP($A31,A:AL,19,FALSE)-50),"-",(VLOOKUP($A31,'SegEnds_NonXtal_BW#'!$A:$Z,14,FALSE)+VLOOKUP($A31,A:AL,19,FALSE)-50))</f>
        <v>149</v>
      </c>
      <c r="U31" s="9">
        <f>IF(ISERROR(VLOOKUP($A31,'SegEnds_NonXtal_BW#'!$A:$Z,15,FALSE)+VLOOKUP($A31,A:AL,22,FALSE)-50),"-",VLOOKUP($A31,'SegEnds_NonXtal_BW#'!$A:$Z,15,FALSE)+VLOOKUP($A31,A:AL,22,FALSE)-50)</f>
        <v>150</v>
      </c>
      <c r="V31" s="3">
        <v>162</v>
      </c>
      <c r="W31" s="3">
        <f>IF(ISERROR(VLOOKUP($A31,'SegEnds_NonXtal_BW#'!$A:$Z,16,FALSE)+VLOOKUP($A31,A:AL,22,FALSE)-50),"-",(VLOOKUP($A31,'SegEnds_NonXtal_BW#'!$A:$Z,16,FALSE)+VLOOKUP($A31,A:AL,22,FALSE)-50))</f>
        <v>175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193</v>
      </c>
      <c r="AB31" s="3">
        <v>207</v>
      </c>
      <c r="AC31" s="3">
        <f>IF(ISERROR((VLOOKUP($A31,'SegEnds_NonXtal_BW#'!$A:$Z,20,FALSE)+VLOOKUP($A31,A:AL,28,FALSE)-50)),"-",(VLOOKUP($A31,'SegEnds_NonXtal_BW#'!$A:$Z,20,FALSE)+VLOOKUP($A31,A:AL,28,FALSE)-50))</f>
        <v>225</v>
      </c>
      <c r="AD31" s="3">
        <f>IF(ISERROR(VLOOKUP($A31,'SegEnds_NonXtal_BW#'!$A:$Z,21,FALSE)+VLOOKUP($A31,A:AL,31,FALSE)-50),"-",(VLOOKUP($A31,'SegEnds_NonXtal_BW#'!$A:$Z,21,FALSE)+VLOOKUP($A31,A:AL,31,FALSE)-50))</f>
        <v>231</v>
      </c>
      <c r="AE31" s="3">
        <v>258</v>
      </c>
      <c r="AF31" s="3">
        <f>IF(ISERROR((VLOOKUP($A31,'SegEnds_NonXtal_BW#'!$A:$Z,22,FALSE)+VLOOKUP($A31,A:AL,31,FALSE)-50)),"-",(VLOOKUP($A31,'SegEnds_NonXtal_BW#'!$A:$Z,22,FALSE)+VLOOKUP($A31,A:AL,31,FALSE)-50))</f>
        <v>269</v>
      </c>
      <c r="AG31" s="3">
        <f>IF(ISERROR(VLOOKUP($A31,'SegEnds_NonXtal_BW#'!$A:$Z,23,FALSE)+VLOOKUP($A31,A:AL,34,FALSE)-50),"-",(VLOOKUP($A31,'SegEnds_NonXtal_BW#'!$A:$Z,23,FALSE)+VLOOKUP($A31,A:AL,34,FALSE)-50))</f>
        <v>275</v>
      </c>
      <c r="AH31" s="3">
        <v>295</v>
      </c>
      <c r="AI31" s="3">
        <f>IF(ISERROR((VLOOKUP($A31,'SegEnds_NonXtal_BW#'!$A:$Z,24,FALSE)+VLOOKUP($A31,A:AL,34,FALSE)-50)),"-",(VLOOKUP($A31,'SegEnds_NonXtal_BW#'!$A:$Z,24,FALSE)+VLOOKUP($A31,A:AL,34,FALSE)-50))</f>
        <v>301</v>
      </c>
      <c r="AJ31" s="3">
        <f>IF(ISERROR(VLOOKUP($A31,'SegEnds_NonXtal_BW#'!$A:$Z,25,FALSE)+VLOOKUP($A31,A:AL,37,FALSE)-50),"-",(VLOOKUP($A31,'SegEnds_NonXtal_BW#'!$A:$Z,25,FALSE)+VLOOKUP($A31,A:AL,37,FALSE)-50))</f>
        <v>302</v>
      </c>
      <c r="AK31" s="3">
        <v>305</v>
      </c>
      <c r="AL31" s="3">
        <f>IF(ISERROR((VLOOKUP($A31,'SegEnds_NonXtal_BW#'!$A:$Z,26,FALSE)+VLOOKUP($A31,A:AL,37,FALSE)-50)),"-",(VLOOKUP($A31,'SegEnds_NonXtal_BW#'!$A:$Z,26,FALSE)+VLOOKUP($A31,A:AL,37,FALSE)-50))</f>
        <v>314</v>
      </c>
      <c r="AM31" s="28" t="str">
        <f>VLOOKUP(A31,Classification!A:B,2,FALSE)</f>
        <v>A</v>
      </c>
      <c r="AN31" s="28" t="b">
        <f>AND(IF(Y31="-",IF(AA31-W31&gt;3,TRUE,FALSE),TRUE),IF(M31="-",IF(O31-K31&gt;3,TRUE,FALSE),TRUE),C31&lt;E31,OR(E31&lt;F31,F31="-"),OR(F31&lt;H31,F31="-"),OR(H31&lt;I31,H31="-"),I31&lt;K31,OR(K31&lt;L31,L31="-"),OR(L31&lt;N31,L31="-"),OR(N31&lt;O31,N31="-"),O31&lt;Q31,OR(Q31&lt;R31,R31="-"),OR(R31&lt;T31,R31="-"),OR(T31&lt;U31,T31="-"),U31&lt;W31,OR(W31&lt;X31,X31="-"),OR(X31&lt;Z31,X31="-"),OR(Z31&lt;AA31,Z31="-"),AA31&lt;AC31,AC31&lt;AD31,AD31&lt;AF31,AF31&lt;AG31,AG31&lt;AI31,OR(AI31&lt;AJ31,AJ31="-"),OR(AJ31&lt;AL31,AJ31="-"))</f>
        <v>1</v>
      </c>
      <c r="AO31" s="3" t="str">
        <f>IF(ISERROR(MATCH(A31,'SegEnds_Xtal_Prot#'!B:B, 0)), "NoXtal", "Xtal")</f>
        <v>NoXtal</v>
      </c>
      <c r="AP31" s="3">
        <f>IF(ISERROR(F31-E31),"-",F31-E31)</f>
        <v>1</v>
      </c>
      <c r="AQ31" s="3">
        <f>IF(ISERROR(I31-H31),"-",I31-H31)</f>
        <v>1</v>
      </c>
      <c r="AR31" s="3">
        <f>IF(ISERROR(L31-K31),"-",L31-K31)</f>
        <v>2</v>
      </c>
      <c r="AS31" s="3">
        <f>IF(ISERROR(O31-N31),"-",O31-N31)</f>
        <v>1</v>
      </c>
      <c r="AT31" s="3">
        <f>IF(ISERROR(R31-Q31),"-",R31-Q31)</f>
        <v>1</v>
      </c>
      <c r="AU31" s="3">
        <f>IF(ISERROR(U31-T31),"-",U31-T31)</f>
        <v>1</v>
      </c>
      <c r="AV31" s="3" t="str">
        <f>IF(ISERROR(X31-W31),"-",X31-W31)</f>
        <v>-</v>
      </c>
      <c r="AW31" s="3" t="str">
        <f>IF(ISERROR(AA31-Z31),"-",AA31-Z31)</f>
        <v>-</v>
      </c>
      <c r="AX31" s="3">
        <f>IF(ISERROR(AD31-AC31),"-",AD31-AC31)</f>
        <v>6</v>
      </c>
      <c r="AY31" s="3">
        <f>IF(ISERROR(AG31-AF31),"-",AG31-AF31)</f>
        <v>6</v>
      </c>
      <c r="AZ31" s="3">
        <f>IF(ISERROR(AJ31-AI31),"-",AJ31-AI31)</f>
        <v>1</v>
      </c>
      <c r="BA31" s="3">
        <f>IF(ISERROR(LEN(VLOOKUP(A31,Seqs!A:E,2,FALSE))-AL31),"-",LEN(VLOOKUP(A31,Seqs!A:E,2,FALSE))-AL31)</f>
        <v>64</v>
      </c>
      <c r="BB31" s="16">
        <f>J31-D31</f>
        <v>28</v>
      </c>
      <c r="BC31" s="9">
        <f>IF(ISERROR(V31-S31),"-",V31-S31)</f>
        <v>19</v>
      </c>
      <c r="BD31" s="3">
        <f>J31-D31</f>
        <v>28</v>
      </c>
      <c r="BE31" s="3">
        <f>AE31-AB31</f>
        <v>51</v>
      </c>
    </row>
    <row r="32" spans="1:60" s="3" customFormat="1" x14ac:dyDescent="0.2">
      <c r="A32" s="3" t="s">
        <v>380</v>
      </c>
      <c r="B32" s="3" t="str">
        <f>LOWER(VLOOKUP(A32,Xtal_Templ!A:B,2,FALSE))</f>
        <v>s1pr1_human</v>
      </c>
      <c r="C32" s="3">
        <f>VLOOKUP($A32,'SegEnds_NonXtal_BW#'!$A:$Z,3,FALSE)+D32-50</f>
        <v>33</v>
      </c>
      <c r="D32" s="3">
        <v>54</v>
      </c>
      <c r="E32" s="3">
        <f>IF(ISERROR(VLOOKUP($A32,'SegEnds_NonXtal_BW#'!$A:$Z,4,FALSE)+VLOOKUP($A32,A:AL,4,FALSE)-50),"-",(VLOOKUP($A32,'SegEnds_NonXtal_BW#'!$A:$Z,4,FALSE)+VLOOKUP($A32,A:AL,4,FALSE)-50))</f>
        <v>64</v>
      </c>
      <c r="F32" s="3">
        <f>G32-2</f>
        <v>65</v>
      </c>
      <c r="G32" s="3">
        <v>67</v>
      </c>
      <c r="H32" s="3">
        <f>G32+1</f>
        <v>68</v>
      </c>
      <c r="I32" s="3">
        <f>H32+1</f>
        <v>69</v>
      </c>
      <c r="J32" s="3">
        <v>82</v>
      </c>
      <c r="K32" s="3">
        <f>VLOOKUP($A32,'SegEnds_NonXtal_BW#'!$A:$Z,8,FALSE)+VLOOKUP($A32,A:AL,10,FALSE)-50</f>
        <v>95</v>
      </c>
      <c r="L32" s="3">
        <f>M32-3</f>
        <v>97</v>
      </c>
      <c r="M32" s="3">
        <v>100</v>
      </c>
      <c r="N32" s="3">
        <f>M32+3</f>
        <v>103</v>
      </c>
      <c r="O32" s="3">
        <f>N32+1</f>
        <v>104</v>
      </c>
      <c r="P32" s="3">
        <v>133</v>
      </c>
      <c r="Q32" s="3">
        <f>VLOOKUP($A32,'SegEnds_NonXtal_BW#'!$A:$Z,12,FALSE)+VLOOKUP($A32,A:AL,16,FALSE)-50</f>
        <v>139</v>
      </c>
      <c r="R32" s="3">
        <f>IF(ISERROR(VLOOKUP($A32,'SegEnds_NonXtal_BW#'!$A:$Z,13,FALSE)+VLOOKUP($A32,A:AL,19,FALSE)-50),"-",VLOOKUP($A32,'SegEnds_NonXtal_BW#'!$A:$Z,13,FALSE)+VLOOKUP($A32,A:AL,19,FALSE)-50)</f>
        <v>140</v>
      </c>
      <c r="S32" s="3">
        <v>140</v>
      </c>
      <c r="T32" s="103">
        <f>IF(ISERROR(VLOOKUP($A32,'SegEnds_NonXtal_BW#'!$A:$Z,14,FALSE)+VLOOKUP($A32,A:AL,19,FALSE)-50),"-",(VLOOKUP($A32,'SegEnds_NonXtal_BW#'!$A:$Z,14,FALSE)+VLOOKUP($A32,A:AL,19,FALSE)-50))</f>
        <v>146</v>
      </c>
      <c r="U32" s="9">
        <f>IF(ISERROR(VLOOKUP($A32,'SegEnds_NonXtal_BW#'!$A:$Z,15,FALSE)+VLOOKUP($A32,A:AL,22,FALSE)-50),"-",VLOOKUP($A32,'SegEnds_NonXtal_BW#'!$A:$Z,15,FALSE)+VLOOKUP($A32,A:AL,22,FALSE)-50)</f>
        <v>147</v>
      </c>
      <c r="V32" s="3">
        <v>159</v>
      </c>
      <c r="W32" s="3">
        <f>IF(ISERROR(VLOOKUP($A32,'SegEnds_NonXtal_BW#'!$A:$Z,16,FALSE)+VLOOKUP($A32,A:AL,22,FALSE)-50),"-",(VLOOKUP($A32,'SegEnds_NonXtal_BW#'!$A:$Z,16,FALSE)+VLOOKUP($A32,A:AL,22,FALSE)-50))</f>
        <v>172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190</v>
      </c>
      <c r="AB32" s="3">
        <v>204</v>
      </c>
      <c r="AC32" s="3">
        <f>IF(ISERROR((VLOOKUP($A32,'SegEnds_NonXtal_BW#'!$A:$Z,20,FALSE)+VLOOKUP($A32,A:AL,28,FALSE)-50)),"-",(VLOOKUP($A32,'SegEnds_NonXtal_BW#'!$A:$Z,20,FALSE)+VLOOKUP($A32,A:AL,28,FALSE)-50))</f>
        <v>228</v>
      </c>
      <c r="AD32" s="3">
        <f>IF(ISERROR(VLOOKUP($A32,'SegEnds_NonXtal_BW#'!$A:$Z,21,FALSE)+VLOOKUP($A32,A:AL,31,FALSE)-50),"-",(VLOOKUP($A32,'SegEnds_NonXtal_BW#'!$A:$Z,21,FALSE)+VLOOKUP($A32,A:AL,31,FALSE)-50))</f>
        <v>237</v>
      </c>
      <c r="AE32" s="3">
        <v>266</v>
      </c>
      <c r="AF32" s="3">
        <f>IF(ISERROR((VLOOKUP($A32,'SegEnds_NonXtal_BW#'!$A:$Z,22,FALSE)+VLOOKUP($A32,A:AL,31,FALSE)-50)),"-",(VLOOKUP($A32,'SegEnds_NonXtal_BW#'!$A:$Z,22,FALSE)+VLOOKUP($A32,A:AL,31,FALSE)-50))</f>
        <v>277</v>
      </c>
      <c r="AG32" s="3">
        <f>IF(ISERROR(VLOOKUP($A32,'SegEnds_NonXtal_BW#'!$A:$Z,23,FALSE)+VLOOKUP($A32,A:AL,34,FALSE)-50),"-",(VLOOKUP($A32,'SegEnds_NonXtal_BW#'!$A:$Z,23,FALSE)+VLOOKUP($A32,A:AL,34,FALSE)-50))</f>
        <v>283</v>
      </c>
      <c r="AH32" s="3">
        <v>303</v>
      </c>
      <c r="AI32" s="3">
        <f>IF(ISERROR((VLOOKUP($A32,'SegEnds_NonXtal_BW#'!$A:$Z,24,FALSE)+VLOOKUP($A32,A:AL,34,FALSE)-50)),"-",(VLOOKUP($A32,'SegEnds_NonXtal_BW#'!$A:$Z,24,FALSE)+VLOOKUP($A32,A:AL,34,FALSE)-50))</f>
        <v>309</v>
      </c>
      <c r="AJ32" s="3">
        <f>IF(ISERROR(VLOOKUP($A32,'SegEnds_NonXtal_BW#'!$A:$Z,25,FALSE)+VLOOKUP($A32,A:AL,37,FALSE)-50),"-",(VLOOKUP($A32,'SegEnds_NonXtal_BW#'!$A:$Z,25,FALSE)+VLOOKUP($A32,A:AL,37,FALSE)-50))</f>
        <v>310</v>
      </c>
      <c r="AK32" s="3">
        <v>313</v>
      </c>
      <c r="AL32" s="3">
        <f>IF(ISERROR((VLOOKUP($A32,'SegEnds_NonXtal_BW#'!$A:$Z,26,FALSE)+VLOOKUP($A32,A:AL,37,FALSE)-50)),"-",(VLOOKUP($A32,'SegEnds_NonXtal_BW#'!$A:$Z,26,FALSE)+VLOOKUP($A32,A:AL,37,FALSE)-50))</f>
        <v>322</v>
      </c>
      <c r="AM32" s="28" t="str">
        <f>VLOOKUP(A32,Classification!A:B,2,FALSE)</f>
        <v>A</v>
      </c>
      <c r="AN32" s="28" t="b">
        <f>AND(IF(Y32="-",IF(AA32-W32&gt;3,TRUE,FALSE),TRUE),IF(M32="-",IF(O32-K32&gt;3,TRUE,FALSE),TRUE),C32&lt;E32,OR(E32&lt;F32,F32="-"),OR(F32&lt;H32,F32="-"),OR(H32&lt;I32,H32="-"),I32&lt;K32,OR(K32&lt;L32,L32="-"),OR(L32&lt;N32,L32="-"),OR(N32&lt;O32,N32="-"),O32&lt;Q32,OR(Q32&lt;R32,R32="-"),OR(R32&lt;T32,R32="-"),OR(T32&lt;U32,T32="-"),U32&lt;W32,OR(W32&lt;X32,X32="-"),OR(X32&lt;Z32,X32="-"),OR(Z32&lt;AA32,Z32="-"),AA32&lt;AC32,AC32&lt;AD32,AD32&lt;AF32,AF32&lt;AG32,AG32&lt;AI32,OR(AI32&lt;AJ32,AJ32="-"),OR(AJ32&lt;AL32,AJ32="-"))</f>
        <v>1</v>
      </c>
      <c r="AO32" s="3" t="str">
        <f>IF(ISERROR(MATCH(A32,'SegEnds_Xtal_Prot#'!B:B, 0)), "NoXtal", "Xtal")</f>
        <v>NoXtal</v>
      </c>
      <c r="AP32" s="3">
        <f>IF(ISERROR(F32-E32),"-",F32-E32)</f>
        <v>1</v>
      </c>
      <c r="AQ32" s="3">
        <f>IF(ISERROR(I32-H32),"-",I32-H32)</f>
        <v>1</v>
      </c>
      <c r="AR32" s="3">
        <f>IF(ISERROR(L32-K32),"-",L32-K32)</f>
        <v>2</v>
      </c>
      <c r="AS32" s="3">
        <f>IF(ISERROR(O32-N32),"-",O32-N32)</f>
        <v>1</v>
      </c>
      <c r="AT32" s="3">
        <f>IF(ISERROR(R32-Q32),"-",R32-Q32)</f>
        <v>1</v>
      </c>
      <c r="AU32" s="3">
        <f>IF(ISERROR(U32-T32),"-",U32-T32)</f>
        <v>1</v>
      </c>
      <c r="AV32" s="3" t="str">
        <f>IF(ISERROR(X32-W32),"-",X32-W32)</f>
        <v>-</v>
      </c>
      <c r="AW32" s="3" t="str">
        <f>IF(ISERROR(AA32-Z32),"-",AA32-Z32)</f>
        <v>-</v>
      </c>
      <c r="AX32" s="3">
        <f>IF(ISERROR(AD32-AC32),"-",AD32-AC32)</f>
        <v>9</v>
      </c>
      <c r="AY32" s="3">
        <f>IF(ISERROR(AG32-AF32),"-",AG32-AF32)</f>
        <v>6</v>
      </c>
      <c r="AZ32" s="3">
        <f>IF(ISERROR(AJ32-AI32),"-",AJ32-AI32)</f>
        <v>1</v>
      </c>
      <c r="BA32" s="3">
        <f>IF(ISERROR(LEN(VLOOKUP(A32,Seqs!A:E,2,FALSE))-AL32),"-",LEN(VLOOKUP(A32,Seqs!A:E,2,FALSE))-AL32)</f>
        <v>76</v>
      </c>
      <c r="BB32" s="16">
        <f>J32-D32</f>
        <v>28</v>
      </c>
      <c r="BC32" s="9">
        <f>IF(ISERROR(V32-S32),"-",V32-S32)</f>
        <v>19</v>
      </c>
      <c r="BD32" s="3">
        <f>J32-D32</f>
        <v>28</v>
      </c>
      <c r="BE32" s="3">
        <f>AE32-AB32</f>
        <v>62</v>
      </c>
    </row>
    <row r="33" spans="1:58" s="3" customFormat="1" x14ac:dyDescent="0.2">
      <c r="A33" s="3" t="s">
        <v>396</v>
      </c>
      <c r="B33" s="3" t="str">
        <f>LOWER(VLOOKUP(A33,Xtal_Templ!A:B,2,FALSE))</f>
        <v>adrb2_human</v>
      </c>
      <c r="C33" s="3">
        <f>VLOOKUP($A33,'SegEnds_NonXtal_BW#'!$A:$Z,3,FALSE)+D33-50</f>
        <v>44</v>
      </c>
      <c r="D33" s="3">
        <v>69</v>
      </c>
      <c r="E33" s="3">
        <f>IF(ISERROR(VLOOKUP($A33,'SegEnds_NonXtal_BW#'!$A:$Z,4,FALSE)+VLOOKUP($A33,A:AL,4,FALSE)-50),"-",(VLOOKUP($A33,'SegEnds_NonXtal_BW#'!$A:$Z,4,FALSE)+VLOOKUP($A33,A:AL,4,FALSE)-50))</f>
        <v>79</v>
      </c>
      <c r="F33" s="3">
        <f>G33-2</f>
        <v>80</v>
      </c>
      <c r="G33" s="3">
        <v>82</v>
      </c>
      <c r="H33" s="3">
        <f>G33+1</f>
        <v>83</v>
      </c>
      <c r="I33" s="3">
        <f>H33+1</f>
        <v>84</v>
      </c>
      <c r="J33" s="3">
        <v>97</v>
      </c>
      <c r="K33" s="3">
        <f>VLOOKUP($A33,'SegEnds_NonXtal_BW#'!$A:$Z,8,FALSE)+VLOOKUP($A33,A:AL,10,FALSE)-50</f>
        <v>113</v>
      </c>
      <c r="L33" s="3">
        <f>M33-1</f>
        <v>115</v>
      </c>
      <c r="M33" s="3">
        <v>116</v>
      </c>
      <c r="N33" s="3">
        <f>M33+2</f>
        <v>118</v>
      </c>
      <c r="O33" s="3">
        <f>N33+1</f>
        <v>119</v>
      </c>
      <c r="P33" s="3">
        <v>148</v>
      </c>
      <c r="Q33" s="3">
        <f>VLOOKUP($A33,'SegEnds_NonXtal_BW#'!$A:$Z,12,FALSE)+VLOOKUP($A33,A:AL,16,FALSE)-50</f>
        <v>154</v>
      </c>
      <c r="R33" s="3">
        <f>IF(ISERROR(VLOOKUP($A33,'SegEnds_NonXtal_BW#'!$A:$Z,13,FALSE)+VLOOKUP($A33,A:AL,19,FALSE)-50),"-",VLOOKUP($A33,'SegEnds_NonXtal_BW#'!$A:$Z,13,FALSE)+VLOOKUP($A33,A:AL,19,FALSE)-50)</f>
        <v>155</v>
      </c>
      <c r="S33" s="3">
        <v>155</v>
      </c>
      <c r="T33" s="103">
        <f>IF(ISERROR(VLOOKUP($A33,'SegEnds_NonXtal_BW#'!$A:$Z,14,FALSE)+VLOOKUP($A33,A:AL,19,FALSE)-50),"-",(VLOOKUP($A33,'SegEnds_NonXtal_BW#'!$A:$Z,14,FALSE)+VLOOKUP($A33,A:AL,19,FALSE)-50))</f>
        <v>161</v>
      </c>
      <c r="U33" s="9">
        <f>IF(ISERROR(VLOOKUP($A33,'SegEnds_NonXtal_BW#'!$A:$Z,15,FALSE)+VLOOKUP($A33,A:AL,22,FALSE)-50),"-",VLOOKUP($A33,'SegEnds_NonXtal_BW#'!$A:$Z,15,FALSE)+VLOOKUP($A33,A:AL,22,FALSE)-50)</f>
        <v>162</v>
      </c>
      <c r="V33" s="3">
        <v>174</v>
      </c>
      <c r="W33" s="3">
        <f>IF(ISERROR(VLOOKUP($A33,'SegEnds_NonXtal_BW#'!$A:$Z,16,FALSE)+VLOOKUP($A33,A:AL,22,FALSE)-50),"-",(VLOOKUP($A33,'SegEnds_NonXtal_BW#'!$A:$Z,16,FALSE)+VLOOKUP($A33,A:AL,22,FALSE)-50))</f>
        <v>188</v>
      </c>
      <c r="X33" s="3">
        <f>IF(ISERROR(VLOOKUP($A33,'SegEnds_NonXtal_BW#'!$A:$Z,17,FALSE)+VLOOKUP($A33,A:AL,25,FALSE)-50),"-",(VLOOKUP($A33,'SegEnds_NonXtal_BW#'!$A:$Z,17,FALSE)+VLOOKUP($A33,A:AL,25,FALSE)-50))</f>
        <v>199</v>
      </c>
      <c r="Y33" s="3">
        <v>199</v>
      </c>
      <c r="Z33" s="3">
        <f>Y33+2</f>
        <v>201</v>
      </c>
      <c r="AA33" s="3">
        <f>IF(ISERROR(VLOOKUP($A33,'SegEnds_NonXtal_BW#'!$A:$Z,19,FALSE)+VLOOKUP($A33,A:AL,28,FALSE)-50),"-",(VLOOKUP($A33,'SegEnds_NonXtal_BW#'!$A:$Z,19,FALSE)+VLOOKUP($A33,A:AL,28,FALSE)-50))</f>
        <v>208</v>
      </c>
      <c r="AB33" s="3">
        <v>223</v>
      </c>
      <c r="AC33" s="3">
        <f>IF(ISERROR((VLOOKUP($A33,'SegEnds_NonXtal_BW#'!$A:$Z,20,FALSE)+VLOOKUP($A33,A:AL,28,FALSE)-50)),"-",(VLOOKUP($A33,'SegEnds_NonXtal_BW#'!$A:$Z,20,FALSE)+VLOOKUP($A33,A:AL,28,FALSE)-50))</f>
        <v>245</v>
      </c>
      <c r="AD33" s="3">
        <f>IF(ISERROR(VLOOKUP($A33,'SegEnds_NonXtal_BW#'!$A:$Z,21,FALSE)+VLOOKUP($A33,A:AL,31,FALSE)-50),"-",(VLOOKUP($A33,'SegEnds_NonXtal_BW#'!$A:$Z,21,FALSE)+VLOOKUP($A33,A:AL,31,FALSE)-50))</f>
        <v>252</v>
      </c>
      <c r="AE33" s="3">
        <v>273</v>
      </c>
      <c r="AF33" s="3">
        <f>IF(ISERROR((VLOOKUP($A33,'SegEnds_NonXtal_BW#'!$A:$Z,22,FALSE)+VLOOKUP($A33,A:AL,31,FALSE)-50)),"-",(VLOOKUP($A33,'SegEnds_NonXtal_BW#'!$A:$Z,22,FALSE)+VLOOKUP($A33,A:AL,31,FALSE)-50))</f>
        <v>284</v>
      </c>
      <c r="AG33" s="3">
        <f>IF(ISERROR(VLOOKUP($A33,'SegEnds_NonXtal_BW#'!$A:$Z,23,FALSE)+VLOOKUP($A33,A:AL,34,FALSE)-50),"-",(VLOOKUP($A33,'SegEnds_NonXtal_BW#'!$A:$Z,23,FALSE)+VLOOKUP($A33,A:AL,34,FALSE)-50))</f>
        <v>290</v>
      </c>
      <c r="AH33" s="3">
        <v>312</v>
      </c>
      <c r="AI33" s="3">
        <f>IF(ISERROR((VLOOKUP($A33,'SegEnds_NonXtal_BW#'!$A:$Z,24,FALSE)+VLOOKUP($A33,A:AL,34,FALSE)-50)),"-",(VLOOKUP($A33,'SegEnds_NonXtal_BW#'!$A:$Z,24,FALSE)+VLOOKUP($A33,A:AL,34,FALSE)-50))</f>
        <v>318</v>
      </c>
      <c r="AJ33" s="3">
        <f>IF(ISERROR(VLOOKUP($A33,'SegEnds_NonXtal_BW#'!$A:$Z,25,FALSE)+VLOOKUP($A33,A:AL,37,FALSE)-50),"-",(VLOOKUP($A33,'SegEnds_NonXtal_BW#'!$A:$Z,25,FALSE)+VLOOKUP($A33,A:AL,37,FALSE)-50))</f>
        <v>319</v>
      </c>
      <c r="AK33" s="3">
        <v>322</v>
      </c>
      <c r="AL33" s="3">
        <f>IF(ISERROR((VLOOKUP($A33,'SegEnds_NonXtal_BW#'!$A:$Z,26,FALSE)+VLOOKUP($A33,A:AL,37,FALSE)-50)),"-",(VLOOKUP($A33,'SegEnds_NonXtal_BW#'!$A:$Z,26,FALSE)+VLOOKUP($A33,A:AL,37,FALSE)-50))</f>
        <v>331</v>
      </c>
      <c r="AM33" s="28" t="str">
        <f>VLOOKUP(A33,Classification!A:B,2,FALSE)</f>
        <v>A</v>
      </c>
      <c r="AN33" s="28" t="b">
        <f>AND(IF(Y33="-",IF(AA33-W33&gt;3,TRUE,FALSE),TRUE),IF(M33="-",IF(O33-K33&gt;3,TRUE,FALSE),TRUE),C33&lt;E33,OR(E33&lt;F33,F33="-"),OR(F33&lt;H33,F33="-"),OR(H33&lt;I33,H33="-"),I33&lt;K33,OR(K33&lt;L33,L33="-"),OR(L33&lt;N33,L33="-"),OR(N33&lt;O33,N33="-"),O33&lt;Q33,OR(Q33&lt;R33,R33="-"),OR(R33&lt;T33,R33="-"),OR(T33&lt;U33,T33="-"),U33&lt;W33,OR(W33&lt;X33,X33="-"),OR(X33&lt;Z33,X33="-"),OR(Z33&lt;AA33,Z33="-"),AA33&lt;AC33,AC33&lt;AD33,AD33&lt;AF33,AF33&lt;AG33,AG33&lt;AI33,OR(AI33&lt;AJ33,AJ33="-"),OR(AJ33&lt;AL33,AJ33="-"))</f>
        <v>1</v>
      </c>
      <c r="AO33" s="3" t="str">
        <f>IF(ISERROR(MATCH(A33,'SegEnds_Xtal_Prot#'!B:B, 0)), "NoXtal", "Xtal")</f>
        <v>NoXtal</v>
      </c>
      <c r="AP33" s="3">
        <f>IF(ISERROR(F33-E33),"-",F33-E33)</f>
        <v>1</v>
      </c>
      <c r="AQ33" s="3">
        <f>IF(ISERROR(I33-H33),"-",I33-H33)</f>
        <v>1</v>
      </c>
      <c r="AR33" s="3">
        <f>IF(ISERROR(L33-K33),"-",L33-K33)</f>
        <v>2</v>
      </c>
      <c r="AS33" s="3">
        <f>IF(ISERROR(O33-N33),"-",O33-N33)</f>
        <v>1</v>
      </c>
      <c r="AT33" s="3">
        <f>IF(ISERROR(R33-Q33),"-",R33-Q33)</f>
        <v>1</v>
      </c>
      <c r="AU33" s="3">
        <f>IF(ISERROR(U33-T33),"-",U33-T33)</f>
        <v>1</v>
      </c>
      <c r="AV33" s="3">
        <f>IF(ISERROR(X33-W33),"-",X33-W33)</f>
        <v>11</v>
      </c>
      <c r="AW33" s="3">
        <f>IF(ISERROR(AA33-Z33),"-",AA33-Z33)</f>
        <v>7</v>
      </c>
      <c r="AX33" s="3">
        <f>IF(ISERROR(AD33-AC33),"-",AD33-AC33)</f>
        <v>7</v>
      </c>
      <c r="AY33" s="3">
        <f>IF(ISERROR(AG33-AF33),"-",AG33-AF33)</f>
        <v>6</v>
      </c>
      <c r="AZ33" s="3">
        <f>IF(ISERROR(AJ33-AI33),"-",AJ33-AI33)</f>
        <v>1</v>
      </c>
      <c r="BA33" s="3">
        <f>IF(ISERROR(LEN(VLOOKUP(A33,Seqs!A:E,2,FALSE))-AL33),"-",LEN(VLOOKUP(A33,Seqs!A:E,2,FALSE))-AL33)</f>
        <v>58</v>
      </c>
      <c r="BB33" s="16">
        <f>J33-D33</f>
        <v>28</v>
      </c>
      <c r="BC33" s="9">
        <f>IF(ISERROR(V33-S33),"-",V33-S33)</f>
        <v>19</v>
      </c>
      <c r="BD33" s="3">
        <f>J33-D33</f>
        <v>28</v>
      </c>
      <c r="BE33" s="3">
        <f>AE33-AB33</f>
        <v>50</v>
      </c>
    </row>
    <row r="34" spans="1:58" s="3" customFormat="1" x14ac:dyDescent="0.2">
      <c r="A34" s="3" t="s">
        <v>397</v>
      </c>
      <c r="B34" s="3" t="str">
        <f>LOWER(VLOOKUP(A34,Xtal_Templ!A:B,2,FALSE))</f>
        <v>ox2r_human</v>
      </c>
      <c r="C34" s="3">
        <f>VLOOKUP($A34,'SegEnds_NonXtal_BW#'!$A:$Z,3,FALSE)+D34-50</f>
        <v>50</v>
      </c>
      <c r="D34" s="3">
        <v>69</v>
      </c>
      <c r="E34" s="3">
        <f>IF(ISERROR(VLOOKUP($A34,'SegEnds_NonXtal_BW#'!$A:$Z,4,FALSE)+VLOOKUP($A34,A:AL,4,FALSE)-50),"-",(VLOOKUP($A34,'SegEnds_NonXtal_BW#'!$A:$Z,4,FALSE)+VLOOKUP($A34,A:AL,4,FALSE)-50))</f>
        <v>79</v>
      </c>
      <c r="F34" s="3">
        <f>G34-2</f>
        <v>80</v>
      </c>
      <c r="G34" s="3">
        <v>82</v>
      </c>
      <c r="H34" s="3">
        <f>G34+1</f>
        <v>83</v>
      </c>
      <c r="I34" s="3">
        <f>H34+1</f>
        <v>84</v>
      </c>
      <c r="J34" s="3">
        <v>97</v>
      </c>
      <c r="K34" s="3">
        <f>VLOOKUP($A34,'SegEnds_NonXtal_BW#'!$A:$Z,8,FALSE)+VLOOKUP($A34,A:AL,10,FALSE)-50</f>
        <v>114</v>
      </c>
      <c r="L34" s="108">
        <f>M34</f>
        <v>115</v>
      </c>
      <c r="M34" s="3">
        <v>115</v>
      </c>
      <c r="N34" s="3">
        <f>M34+2</f>
        <v>117</v>
      </c>
      <c r="O34" s="3">
        <f>N34+1</f>
        <v>118</v>
      </c>
      <c r="P34" s="3">
        <v>149</v>
      </c>
      <c r="Q34" s="3">
        <f>VLOOKUP($A34,'SegEnds_NonXtal_BW#'!$A:$Z,12,FALSE)+VLOOKUP($A34,A:AL,16,FALSE)-50</f>
        <v>155</v>
      </c>
      <c r="R34" s="3">
        <f>IF(ISERROR(VLOOKUP($A34,'SegEnds_NonXtal_BW#'!$A:$Z,13,FALSE)+VLOOKUP($A34,A:AL,19,FALSE)-50),"-",VLOOKUP($A34,'SegEnds_NonXtal_BW#'!$A:$Z,13,FALSE)+VLOOKUP($A34,A:AL,19,FALSE)-50)</f>
        <v>156</v>
      </c>
      <c r="S34" s="3">
        <v>156</v>
      </c>
      <c r="T34" s="103">
        <f>IF(ISERROR(VLOOKUP($A34,'SegEnds_NonXtal_BW#'!$A:$Z,14,FALSE)+VLOOKUP($A34,A:AL,19,FALSE)-50),"-",(VLOOKUP($A34,'SegEnds_NonXtal_BW#'!$A:$Z,14,FALSE)+VLOOKUP($A34,A:AL,19,FALSE)-50))</f>
        <v>162</v>
      </c>
      <c r="U34" s="9">
        <f>IF(ISERROR(VLOOKUP($A34,'SegEnds_NonXtal_BW#'!$A:$Z,15,FALSE)+VLOOKUP($A34,A:AL,22,FALSE)-50),"-",VLOOKUP($A34,'SegEnds_NonXtal_BW#'!$A:$Z,15,FALSE)+VLOOKUP($A34,A:AL,22,FALSE)-50)</f>
        <v>163</v>
      </c>
      <c r="V34" s="3">
        <v>175</v>
      </c>
      <c r="W34" s="3">
        <f>IF(ISERROR(VLOOKUP($A34,'SegEnds_NonXtal_BW#'!$A:$Z,16,FALSE)+VLOOKUP($A34,A:AL,22,FALSE)-50),"-",(VLOOKUP($A34,'SegEnds_NonXtal_BW#'!$A:$Z,16,FALSE)+VLOOKUP($A34,A:AL,22,FALSE)-50))</f>
        <v>189</v>
      </c>
      <c r="X34" s="3">
        <f>IF(ISERROR(VLOOKUP($A34,'SegEnds_NonXtal_BW#'!$A:$Z,17,FALSE)+VLOOKUP($A34,A:AL,25,FALSE)-50),"-",(VLOOKUP($A34,'SegEnds_NonXtal_BW#'!$A:$Z,17,FALSE)+VLOOKUP($A34,A:AL,25,FALSE)-50))</f>
        <v>203</v>
      </c>
      <c r="Y34" s="3">
        <v>203</v>
      </c>
      <c r="Z34" s="3">
        <f>Y34+2</f>
        <v>205</v>
      </c>
      <c r="AA34" s="3">
        <f>IF(ISERROR(VLOOKUP($A34,'SegEnds_NonXtal_BW#'!$A:$Z,19,FALSE)+VLOOKUP($A34,A:AL,28,FALSE)-50),"-",(VLOOKUP($A34,'SegEnds_NonXtal_BW#'!$A:$Z,19,FALSE)+VLOOKUP($A34,A:AL,28,FALSE)-50))</f>
        <v>210</v>
      </c>
      <c r="AB34" s="3">
        <v>228</v>
      </c>
      <c r="AC34" s="3">
        <f>IF(ISERROR((VLOOKUP($A34,'SegEnds_NonXtal_BW#'!$A:$Z,20,FALSE)+VLOOKUP($A34,A:AL,28,FALSE)-50)),"-",(VLOOKUP($A34,'SegEnds_NonXtal_BW#'!$A:$Z,20,FALSE)+VLOOKUP($A34,A:AL,28,FALSE)-50))</f>
        <v>254</v>
      </c>
      <c r="AD34" s="3">
        <f>IF(ISERROR(VLOOKUP($A34,'SegEnds_NonXtal_BW#'!$A:$Z,21,FALSE)+VLOOKUP($A34,A:AL,31,FALSE)-50),"-",(VLOOKUP($A34,'SegEnds_NonXtal_BW#'!$A:$Z,21,FALSE)+VLOOKUP($A34,A:AL,31,FALSE)-50))</f>
        <v>280</v>
      </c>
      <c r="AE34" s="3">
        <v>306</v>
      </c>
      <c r="AF34" s="3">
        <f>IF(ISERROR((VLOOKUP($A34,'SegEnds_NonXtal_BW#'!$A:$Z,22,FALSE)+VLOOKUP($A34,A:AL,31,FALSE)-50)),"-",(VLOOKUP($A34,'SegEnds_NonXtal_BW#'!$A:$Z,22,FALSE)+VLOOKUP($A34,A:AL,31,FALSE)-50))</f>
        <v>317</v>
      </c>
      <c r="AG34" s="3">
        <f>IF(ISERROR(VLOOKUP($A34,'SegEnds_NonXtal_BW#'!$A:$Z,23,FALSE)+VLOOKUP($A34,A:AL,34,FALSE)-50),"-",(VLOOKUP($A34,'SegEnds_NonXtal_BW#'!$A:$Z,23,FALSE)+VLOOKUP($A34,A:AL,34,FALSE)-50))</f>
        <v>323</v>
      </c>
      <c r="AH34" s="3">
        <v>345</v>
      </c>
      <c r="AI34" s="3">
        <f>IF(ISERROR((VLOOKUP($A34,'SegEnds_NonXtal_BW#'!$A:$Z,24,FALSE)+VLOOKUP($A34,A:AL,34,FALSE)-50)),"-",(VLOOKUP($A34,'SegEnds_NonXtal_BW#'!$A:$Z,24,FALSE)+VLOOKUP($A34,A:AL,34,FALSE)-50))</f>
        <v>351</v>
      </c>
      <c r="AJ34" s="3">
        <f>IF(ISERROR(VLOOKUP($A34,'SegEnds_NonXtal_BW#'!$A:$Z,25,FALSE)+VLOOKUP($A34,A:AL,37,FALSE)-50),"-",(VLOOKUP($A34,'SegEnds_NonXtal_BW#'!$A:$Z,25,FALSE)+VLOOKUP($A34,A:AL,37,FALSE)-50))</f>
        <v>352</v>
      </c>
      <c r="AK34" s="3">
        <v>355</v>
      </c>
      <c r="AL34" s="3">
        <f>IF(ISERROR((VLOOKUP($A34,'SegEnds_NonXtal_BW#'!$A:$Z,26,FALSE)+VLOOKUP($A34,A:AL,37,FALSE)-50)),"-",(VLOOKUP($A34,'SegEnds_NonXtal_BW#'!$A:$Z,26,FALSE)+VLOOKUP($A34,A:AL,37,FALSE)-50))</f>
        <v>363</v>
      </c>
      <c r="AM34" s="28" t="str">
        <f>VLOOKUP(A34,Classification!A:B,2,FALSE)</f>
        <v>A</v>
      </c>
      <c r="AN34" s="28" t="b">
        <f>AND(IF(Y34="-",IF(AA34-W34&gt;3,TRUE,FALSE),TRUE),IF(M34="-",IF(O34-K34&gt;3,TRUE,FALSE),TRUE),C34&lt;E34,OR(E34&lt;F34,F34="-"),OR(F34&lt;H34,F34="-"),OR(H34&lt;I34,H34="-"),I34&lt;K34,OR(K34&lt;L34,L34="-"),OR(L34&lt;N34,L34="-"),OR(N34&lt;O34,N34="-"),O34&lt;Q34,OR(Q34&lt;R34,R34="-"),OR(R34&lt;T34,R34="-"),OR(T34&lt;U34,T34="-"),U34&lt;W34,OR(W34&lt;X34,X34="-"),OR(X34&lt;Z34,X34="-"),OR(Z34&lt;AA34,Z34="-"),AA34&lt;AC34,AC34&lt;AD34,AD34&lt;AF34,AF34&lt;AG34,AG34&lt;AI34,OR(AI34&lt;AJ34,AJ34="-"),OR(AJ34&lt;AL34,AJ34="-"))</f>
        <v>1</v>
      </c>
      <c r="AO34" s="3" t="str">
        <f>IF(ISERROR(MATCH(A34,'SegEnds_Xtal_Prot#'!B:B, 0)), "NoXtal", "Xtal")</f>
        <v>NoXtal</v>
      </c>
      <c r="AP34" s="3">
        <f>IF(ISERROR(F34-E34),"-",F34-E34)</f>
        <v>1</v>
      </c>
      <c r="AQ34" s="3">
        <f>IF(ISERROR(I34-H34),"-",I34-H34)</f>
        <v>1</v>
      </c>
      <c r="AR34" s="3">
        <f>IF(ISERROR(L34-K34),"-",L34-K34)</f>
        <v>1</v>
      </c>
      <c r="AS34" s="3">
        <f>IF(ISERROR(O34-N34),"-",O34-N34)</f>
        <v>1</v>
      </c>
      <c r="AT34" s="3">
        <f>IF(ISERROR(R34-Q34),"-",R34-Q34)</f>
        <v>1</v>
      </c>
      <c r="AU34" s="3">
        <f>IF(ISERROR(U34-T34),"-",U34-T34)</f>
        <v>1</v>
      </c>
      <c r="AV34" s="3">
        <f>IF(ISERROR(X34-W34),"-",X34-W34)</f>
        <v>14</v>
      </c>
      <c r="AW34" s="3">
        <f>IF(ISERROR(AA34-Z34),"-",AA34-Z34)</f>
        <v>5</v>
      </c>
      <c r="AX34" s="3">
        <f>IF(ISERROR(AD34-AC34),"-",AD34-AC34)</f>
        <v>26</v>
      </c>
      <c r="AY34" s="3">
        <f>IF(ISERROR(AG34-AF34),"-",AG34-AF34)</f>
        <v>6</v>
      </c>
      <c r="AZ34" s="3">
        <f>IF(ISERROR(AJ34-AI34),"-",AJ34-AI34)</f>
        <v>1</v>
      </c>
      <c r="BA34" s="3">
        <f>IF(ISERROR(LEN(VLOOKUP(A34,Seqs!A:E,2,FALSE))-AL34),"-",LEN(VLOOKUP(A34,Seqs!A:E,2,FALSE))-AL34)</f>
        <v>55</v>
      </c>
      <c r="BB34" s="16">
        <f>J34-D34</f>
        <v>28</v>
      </c>
      <c r="BC34" s="9">
        <f>IF(ISERROR(V34-S34),"-",V34-S34)</f>
        <v>19</v>
      </c>
      <c r="BD34" s="3">
        <f>J34-D34</f>
        <v>28</v>
      </c>
      <c r="BE34" s="3">
        <f>AE34-AB34</f>
        <v>78</v>
      </c>
    </row>
    <row r="35" spans="1:58" s="3" customFormat="1" x14ac:dyDescent="0.2">
      <c r="A35" s="3" t="s">
        <v>398</v>
      </c>
      <c r="B35" s="3" t="str">
        <f>LOWER(VLOOKUP(A35,Xtal_Templ!A:B,2,FALSE))</f>
        <v>s1pr1_human</v>
      </c>
      <c r="C35" s="3">
        <f>VLOOKUP($A35,'SegEnds_NonXtal_BW#'!$A:$Z,3,FALSE)+D35-50</f>
        <v>31</v>
      </c>
      <c r="D35" s="3">
        <v>52</v>
      </c>
      <c r="E35" s="3">
        <f>IF(ISERROR(VLOOKUP($A35,'SegEnds_NonXtal_BW#'!$A:$Z,4,FALSE)+VLOOKUP($A35,A:AL,4,FALSE)-50),"-",(VLOOKUP($A35,'SegEnds_NonXtal_BW#'!$A:$Z,4,FALSE)+VLOOKUP($A35,A:AL,4,FALSE)-50))</f>
        <v>62</v>
      </c>
      <c r="F35" s="3">
        <f>G35-2</f>
        <v>63</v>
      </c>
      <c r="G35" s="3">
        <v>65</v>
      </c>
      <c r="H35" s="3">
        <f>G35+1</f>
        <v>66</v>
      </c>
      <c r="I35" s="3">
        <f>H35+1</f>
        <v>67</v>
      </c>
      <c r="J35" s="3">
        <v>80</v>
      </c>
      <c r="K35" s="3">
        <f>VLOOKUP($A35,'SegEnds_NonXtal_BW#'!$A:$Z,8,FALSE)+VLOOKUP($A35,A:AL,10,FALSE)-50</f>
        <v>93</v>
      </c>
      <c r="L35" s="108">
        <f>M35</f>
        <v>98</v>
      </c>
      <c r="M35" s="3">
        <v>98</v>
      </c>
      <c r="N35" s="3">
        <f>M35+2</f>
        <v>100</v>
      </c>
      <c r="O35" s="3">
        <f>N35+1</f>
        <v>101</v>
      </c>
      <c r="P35" s="3">
        <v>132</v>
      </c>
      <c r="Q35" s="3">
        <f>VLOOKUP($A35,'SegEnds_NonXtal_BW#'!$A:$Z,12,FALSE)+VLOOKUP($A35,A:AL,16,FALSE)-50</f>
        <v>138</v>
      </c>
      <c r="R35" s="3">
        <f>IF(ISERROR(VLOOKUP($A35,'SegEnds_NonXtal_BW#'!$A:$Z,13,FALSE)+VLOOKUP($A35,A:AL,19,FALSE)-50),"-",VLOOKUP($A35,'SegEnds_NonXtal_BW#'!$A:$Z,13,FALSE)+VLOOKUP($A35,A:AL,19,FALSE)-50)</f>
        <v>139</v>
      </c>
      <c r="S35" s="3">
        <v>139</v>
      </c>
      <c r="T35" s="103">
        <f>IF(ISERROR(VLOOKUP($A35,'SegEnds_NonXtal_BW#'!$A:$Z,14,FALSE)+VLOOKUP($A35,A:AL,19,FALSE)-50),"-",(VLOOKUP($A35,'SegEnds_NonXtal_BW#'!$A:$Z,14,FALSE)+VLOOKUP($A35,A:AL,19,FALSE)-50))</f>
        <v>145</v>
      </c>
      <c r="U35" s="9">
        <f>IF(ISERROR(VLOOKUP($A35,'SegEnds_NonXtal_BW#'!$A:$Z,15,FALSE)+VLOOKUP($A35,A:AL,22,FALSE)-50),"-",VLOOKUP($A35,'SegEnds_NonXtal_BW#'!$A:$Z,15,FALSE)+VLOOKUP($A35,A:AL,22,FALSE)-50)</f>
        <v>146</v>
      </c>
      <c r="V35" s="3">
        <v>158</v>
      </c>
      <c r="W35" s="3">
        <f>IF(ISERROR(VLOOKUP($A35,'SegEnds_NonXtal_BW#'!$A:$Z,16,FALSE)+VLOOKUP($A35,A:AL,22,FALSE)-50),"-",(VLOOKUP($A35,'SegEnds_NonXtal_BW#'!$A:$Z,16,FALSE)+VLOOKUP($A35,A:AL,22,FALSE)-50))</f>
        <v>171</v>
      </c>
      <c r="X35" s="108">
        <v>186</v>
      </c>
      <c r="Y35" s="3">
        <v>186</v>
      </c>
      <c r="Z35" s="3">
        <f>Y35+2</f>
        <v>188</v>
      </c>
      <c r="AA35" s="3">
        <f>IF(ISERROR(VLOOKUP($A35,'SegEnds_NonXtal_BW#'!$A:$Z,19,FALSE)+VLOOKUP($A35,A:AL,28,FALSE)-50),"-",(VLOOKUP($A35,'SegEnds_NonXtal_BW#'!$A:$Z,19,FALSE)+VLOOKUP($A35,A:AL,28,FALSE)-50))</f>
        <v>197</v>
      </c>
      <c r="AB35" s="3">
        <v>211</v>
      </c>
      <c r="AC35" s="3">
        <f>IF(ISERROR((VLOOKUP($A35,'SegEnds_NonXtal_BW#'!$A:$Z,20,FALSE)+VLOOKUP($A35,A:AL,28,FALSE)-50)),"-",(VLOOKUP($A35,'SegEnds_NonXtal_BW#'!$A:$Z,20,FALSE)+VLOOKUP($A35,A:AL,28,FALSE)-50))</f>
        <v>237</v>
      </c>
      <c r="AD35" s="3">
        <f>IF(ISERROR(VLOOKUP($A35,'SegEnds_NonXtal_BW#'!$A:$Z,21,FALSE)+VLOOKUP($A35,A:AL,31,FALSE)-50),"-",(VLOOKUP($A35,'SegEnds_NonXtal_BW#'!$A:$Z,21,FALSE)+VLOOKUP($A35,A:AL,31,FALSE)-50))</f>
        <v>270</v>
      </c>
      <c r="AE35" s="3">
        <v>296</v>
      </c>
      <c r="AF35" s="3">
        <f>IF(ISERROR((VLOOKUP($A35,'SegEnds_NonXtal_BW#'!$A:$Z,22,FALSE)+VLOOKUP($A35,A:AL,31,FALSE)-50)),"-",(VLOOKUP($A35,'SegEnds_NonXtal_BW#'!$A:$Z,22,FALSE)+VLOOKUP($A35,A:AL,31,FALSE)-50))</f>
        <v>307</v>
      </c>
      <c r="AG35" s="3">
        <f>IF(ISERROR(VLOOKUP($A35,'SegEnds_NonXtal_BW#'!$A:$Z,23,FALSE)+VLOOKUP($A35,A:AL,34,FALSE)-50),"-",(VLOOKUP($A35,'SegEnds_NonXtal_BW#'!$A:$Z,23,FALSE)+VLOOKUP($A35,A:AL,34,FALSE)-50))</f>
        <v>313</v>
      </c>
      <c r="AH35" s="3">
        <v>335</v>
      </c>
      <c r="AI35" s="3">
        <f>IF(ISERROR((VLOOKUP($A35,'SegEnds_NonXtal_BW#'!$A:$Z,24,FALSE)+VLOOKUP($A35,A:AL,34,FALSE)-50)),"-",(VLOOKUP($A35,'SegEnds_NonXtal_BW#'!$A:$Z,24,FALSE)+VLOOKUP($A35,A:AL,34,FALSE)-50))</f>
        <v>341</v>
      </c>
      <c r="AJ35" s="3">
        <f>IF(ISERROR(VLOOKUP($A35,'SegEnds_NonXtal_BW#'!$A:$Z,25,FALSE)+VLOOKUP($A35,A:AL,37,FALSE)-50),"-",(VLOOKUP($A35,'SegEnds_NonXtal_BW#'!$A:$Z,25,FALSE)+VLOOKUP($A35,A:AL,37,FALSE)-50))</f>
        <v>342</v>
      </c>
      <c r="AK35" s="3">
        <v>345</v>
      </c>
      <c r="AL35" s="3">
        <f>IF(ISERROR((VLOOKUP($A35,'SegEnds_NonXtal_BW#'!$A:$Z,26,FALSE)+VLOOKUP($A35,A:AL,37,FALSE)-50)),"-",(VLOOKUP($A35,'SegEnds_NonXtal_BW#'!$A:$Z,26,FALSE)+VLOOKUP($A35,A:AL,37,FALSE)-50))</f>
        <v>354</v>
      </c>
      <c r="AM35" s="28" t="str">
        <f>VLOOKUP(A35,Classification!A:B,2,FALSE)</f>
        <v>A</v>
      </c>
      <c r="AN35" s="28" t="b">
        <f>AND(IF(Y35="-",IF(AA35-W35&gt;3,TRUE,FALSE),TRUE),IF(M35="-",IF(O35-K35&gt;3,TRUE,FALSE),TRUE),C35&lt;E35,OR(E35&lt;F35,F35="-"),OR(F35&lt;H35,F35="-"),OR(H35&lt;I35,H35="-"),I35&lt;K35,OR(K35&lt;L35,L35="-"),OR(L35&lt;N35,L35="-"),OR(N35&lt;O35,N35="-"),O35&lt;Q35,OR(Q35&lt;R35,R35="-"),OR(R35&lt;T35,R35="-"),OR(T35&lt;U35,T35="-"),U35&lt;W35,OR(W35&lt;X35,X35="-"),OR(X35&lt;Z35,X35="-"),OR(Z35&lt;AA35,Z35="-"),AA35&lt;AC35,AC35&lt;AD35,AD35&lt;AF35,AF35&lt;AG35,AG35&lt;AI35,OR(AI35&lt;AJ35,AJ35="-"),OR(AJ35&lt;AL35,AJ35="-"))</f>
        <v>1</v>
      </c>
      <c r="AO35" s="3" t="str">
        <f>IF(ISERROR(MATCH(A35,'SegEnds_Xtal_Prot#'!B:B, 0)), "NoXtal", "Xtal")</f>
        <v>NoXtal</v>
      </c>
      <c r="AP35" s="3">
        <f>IF(ISERROR(F35-E35),"-",F35-E35)</f>
        <v>1</v>
      </c>
      <c r="AQ35" s="3">
        <f>IF(ISERROR(I35-H35),"-",I35-H35)</f>
        <v>1</v>
      </c>
      <c r="AR35" s="3">
        <f>IF(ISERROR(L35-K35),"-",L35-K35)</f>
        <v>5</v>
      </c>
      <c r="AS35" s="3">
        <f>IF(ISERROR(O35-N35),"-",O35-N35)</f>
        <v>1</v>
      </c>
      <c r="AT35" s="3">
        <f>IF(ISERROR(R35-Q35),"-",R35-Q35)</f>
        <v>1</v>
      </c>
      <c r="AU35" s="3">
        <f>IF(ISERROR(U35-T35),"-",U35-T35)</f>
        <v>1</v>
      </c>
      <c r="AV35" s="3">
        <f>IF(ISERROR(X35-W35),"-",X35-W35)</f>
        <v>15</v>
      </c>
      <c r="AW35" s="3">
        <f>IF(ISERROR(AA35-Z35),"-",AA35-Z35)</f>
        <v>9</v>
      </c>
      <c r="AX35" s="3">
        <f>IF(ISERROR(AD35-AC35),"-",AD35-AC35)</f>
        <v>33</v>
      </c>
      <c r="AY35" s="3">
        <f>IF(ISERROR(AG35-AF35),"-",AG35-AF35)</f>
        <v>6</v>
      </c>
      <c r="AZ35" s="3">
        <f>IF(ISERROR(AJ35-AI35),"-",AJ35-AI35)</f>
        <v>1</v>
      </c>
      <c r="BA35" s="3">
        <f>IF(ISERROR(LEN(VLOOKUP(A35,Seqs!A:E,2,FALSE))-AL35),"-",LEN(VLOOKUP(A35,Seqs!A:E,2,FALSE))-AL35)</f>
        <v>70</v>
      </c>
      <c r="BB35" s="16">
        <f>J35-D35</f>
        <v>28</v>
      </c>
      <c r="BC35" s="9">
        <f>IF(ISERROR(V35-S35),"-",V35-S35)</f>
        <v>19</v>
      </c>
      <c r="BD35" s="3">
        <f>J35-D35</f>
        <v>28</v>
      </c>
      <c r="BE35" s="3">
        <f>AE35-AB35</f>
        <v>85</v>
      </c>
    </row>
    <row r="36" spans="1:58" s="3" customFormat="1" x14ac:dyDescent="0.2">
      <c r="A36" s="3" t="s">
        <v>128</v>
      </c>
      <c r="B36" s="3" t="str">
        <f>LOWER(VLOOKUP(A36,Xtal_Templ!A:B,2,FALSE))</f>
        <v>5ht1b_human</v>
      </c>
      <c r="C36" s="3">
        <f>VLOOKUP($A36,'SegEnds_NonXtal_BW#'!$A:$Z,3,FALSE)+D36-50</f>
        <v>33</v>
      </c>
      <c r="D36" s="3">
        <v>54</v>
      </c>
      <c r="E36" s="3">
        <f>IF(ISERROR(VLOOKUP($A36,'SegEnds_NonXtal_BW#'!$A:$Z,4,FALSE)+VLOOKUP($A36,A:AL,4,FALSE)-50),"-",(VLOOKUP($A36,'SegEnds_NonXtal_BW#'!$A:$Z,4,FALSE)+VLOOKUP($A36,A:AL,4,FALSE)-50))</f>
        <v>64</v>
      </c>
      <c r="F36" s="3">
        <f>G36-2</f>
        <v>65</v>
      </c>
      <c r="G36" s="3">
        <v>67</v>
      </c>
      <c r="H36" s="3">
        <f>G36+1</f>
        <v>68</v>
      </c>
      <c r="I36" s="3">
        <f>H36+1</f>
        <v>69</v>
      </c>
      <c r="J36" s="3">
        <v>82</v>
      </c>
      <c r="K36" s="3">
        <f>VLOOKUP($A36,'SegEnds_NonXtal_BW#'!$A:$Z,8,FALSE)+VLOOKUP($A36,A:AL,10,FALSE)-50</f>
        <v>99</v>
      </c>
      <c r="L36" s="3">
        <f>M36-1</f>
        <v>101</v>
      </c>
      <c r="M36" s="3">
        <v>102</v>
      </c>
      <c r="N36" s="3">
        <f>M36+2</f>
        <v>104</v>
      </c>
      <c r="O36" s="3">
        <f>N36+1</f>
        <v>105</v>
      </c>
      <c r="P36" s="3">
        <v>134</v>
      </c>
      <c r="Q36" s="3">
        <f>VLOOKUP($A36,'SegEnds_NonXtal_BW#'!$A:$Z,12,FALSE)+VLOOKUP($A36,A:AL,16,FALSE)-50</f>
        <v>140</v>
      </c>
      <c r="R36" s="3">
        <f>IF(ISERROR(VLOOKUP($A36,'SegEnds_NonXtal_BW#'!$A:$Z,13,FALSE)+VLOOKUP($A36,A:AL,19,FALSE)-50),"-",VLOOKUP($A36,'SegEnds_NonXtal_BW#'!$A:$Z,13,FALSE)+VLOOKUP($A36,A:AL,19,FALSE)-50)</f>
        <v>141</v>
      </c>
      <c r="S36" s="3">
        <v>141</v>
      </c>
      <c r="T36" s="103">
        <f>IF(ISERROR(VLOOKUP($A36,'SegEnds_NonXtal_BW#'!$A:$Z,14,FALSE)+VLOOKUP($A36,A:AL,19,FALSE)-50),"-",(VLOOKUP($A36,'SegEnds_NonXtal_BW#'!$A:$Z,14,FALSE)+VLOOKUP($A36,A:AL,19,FALSE)-50))</f>
        <v>148</v>
      </c>
      <c r="U36" s="9">
        <f>IF(ISERROR(VLOOKUP($A36,'SegEnds_NonXtal_BW#'!$A:$Z,15,FALSE)+VLOOKUP($A36,A:AL,22,FALSE)-50),"-",VLOOKUP($A36,'SegEnds_NonXtal_BW#'!$A:$Z,15,FALSE)+VLOOKUP($A36,A:AL,22,FALSE)-50)</f>
        <v>149</v>
      </c>
      <c r="V36" s="3">
        <v>161</v>
      </c>
      <c r="W36" s="3">
        <f>IF(ISERROR(VLOOKUP($A36,'SegEnds_NonXtal_BW#'!$A:$Z,16,FALSE)+VLOOKUP($A36,A:AL,22,FALSE)-50),"-",(VLOOKUP($A36,'SegEnds_NonXtal_BW#'!$A:$Z,16,FALSE)+VLOOKUP($A36,A:AL,22,FALSE)-50))</f>
        <v>174</v>
      </c>
      <c r="X36" s="3">
        <f>IF(ISERROR(VLOOKUP($A36,'SegEnds_NonXtal_BW#'!$A:$Z,17,FALSE)+VLOOKUP($A36,A:AL,25,FALSE)-50),"-",(VLOOKUP($A36,'SegEnds_NonXtal_BW#'!$A:$Z,17,FALSE)+VLOOKUP($A36,A:AL,25,FALSE)-50))</f>
        <v>187</v>
      </c>
      <c r="Y36" s="3">
        <v>187</v>
      </c>
      <c r="Z36" s="3">
        <f>Y36+2</f>
        <v>189</v>
      </c>
      <c r="AA36" s="3">
        <f>IF(ISERROR(VLOOKUP($A36,'SegEnds_NonXtal_BW#'!$A:$Z,19,FALSE)+VLOOKUP($A36,A:AL,28,FALSE)-50),"-",(VLOOKUP($A36,'SegEnds_NonXtal_BW#'!$A:$Z,19,FALSE)+VLOOKUP($A36,A:AL,28,FALSE)-50))</f>
        <v>192</v>
      </c>
      <c r="AB36" s="3">
        <v>207</v>
      </c>
      <c r="AC36" s="3">
        <f>IF(ISERROR((VLOOKUP($A36,'SegEnds_NonXtal_BW#'!$A:$Z,20,FALSE)+VLOOKUP($A36,A:AL,28,FALSE)-50)),"-",(VLOOKUP($A36,'SegEnds_NonXtal_BW#'!$A:$Z,20,FALSE)+VLOOKUP($A36,A:AL,28,FALSE)-50))</f>
        <v>233</v>
      </c>
      <c r="AD36" s="3">
        <f>IF(ISERROR(VLOOKUP($A36,'SegEnds_NonXtal_BW#'!$A:$Z,21,FALSE)+VLOOKUP($A36,A:AL,31,FALSE)-50),"-",(VLOOKUP($A36,'SegEnds_NonXtal_BW#'!$A:$Z,21,FALSE)+VLOOKUP($A36,A:AL,31,FALSE)-50))</f>
        <v>334</v>
      </c>
      <c r="AE36" s="3">
        <v>360</v>
      </c>
      <c r="AF36" s="3">
        <f>IF(ISERROR((VLOOKUP($A36,'SegEnds_NonXtal_BW#'!$A:$Z,22,FALSE)+VLOOKUP($A36,A:AL,31,FALSE)-50)),"-",(VLOOKUP($A36,'SegEnds_NonXtal_BW#'!$A:$Z,22,FALSE)+VLOOKUP($A36,A:AL,31,FALSE)-50))</f>
        <v>370</v>
      </c>
      <c r="AG36" s="3">
        <f>IF(ISERROR(VLOOKUP($A36,'SegEnds_NonXtal_BW#'!$A:$Z,23,FALSE)+VLOOKUP($A36,A:AL,34,FALSE)-50),"-",(VLOOKUP($A36,'SegEnds_NonXtal_BW#'!$A:$Z,23,FALSE)+VLOOKUP($A36,A:AL,34,FALSE)-50))</f>
        <v>378</v>
      </c>
      <c r="AH36" s="3">
        <v>397</v>
      </c>
      <c r="AI36" s="3">
        <f>IF(ISERROR((VLOOKUP($A36,'SegEnds_NonXtal_BW#'!$A:$Z,24,FALSE)+VLOOKUP($A36,A:AL,34,FALSE)-50)),"-",(VLOOKUP($A36,'SegEnds_NonXtal_BW#'!$A:$Z,24,FALSE)+VLOOKUP($A36,A:AL,34,FALSE)-50))</f>
        <v>403</v>
      </c>
      <c r="AJ36" s="3">
        <f>IF(ISERROR(VLOOKUP($A36,'SegEnds_NonXtal_BW#'!$A:$Z,25,FALSE)+VLOOKUP($A36,A:AL,37,FALSE)-50),"-",(VLOOKUP($A36,'SegEnds_NonXtal_BW#'!$A:$Z,25,FALSE)+VLOOKUP($A36,A:AL,37,FALSE)-50))</f>
        <v>404</v>
      </c>
      <c r="AK36" s="3">
        <v>407</v>
      </c>
      <c r="AL36" s="3">
        <f>IF(ISERROR((VLOOKUP($A36,'SegEnds_NonXtal_BW#'!$A:$Z,26,FALSE)+VLOOKUP($A36,A:AL,37,FALSE)-50)),"-",(VLOOKUP($A36,'SegEnds_NonXtal_BW#'!$A:$Z,26,FALSE)+VLOOKUP($A36,A:AL,37,FALSE)-50))</f>
        <v>415</v>
      </c>
      <c r="AM36" s="28" t="str">
        <f>VLOOKUP(A36,Classification!A:B,2,FALSE)</f>
        <v>A</v>
      </c>
      <c r="AN36" s="28" t="b">
        <f>AND(IF(Y36="-",IF(AA36-W36&gt;3,TRUE,FALSE),TRUE),IF(M36="-",IF(O36-K36&gt;3,TRUE,FALSE),TRUE),C36&lt;E36,OR(E36&lt;F36,F36="-"),OR(F36&lt;H36,F36="-"),OR(H36&lt;I36,H36="-"),I36&lt;K36,OR(K36&lt;L36,L36="-"),OR(L36&lt;N36,L36="-"),OR(N36&lt;O36,N36="-"),O36&lt;Q36,OR(Q36&lt;R36,R36="-"),OR(R36&lt;T36,R36="-"),OR(T36&lt;U36,T36="-"),U36&lt;W36,OR(W36&lt;X36,X36="-"),OR(X36&lt;Z36,X36="-"),OR(Z36&lt;AA36,Z36="-"),AA36&lt;AC36,AC36&lt;AD36,AD36&lt;AF36,AF36&lt;AG36,AG36&lt;AI36,OR(AI36&lt;AJ36,AJ36="-"),OR(AJ36&lt;AL36,AJ36="-"))</f>
        <v>1</v>
      </c>
      <c r="AO36" s="3" t="str">
        <f>IF(ISERROR(MATCH(A36,'SegEnds_Xtal_Prot#'!B:B, 0)), "NoXtal", "Xtal")</f>
        <v>NoXtal</v>
      </c>
      <c r="AP36" s="3">
        <f>IF(ISERROR(F36-E36),"-",F36-E36)</f>
        <v>1</v>
      </c>
      <c r="AQ36" s="3">
        <f>IF(ISERROR(I36-H36),"-",I36-H36)</f>
        <v>1</v>
      </c>
      <c r="AR36" s="3">
        <f>IF(ISERROR(L36-K36),"-",L36-K36)</f>
        <v>2</v>
      </c>
      <c r="AS36" s="3">
        <f>IF(ISERROR(O36-N36),"-",O36-N36)</f>
        <v>1</v>
      </c>
      <c r="AT36" s="3">
        <f>IF(ISERROR(R36-Q36),"-",R36-Q36)</f>
        <v>1</v>
      </c>
      <c r="AU36" s="3">
        <f>IF(ISERROR(U36-T36),"-",U36-T36)</f>
        <v>1</v>
      </c>
      <c r="AV36" s="3">
        <f>IF(ISERROR(X36-W36),"-",X36-W36)</f>
        <v>13</v>
      </c>
      <c r="AW36" s="3">
        <f>IF(ISERROR(AA36-Z36),"-",AA36-Z36)</f>
        <v>3</v>
      </c>
      <c r="AX36" s="3">
        <f>IF(ISERROR(AD36-AC36),"-",AD36-AC36)</f>
        <v>101</v>
      </c>
      <c r="AY36" s="3">
        <f>IF(ISERROR(AG36-AF36),"-",AG36-AF36)</f>
        <v>8</v>
      </c>
      <c r="AZ36" s="3">
        <f>IF(ISERROR(AJ36-AI36),"-",AJ36-AI36)</f>
        <v>1</v>
      </c>
      <c r="BA36" s="3">
        <f>IF(ISERROR(LEN(VLOOKUP(A36,Seqs!A:E,2,FALSE))-AL36),"-",LEN(VLOOKUP(A36,Seqs!A:E,2,FALSE))-AL36)</f>
        <v>7</v>
      </c>
      <c r="BB36" s="16">
        <f>J36-D36</f>
        <v>28</v>
      </c>
      <c r="BC36" s="9">
        <f>IF(ISERROR(V36-S36),"-",V36-S36)</f>
        <v>20</v>
      </c>
      <c r="BD36" s="3">
        <f>J36-D36</f>
        <v>28</v>
      </c>
      <c r="BE36" s="3">
        <f>AE36-AB36</f>
        <v>153</v>
      </c>
      <c r="BF36" s="3">
        <f>AH36-AE36</f>
        <v>37</v>
      </c>
    </row>
    <row r="37" spans="1:58" s="3" customFormat="1" x14ac:dyDescent="0.2">
      <c r="A37" s="3" t="s">
        <v>34</v>
      </c>
      <c r="B37" s="3" t="str">
        <f>LOWER(VLOOKUP(A37,Xtal_Templ!A:B,2,FALSE))</f>
        <v>5ht1b_human</v>
      </c>
      <c r="C37" s="3">
        <f>VLOOKUP($A37,'SegEnds_NonXtal_BW#'!$A:$Z,3,FALSE)+D37-50</f>
        <v>46</v>
      </c>
      <c r="D37" s="3">
        <v>67</v>
      </c>
      <c r="E37" s="3">
        <f>IF(ISERROR(VLOOKUP($A37,'SegEnds_NonXtal_BW#'!$A:$Z,4,FALSE)+VLOOKUP($A37,A:AL,4,FALSE)-50),"-",(VLOOKUP($A37,'SegEnds_NonXtal_BW#'!$A:$Z,4,FALSE)+VLOOKUP($A37,A:AL,4,FALSE)-50))</f>
        <v>77</v>
      </c>
      <c r="F37" s="3">
        <f>G37-2</f>
        <v>78</v>
      </c>
      <c r="G37" s="3">
        <v>80</v>
      </c>
      <c r="H37" s="3">
        <f>G37+1</f>
        <v>81</v>
      </c>
      <c r="I37" s="3">
        <f>H37+1</f>
        <v>82</v>
      </c>
      <c r="J37" s="3">
        <v>95</v>
      </c>
      <c r="K37" s="3">
        <f>VLOOKUP($A37,'SegEnds_NonXtal_BW#'!$A:$Z,8,FALSE)+VLOOKUP($A37,A:AL,10,FALSE)-50</f>
        <v>112</v>
      </c>
      <c r="L37" s="3">
        <f>M37-1</f>
        <v>114</v>
      </c>
      <c r="M37" s="3">
        <v>115</v>
      </c>
      <c r="N37" s="3">
        <f>M37+2</f>
        <v>117</v>
      </c>
      <c r="O37" s="3">
        <f>N37+1</f>
        <v>118</v>
      </c>
      <c r="P37" s="3">
        <v>147</v>
      </c>
      <c r="Q37" s="3">
        <f>VLOOKUP($A37,'SegEnds_NonXtal_BW#'!$A:$Z,12,FALSE)+VLOOKUP($A37,A:AL,16,FALSE)-50</f>
        <v>153</v>
      </c>
      <c r="R37" s="3">
        <f>IF(ISERROR(VLOOKUP($A37,'SegEnds_NonXtal_BW#'!$A:$Z,13,FALSE)+VLOOKUP($A37,A:AL,19,FALSE)-50),"-",VLOOKUP($A37,'SegEnds_NonXtal_BW#'!$A:$Z,13,FALSE)+VLOOKUP($A37,A:AL,19,FALSE)-50)</f>
        <v>154</v>
      </c>
      <c r="S37" s="3">
        <v>154</v>
      </c>
      <c r="T37" s="103">
        <f>IF(ISERROR(VLOOKUP($A37,'SegEnds_NonXtal_BW#'!$A:$Z,14,FALSE)+VLOOKUP($A37,A:AL,19,FALSE)-50),"-",(VLOOKUP($A37,'SegEnds_NonXtal_BW#'!$A:$Z,14,FALSE)+VLOOKUP($A37,A:AL,19,FALSE)-50))</f>
        <v>161</v>
      </c>
      <c r="U37" s="9">
        <f>IF(ISERROR(VLOOKUP($A37,'SegEnds_NonXtal_BW#'!$A:$Z,15,FALSE)+VLOOKUP($A37,A:AL,22,FALSE)-50),"-",VLOOKUP($A37,'SegEnds_NonXtal_BW#'!$A:$Z,15,FALSE)+VLOOKUP($A37,A:AL,22,FALSE)-50)</f>
        <v>162</v>
      </c>
      <c r="V37" s="3">
        <v>174</v>
      </c>
      <c r="W37" s="3">
        <f>IF(ISERROR(VLOOKUP($A37,'SegEnds_NonXtal_BW#'!$A:$Z,16,FALSE)+VLOOKUP($A37,A:AL,22,FALSE)-50),"-",(VLOOKUP($A37,'SegEnds_NonXtal_BW#'!$A:$Z,16,FALSE)+VLOOKUP($A37,A:AL,22,FALSE)-50))</f>
        <v>187</v>
      </c>
      <c r="X37" s="3">
        <f>IF(ISERROR(VLOOKUP($A37,'SegEnds_NonXtal_BW#'!$A:$Z,17,FALSE)+VLOOKUP($A37,A:AL,25,FALSE)-50),"-",(VLOOKUP($A37,'SegEnds_NonXtal_BW#'!$A:$Z,17,FALSE)+VLOOKUP($A37,A:AL,25,FALSE)-50))</f>
        <v>199</v>
      </c>
      <c r="Y37" s="3">
        <v>199</v>
      </c>
      <c r="Z37" s="3">
        <f>Y37+2</f>
        <v>201</v>
      </c>
      <c r="AA37" s="3">
        <f>IF(ISERROR(VLOOKUP($A37,'SegEnds_NonXtal_BW#'!$A:$Z,19,FALSE)+VLOOKUP($A37,A:AL,28,FALSE)-50),"-",(VLOOKUP($A37,'SegEnds_NonXtal_BW#'!$A:$Z,19,FALSE)+VLOOKUP($A37,A:AL,28,FALSE)-50))</f>
        <v>205</v>
      </c>
      <c r="AB37" s="3">
        <v>220</v>
      </c>
      <c r="AC37" s="3">
        <f>IF(ISERROR((VLOOKUP($A37,'SegEnds_NonXtal_BW#'!$A:$Z,20,FALSE)+VLOOKUP($A37,A:AL,28,FALSE)-50)),"-",(VLOOKUP($A37,'SegEnds_NonXtal_BW#'!$A:$Z,20,FALSE)+VLOOKUP($A37,A:AL,28,FALSE)-50))</f>
        <v>244</v>
      </c>
      <c r="AD37" s="3">
        <f>IF(ISERROR(VLOOKUP($A37,'SegEnds_NonXtal_BW#'!$A:$Z,21,FALSE)+VLOOKUP($A37,A:AL,31,FALSE)-50),"-",(VLOOKUP($A37,'SegEnds_NonXtal_BW#'!$A:$Z,21,FALSE)+VLOOKUP($A37,A:AL,31,FALSE)-50))</f>
        <v>303</v>
      </c>
      <c r="AE37" s="3">
        <v>329</v>
      </c>
      <c r="AF37" s="3">
        <f>IF(ISERROR((VLOOKUP($A37,'SegEnds_NonXtal_BW#'!$A:$Z,22,FALSE)+VLOOKUP($A37,A:AL,31,FALSE)-50)),"-",(VLOOKUP($A37,'SegEnds_NonXtal_BW#'!$A:$Z,22,FALSE)+VLOOKUP($A37,A:AL,31,FALSE)-50))</f>
        <v>339</v>
      </c>
      <c r="AG37" s="3">
        <f>IF(ISERROR(VLOOKUP($A37,'SegEnds_NonXtal_BW#'!$A:$Z,23,FALSE)+VLOOKUP($A37,A:AL,34,FALSE)-50),"-",(VLOOKUP($A37,'SegEnds_NonXtal_BW#'!$A:$Z,23,FALSE)+VLOOKUP($A37,A:AL,34,FALSE)-50))</f>
        <v>347</v>
      </c>
      <c r="AH37" s="3">
        <v>366</v>
      </c>
      <c r="AI37" s="3">
        <f>IF(ISERROR((VLOOKUP($A37,'SegEnds_NonXtal_BW#'!$A:$Z,24,FALSE)+VLOOKUP($A37,A:AL,34,FALSE)-50)),"-",(VLOOKUP($A37,'SegEnds_NonXtal_BW#'!$A:$Z,24,FALSE)+VLOOKUP($A37,A:AL,34,FALSE)-50))</f>
        <v>372</v>
      </c>
      <c r="AJ37" s="3">
        <f>IF(ISERROR(VLOOKUP($A37,'SegEnds_NonXtal_BW#'!$A:$Z,25,FALSE)+VLOOKUP($A37,A:AL,37,FALSE)-50),"-",(VLOOKUP($A37,'SegEnds_NonXtal_BW#'!$A:$Z,25,FALSE)+VLOOKUP($A37,A:AL,37,FALSE)-50))</f>
        <v>373</v>
      </c>
      <c r="AK37" s="3">
        <v>376</v>
      </c>
      <c r="AL37" s="3">
        <f>IF(ISERROR((VLOOKUP($A37,'SegEnds_NonXtal_BW#'!$A:$Z,26,FALSE)+VLOOKUP($A37,A:AL,37,FALSE)-50)),"-",(VLOOKUP($A37,'SegEnds_NonXtal_BW#'!$A:$Z,26,FALSE)+VLOOKUP($A37,A:AL,37,FALSE)-50))</f>
        <v>384</v>
      </c>
      <c r="AM37" s="28" t="str">
        <f>VLOOKUP(A37,Classification!A:B,2,FALSE)</f>
        <v>A</v>
      </c>
      <c r="AN37" s="28" t="b">
        <f>AND(IF(Y37="-",IF(AA37-W37&gt;3,TRUE,FALSE),TRUE),IF(M37="-",IF(O37-K37&gt;3,TRUE,FALSE),TRUE),C37&lt;E37,OR(E37&lt;F37,F37="-"),OR(F37&lt;H37,F37="-"),OR(H37&lt;I37,H37="-"),I37&lt;K37,OR(K37&lt;L37,L37="-"),OR(L37&lt;N37,L37="-"),OR(N37&lt;O37,N37="-"),O37&lt;Q37,OR(Q37&lt;R37,R37="-"),OR(R37&lt;T37,R37="-"),OR(T37&lt;U37,T37="-"),U37&lt;W37,OR(W37&lt;X37,X37="-"),OR(X37&lt;Z37,X37="-"),OR(Z37&lt;AA37,Z37="-"),AA37&lt;AC37,AC37&lt;AD37,AD37&lt;AF37,AF37&lt;AG37,AG37&lt;AI37,OR(AI37&lt;AJ37,AJ37="-"),OR(AJ37&lt;AL37,AJ37="-"))</f>
        <v>1</v>
      </c>
      <c r="AO37" s="3" t="str">
        <f>IF(ISERROR(MATCH(A37,'SegEnds_Xtal_Prot#'!B:B, 0)), "NoXtal", "Xtal")</f>
        <v>Xtal</v>
      </c>
      <c r="AP37" s="3">
        <f>IF(ISERROR(F37-E37),"-",F37-E37)</f>
        <v>1</v>
      </c>
      <c r="AQ37" s="3">
        <f>IF(ISERROR(I37-H37),"-",I37-H37)</f>
        <v>1</v>
      </c>
      <c r="AR37" s="3">
        <f>IF(ISERROR(L37-K37),"-",L37-K37)</f>
        <v>2</v>
      </c>
      <c r="AS37" s="3">
        <f>IF(ISERROR(O37-N37),"-",O37-N37)</f>
        <v>1</v>
      </c>
      <c r="AT37" s="3">
        <f>IF(ISERROR(R37-Q37),"-",R37-Q37)</f>
        <v>1</v>
      </c>
      <c r="AU37" s="3">
        <f>IF(ISERROR(U37-T37),"-",U37-T37)</f>
        <v>1</v>
      </c>
      <c r="AV37" s="3">
        <f>IF(ISERROR(X37-W37),"-",X37-W37)</f>
        <v>12</v>
      </c>
      <c r="AW37" s="3">
        <f>IF(ISERROR(AA37-Z37),"-",AA37-Z37)</f>
        <v>4</v>
      </c>
      <c r="AX37" s="3">
        <f>IF(ISERROR(AD37-AC37),"-",AD37-AC37)</f>
        <v>59</v>
      </c>
      <c r="AY37" s="3">
        <f>IF(ISERROR(AG37-AF37),"-",AG37-AF37)</f>
        <v>8</v>
      </c>
      <c r="AZ37" s="3">
        <f>IF(ISERROR(AJ37-AI37),"-",AJ37-AI37)</f>
        <v>1</v>
      </c>
      <c r="BA37" s="3">
        <f>IF(ISERROR(LEN(VLOOKUP(A37,Seqs!A:E,2,FALSE))-AL37),"-",LEN(VLOOKUP(A37,Seqs!A:E,2,FALSE))-AL37)</f>
        <v>6</v>
      </c>
      <c r="BB37" s="16">
        <f>J37-D37</f>
        <v>28</v>
      </c>
      <c r="BC37" s="9">
        <f>IF(ISERROR(V37-S37),"-",V37-S37)</f>
        <v>20</v>
      </c>
      <c r="BD37" s="3">
        <f>J37-D37</f>
        <v>28</v>
      </c>
      <c r="BE37" s="3">
        <f>AE37-AB37</f>
        <v>109</v>
      </c>
      <c r="BF37" s="3">
        <f>AH37-AE37</f>
        <v>37</v>
      </c>
    </row>
    <row r="38" spans="1:58" s="3" customFormat="1" x14ac:dyDescent="0.2">
      <c r="A38" s="3" t="s">
        <v>129</v>
      </c>
      <c r="B38" s="3" t="str">
        <f>LOWER(VLOOKUP(A38,Xtal_Templ!A:B,2,FALSE))</f>
        <v>5ht1b_human</v>
      </c>
      <c r="C38" s="3">
        <f>VLOOKUP($A38,'SegEnds_NonXtal_BW#'!$A:$Z,3,FALSE)+D38-50</f>
        <v>35</v>
      </c>
      <c r="D38" s="3">
        <v>56</v>
      </c>
      <c r="E38" s="3">
        <f>IF(ISERROR(VLOOKUP($A38,'SegEnds_NonXtal_BW#'!$A:$Z,4,FALSE)+VLOOKUP($A38,A:AL,4,FALSE)-50),"-",(VLOOKUP($A38,'SegEnds_NonXtal_BW#'!$A:$Z,4,FALSE)+VLOOKUP($A38,A:AL,4,FALSE)-50))</f>
        <v>66</v>
      </c>
      <c r="F38" s="3">
        <f>G38-2</f>
        <v>67</v>
      </c>
      <c r="G38" s="3">
        <v>69</v>
      </c>
      <c r="H38" s="3">
        <f>G38+1</f>
        <v>70</v>
      </c>
      <c r="I38" s="3">
        <f>H38+1</f>
        <v>71</v>
      </c>
      <c r="J38" s="3">
        <v>84</v>
      </c>
      <c r="K38" s="3">
        <f>VLOOKUP($A38,'SegEnds_NonXtal_BW#'!$A:$Z,8,FALSE)+VLOOKUP($A38,A:AL,10,FALSE)-50</f>
        <v>101</v>
      </c>
      <c r="L38" s="3">
        <f>M38-1</f>
        <v>103</v>
      </c>
      <c r="M38" s="3">
        <v>104</v>
      </c>
      <c r="N38" s="3">
        <f>M38+2</f>
        <v>106</v>
      </c>
      <c r="O38" s="3">
        <f>N38+1</f>
        <v>107</v>
      </c>
      <c r="P38" s="3">
        <v>136</v>
      </c>
      <c r="Q38" s="3">
        <f>VLOOKUP($A38,'SegEnds_NonXtal_BW#'!$A:$Z,12,FALSE)+VLOOKUP($A38,A:AL,16,FALSE)-50</f>
        <v>142</v>
      </c>
      <c r="R38" s="3">
        <f>IF(ISERROR(VLOOKUP($A38,'SegEnds_NonXtal_BW#'!$A:$Z,13,FALSE)+VLOOKUP($A38,A:AL,19,FALSE)-50),"-",VLOOKUP($A38,'SegEnds_NonXtal_BW#'!$A:$Z,13,FALSE)+VLOOKUP($A38,A:AL,19,FALSE)-50)</f>
        <v>143</v>
      </c>
      <c r="S38" s="3">
        <v>143</v>
      </c>
      <c r="T38" s="103">
        <f>IF(ISERROR(VLOOKUP($A38,'SegEnds_NonXtal_BW#'!$A:$Z,14,FALSE)+VLOOKUP($A38,A:AL,19,FALSE)-50),"-",(VLOOKUP($A38,'SegEnds_NonXtal_BW#'!$A:$Z,14,FALSE)+VLOOKUP($A38,A:AL,19,FALSE)-50))</f>
        <v>150</v>
      </c>
      <c r="U38" s="9">
        <f>IF(ISERROR(VLOOKUP($A38,'SegEnds_NonXtal_BW#'!$A:$Z,15,FALSE)+VLOOKUP($A38,A:AL,22,FALSE)-50),"-",VLOOKUP($A38,'SegEnds_NonXtal_BW#'!$A:$Z,15,FALSE)+VLOOKUP($A38,A:AL,22,FALSE)-50)</f>
        <v>151</v>
      </c>
      <c r="V38" s="3">
        <v>163</v>
      </c>
      <c r="W38" s="3">
        <f>IF(ISERROR(VLOOKUP($A38,'SegEnds_NonXtal_BW#'!$A:$Z,16,FALSE)+VLOOKUP($A38,A:AL,22,FALSE)-50),"-",(VLOOKUP($A38,'SegEnds_NonXtal_BW#'!$A:$Z,16,FALSE)+VLOOKUP($A38,A:AL,22,FALSE)-50))</f>
        <v>176</v>
      </c>
      <c r="X38" s="3">
        <f>IF(ISERROR(VLOOKUP($A38,'SegEnds_NonXtal_BW#'!$A:$Z,17,FALSE)+VLOOKUP($A38,A:AL,25,FALSE)-50),"-",(VLOOKUP($A38,'SegEnds_NonXtal_BW#'!$A:$Z,17,FALSE)+VLOOKUP($A38,A:AL,25,FALSE)-50))</f>
        <v>188</v>
      </c>
      <c r="Y38" s="3">
        <v>188</v>
      </c>
      <c r="Z38" s="3">
        <f>Y38+2</f>
        <v>190</v>
      </c>
      <c r="AA38" s="3">
        <f>IF(ISERROR(VLOOKUP($A38,'SegEnds_NonXtal_BW#'!$A:$Z,19,FALSE)+VLOOKUP($A38,A:AL,28,FALSE)-50),"-",(VLOOKUP($A38,'SegEnds_NonXtal_BW#'!$A:$Z,19,FALSE)+VLOOKUP($A38,A:AL,28,FALSE)-50))</f>
        <v>194</v>
      </c>
      <c r="AB38" s="3">
        <v>209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290</v>
      </c>
      <c r="AE38" s="3">
        <v>316</v>
      </c>
      <c r="AF38" s="3">
        <f>IF(ISERROR((VLOOKUP($A38,'SegEnds_NonXtal_BW#'!$A:$Z,22,FALSE)+VLOOKUP($A38,A:AL,31,FALSE)-50)),"-",(VLOOKUP($A38,'SegEnds_NonXtal_BW#'!$A:$Z,22,FALSE)+VLOOKUP($A38,A:AL,31,FALSE)-50))</f>
        <v>326</v>
      </c>
      <c r="AG38" s="3">
        <f>IF(ISERROR(VLOOKUP($A38,'SegEnds_NonXtal_BW#'!$A:$Z,23,FALSE)+VLOOKUP($A38,A:AL,34,FALSE)-50),"-",(VLOOKUP($A38,'SegEnds_NonXtal_BW#'!$A:$Z,23,FALSE)+VLOOKUP($A38,A:AL,34,FALSE)-50))</f>
        <v>334</v>
      </c>
      <c r="AH38" s="3">
        <v>353</v>
      </c>
      <c r="AI38" s="3">
        <f>IF(ISERROR((VLOOKUP($A38,'SegEnds_NonXtal_BW#'!$A:$Z,24,FALSE)+VLOOKUP($A38,A:AL,34,FALSE)-50)),"-",(VLOOKUP($A38,'SegEnds_NonXtal_BW#'!$A:$Z,24,FALSE)+VLOOKUP($A38,A:AL,34,FALSE)-50))</f>
        <v>359</v>
      </c>
      <c r="AJ38" s="3">
        <f>IF(ISERROR(VLOOKUP($A38,'SegEnds_NonXtal_BW#'!$A:$Z,25,FALSE)+VLOOKUP($A38,A:AL,37,FALSE)-50),"-",(VLOOKUP($A38,'SegEnds_NonXtal_BW#'!$A:$Z,25,FALSE)+VLOOKUP($A38,A:AL,37,FALSE)-50))</f>
        <v>360</v>
      </c>
      <c r="AK38" s="3">
        <v>363</v>
      </c>
      <c r="AL38" s="3">
        <f>IF(ISERROR((VLOOKUP($A38,'SegEnds_NonXtal_BW#'!$A:$Z,26,FALSE)+VLOOKUP($A38,A:AL,37,FALSE)-50)),"-",(VLOOKUP($A38,'SegEnds_NonXtal_BW#'!$A:$Z,26,FALSE)+VLOOKUP($A38,A:AL,37,FALSE)-50))</f>
        <v>371</v>
      </c>
      <c r="AM38" s="28" t="str">
        <f>VLOOKUP(A38,Classification!A:B,2,FALSE)</f>
        <v>A</v>
      </c>
      <c r="AN38" s="28" t="b">
        <f>AND(IF(Y38="-",IF(AA38-W38&gt;3,TRUE,FALSE),TRUE),IF(M38="-",IF(O38-K38&gt;3,TRUE,FALSE),TRUE),C38&lt;E38,OR(E38&lt;F38,F38="-"),OR(F38&lt;H38,F38="-"),OR(H38&lt;I38,H38="-"),I38&lt;K38,OR(K38&lt;L38,L38="-"),OR(L38&lt;N38,L38="-"),OR(N38&lt;O38,N38="-"),O38&lt;Q38,OR(Q38&lt;R38,R38="-"),OR(R38&lt;T38,R38="-"),OR(T38&lt;U38,T38="-"),U38&lt;W38,OR(W38&lt;X38,X38="-"),OR(X38&lt;Z38,X38="-"),OR(Z38&lt;AA38,Z38="-"),AA38&lt;AC38,AC38&lt;AD38,AD38&lt;AF38,AF38&lt;AG38,AG38&lt;AI38,OR(AI38&lt;AJ38,AJ38="-"),OR(AJ38&lt;AL38,AJ38="-"))</f>
        <v>1</v>
      </c>
      <c r="AO38" s="3" t="str">
        <f>IF(ISERROR(MATCH(A38,'SegEnds_Xtal_Prot#'!B:B, 0)), "NoXtal", "Xtal")</f>
        <v>NoXtal</v>
      </c>
      <c r="AP38" s="3">
        <f>IF(ISERROR(F38-E38),"-",F38-E38)</f>
        <v>1</v>
      </c>
      <c r="AQ38" s="3">
        <f>IF(ISERROR(I38-H38),"-",I38-H38)</f>
        <v>1</v>
      </c>
      <c r="AR38" s="3">
        <f>IF(ISERROR(L38-K38),"-",L38-K38)</f>
        <v>2</v>
      </c>
      <c r="AS38" s="3">
        <f>IF(ISERROR(O38-N38),"-",O38-N38)</f>
        <v>1</v>
      </c>
      <c r="AT38" s="3">
        <f>IF(ISERROR(R38-Q38),"-",R38-Q38)</f>
        <v>1</v>
      </c>
      <c r="AU38" s="3">
        <f>IF(ISERROR(U38-T38),"-",U38-T38)</f>
        <v>1</v>
      </c>
      <c r="AV38" s="3">
        <f>IF(ISERROR(X38-W38),"-",X38-W38)</f>
        <v>12</v>
      </c>
      <c r="AW38" s="3">
        <f>IF(ISERROR(AA38-Z38),"-",AA38-Z38)</f>
        <v>4</v>
      </c>
      <c r="AX38" s="3">
        <f>IF(ISERROR(AD38-AC38),"-",AD38-AC38)</f>
        <v>57</v>
      </c>
      <c r="AY38" s="3">
        <f>IF(ISERROR(AG38-AF38),"-",AG38-AF38)</f>
        <v>8</v>
      </c>
      <c r="AZ38" s="3">
        <f>IF(ISERROR(AJ38-AI38),"-",AJ38-AI38)</f>
        <v>1</v>
      </c>
      <c r="BA38" s="3">
        <f>IF(ISERROR(LEN(VLOOKUP(A38,Seqs!A:E,2,FALSE))-AL38),"-",LEN(VLOOKUP(A38,Seqs!A:E,2,FALSE))-AL38)</f>
        <v>6</v>
      </c>
      <c r="BB38" s="16">
        <f>J38-D38</f>
        <v>28</v>
      </c>
      <c r="BC38" s="9">
        <f>IF(ISERROR(V38-S38),"-",V38-S38)</f>
        <v>20</v>
      </c>
      <c r="BD38" s="3">
        <f>J38-D38</f>
        <v>28</v>
      </c>
      <c r="BE38" s="3">
        <f>AE38-AB38</f>
        <v>107</v>
      </c>
      <c r="BF38" s="3">
        <f>AH38-AE38</f>
        <v>37</v>
      </c>
    </row>
    <row r="39" spans="1:58" s="3" customFormat="1" x14ac:dyDescent="0.2">
      <c r="A39" s="3" t="s">
        <v>130</v>
      </c>
      <c r="B39" s="3" t="str">
        <f>LOWER(VLOOKUP(A39,Xtal_Templ!A:B,2,FALSE))</f>
        <v>5ht1b_human</v>
      </c>
      <c r="C39" s="3">
        <f>VLOOKUP($A39,'SegEnds_NonXtal_BW#'!$A:$Z,3,FALSE)+D39-50</f>
        <v>19</v>
      </c>
      <c r="D39" s="3">
        <v>40</v>
      </c>
      <c r="E39" s="3">
        <f>IF(ISERROR(VLOOKUP($A39,'SegEnds_NonXtal_BW#'!$A:$Z,4,FALSE)+VLOOKUP($A39,A:AL,4,FALSE)-50),"-",(VLOOKUP($A39,'SegEnds_NonXtal_BW#'!$A:$Z,4,FALSE)+VLOOKUP($A39,A:AL,4,FALSE)-50))</f>
        <v>50</v>
      </c>
      <c r="F39" s="3">
        <f>G39-2</f>
        <v>51</v>
      </c>
      <c r="G39" s="3">
        <v>53</v>
      </c>
      <c r="H39" s="3">
        <f>G39+1</f>
        <v>54</v>
      </c>
      <c r="I39" s="3">
        <f>H39+1</f>
        <v>55</v>
      </c>
      <c r="J39" s="3">
        <v>68</v>
      </c>
      <c r="K39" s="3">
        <f>VLOOKUP($A39,'SegEnds_NonXtal_BW#'!$A:$Z,8,FALSE)+VLOOKUP($A39,A:AL,10,FALSE)-50</f>
        <v>85</v>
      </c>
      <c r="L39" s="3">
        <f>M39-1</f>
        <v>87</v>
      </c>
      <c r="M39" s="3">
        <v>88</v>
      </c>
      <c r="N39" s="3">
        <f>M39+2</f>
        <v>90</v>
      </c>
      <c r="O39" s="3">
        <f>N39+1</f>
        <v>91</v>
      </c>
      <c r="P39" s="3">
        <v>120</v>
      </c>
      <c r="Q39" s="3">
        <f>VLOOKUP($A39,'SegEnds_NonXtal_BW#'!$A:$Z,12,FALSE)+VLOOKUP($A39,A:AL,16,FALSE)-50</f>
        <v>126</v>
      </c>
      <c r="R39" s="3">
        <f>IF(ISERROR(VLOOKUP($A39,'SegEnds_NonXtal_BW#'!$A:$Z,13,FALSE)+VLOOKUP($A39,A:AL,19,FALSE)-50),"-",VLOOKUP($A39,'SegEnds_NonXtal_BW#'!$A:$Z,13,FALSE)+VLOOKUP($A39,A:AL,19,FALSE)-50)</f>
        <v>127</v>
      </c>
      <c r="S39" s="3">
        <v>127</v>
      </c>
      <c r="T39" s="103">
        <f>IF(ISERROR(VLOOKUP($A39,'SegEnds_NonXtal_BW#'!$A:$Z,14,FALSE)+VLOOKUP($A39,A:AL,19,FALSE)-50),"-",(VLOOKUP($A39,'SegEnds_NonXtal_BW#'!$A:$Z,14,FALSE)+VLOOKUP($A39,A:AL,19,FALSE)-50))</f>
        <v>134</v>
      </c>
      <c r="U39" s="9">
        <f>IF(ISERROR(VLOOKUP($A39,'SegEnds_NonXtal_BW#'!$A:$Z,15,FALSE)+VLOOKUP($A39,A:AL,22,FALSE)-50),"-",VLOOKUP($A39,'SegEnds_NonXtal_BW#'!$A:$Z,15,FALSE)+VLOOKUP($A39,A:AL,22,FALSE)-50)</f>
        <v>135</v>
      </c>
      <c r="V39" s="3">
        <v>147</v>
      </c>
      <c r="W39" s="3">
        <f>IF(ISERROR(VLOOKUP($A39,'SegEnds_NonXtal_BW#'!$A:$Z,16,FALSE)+VLOOKUP($A39,A:AL,22,FALSE)-50),"-",(VLOOKUP($A39,'SegEnds_NonXtal_BW#'!$A:$Z,16,FALSE)+VLOOKUP($A39,A:AL,22,FALSE)-50))</f>
        <v>160</v>
      </c>
      <c r="X39" s="3">
        <f>IF(ISERROR(VLOOKUP($A39,'SegEnds_NonXtal_BW#'!$A:$Z,17,FALSE)+VLOOKUP($A39,A:AL,25,FALSE)-50),"-",(VLOOKUP($A39,'SegEnds_NonXtal_BW#'!$A:$Z,17,FALSE)+VLOOKUP($A39,A:AL,25,FALSE)-50))</f>
        <v>173</v>
      </c>
      <c r="Y39" s="3">
        <v>173</v>
      </c>
      <c r="Z39" s="3">
        <f>Y39+2</f>
        <v>175</v>
      </c>
      <c r="AA39" s="3">
        <f>IF(ISERROR(VLOOKUP($A39,'SegEnds_NonXtal_BW#'!$A:$Z,19,FALSE)+VLOOKUP($A39,A:AL,28,FALSE)-50),"-",(VLOOKUP($A39,'SegEnds_NonXtal_BW#'!$A:$Z,19,FALSE)+VLOOKUP($A39,A:AL,28,FALSE)-50))</f>
        <v>179</v>
      </c>
      <c r="AB39" s="3">
        <v>194</v>
      </c>
      <c r="AC39" s="3">
        <f>IF(ISERROR((VLOOKUP($A39,'SegEnds_NonXtal_BW#'!$A:$Z,20,FALSE)+VLOOKUP($A39,A:AL,28,FALSE)-50)),"-",(VLOOKUP($A39,'SegEnds_NonXtal_BW#'!$A:$Z,20,FALSE)+VLOOKUP($A39,A:AL,28,FALSE)-50))</f>
        <v>220</v>
      </c>
      <c r="AD39" s="3">
        <f>IF(ISERROR(VLOOKUP($A39,'SegEnds_NonXtal_BW#'!$A:$Z,21,FALSE)+VLOOKUP($A39,A:AL,31,FALSE)-50),"-",(VLOOKUP($A39,'SegEnds_NonXtal_BW#'!$A:$Z,21,FALSE)+VLOOKUP($A39,A:AL,31,FALSE)-50))</f>
        <v>280</v>
      </c>
      <c r="AE39" s="3">
        <v>306</v>
      </c>
      <c r="AF39" s="3">
        <f>IF(ISERROR((VLOOKUP($A39,'SegEnds_NonXtal_BW#'!$A:$Z,22,FALSE)+VLOOKUP($A39,A:AL,31,FALSE)-50)),"-",(VLOOKUP($A39,'SegEnds_NonXtal_BW#'!$A:$Z,22,FALSE)+VLOOKUP($A39,A:AL,31,FALSE)-50))</f>
        <v>317</v>
      </c>
      <c r="AG39" s="3">
        <f>IF(ISERROR(VLOOKUP($A39,'SegEnds_NonXtal_BW#'!$A:$Z,23,FALSE)+VLOOKUP($A39,A:AL,34,FALSE)-50),"-",(VLOOKUP($A39,'SegEnds_NonXtal_BW#'!$A:$Z,23,FALSE)+VLOOKUP($A39,A:AL,34,FALSE)-50))</f>
        <v>322</v>
      </c>
      <c r="AH39" s="3">
        <v>341</v>
      </c>
      <c r="AI39" s="3">
        <f>IF(ISERROR((VLOOKUP($A39,'SegEnds_NonXtal_BW#'!$A:$Z,24,FALSE)+VLOOKUP($A39,A:AL,34,FALSE)-50)),"-",(VLOOKUP($A39,'SegEnds_NonXtal_BW#'!$A:$Z,24,FALSE)+VLOOKUP($A39,A:AL,34,FALSE)-50))</f>
        <v>347</v>
      </c>
      <c r="AJ39" s="3">
        <f>IF(ISERROR(VLOOKUP($A39,'SegEnds_NonXtal_BW#'!$A:$Z,25,FALSE)+VLOOKUP($A39,A:AL,37,FALSE)-50),"-",(VLOOKUP($A39,'SegEnds_NonXtal_BW#'!$A:$Z,25,FALSE)+VLOOKUP($A39,A:AL,37,FALSE)-50))</f>
        <v>348</v>
      </c>
      <c r="AK39" s="3">
        <v>351</v>
      </c>
      <c r="AL39" s="3">
        <f>IF(ISERROR((VLOOKUP($A39,'SegEnds_NonXtal_BW#'!$A:$Z,26,FALSE)+VLOOKUP($A39,A:AL,37,FALSE)-50)),"-",(VLOOKUP($A39,'SegEnds_NonXtal_BW#'!$A:$Z,26,FALSE)+VLOOKUP($A39,A:AL,37,FALSE)-50))</f>
        <v>359</v>
      </c>
      <c r="AM39" s="28" t="str">
        <f>VLOOKUP(A39,Classification!A:B,2,FALSE)</f>
        <v>A</v>
      </c>
      <c r="AN39" s="28" t="b">
        <f>AND(IF(Y39="-",IF(AA39-W39&gt;3,TRUE,FALSE),TRUE),IF(M39="-",IF(O39-K39&gt;3,TRUE,FALSE),TRUE),C39&lt;E39,OR(E39&lt;F39,F39="-"),OR(F39&lt;H39,F39="-"),OR(H39&lt;I39,H39="-"),I39&lt;K39,OR(K39&lt;L39,L39="-"),OR(L39&lt;N39,L39="-"),OR(N39&lt;O39,N39="-"),O39&lt;Q39,OR(Q39&lt;R39,R39="-"),OR(R39&lt;T39,R39="-"),OR(T39&lt;U39,T39="-"),U39&lt;W39,OR(W39&lt;X39,X39="-"),OR(X39&lt;Z39,X39="-"),OR(Z39&lt;AA39,Z39="-"),AA39&lt;AC39,AC39&lt;AD39,AD39&lt;AF39,AF39&lt;AG39,AG39&lt;AI39,OR(AI39&lt;AJ39,AJ39="-"),OR(AJ39&lt;AL39,AJ39="-"))</f>
        <v>1</v>
      </c>
      <c r="AO39" s="3" t="str">
        <f>IF(ISERROR(MATCH(A39,'SegEnds_Xtal_Prot#'!B:B, 0)), "NoXtal", "Xtal")</f>
        <v>NoXtal</v>
      </c>
      <c r="AP39" s="3">
        <f>IF(ISERROR(F39-E39),"-",F39-E39)</f>
        <v>1</v>
      </c>
      <c r="AQ39" s="3">
        <f>IF(ISERROR(I39-H39),"-",I39-H39)</f>
        <v>1</v>
      </c>
      <c r="AR39" s="3">
        <f>IF(ISERROR(L39-K39),"-",L39-K39)</f>
        <v>2</v>
      </c>
      <c r="AS39" s="3">
        <f>IF(ISERROR(O39-N39),"-",O39-N39)</f>
        <v>1</v>
      </c>
      <c r="AT39" s="3">
        <f>IF(ISERROR(R39-Q39),"-",R39-Q39)</f>
        <v>1</v>
      </c>
      <c r="AU39" s="3">
        <f>IF(ISERROR(U39-T39),"-",U39-T39)</f>
        <v>1</v>
      </c>
      <c r="AV39" s="3">
        <f>IF(ISERROR(X39-W39),"-",X39-W39)</f>
        <v>13</v>
      </c>
      <c r="AW39" s="3">
        <f>IF(ISERROR(AA39-Z39),"-",AA39-Z39)</f>
        <v>4</v>
      </c>
      <c r="AX39" s="3">
        <f>IF(ISERROR(AD39-AC39),"-",AD39-AC39)</f>
        <v>60</v>
      </c>
      <c r="AY39" s="3">
        <f>IF(ISERROR(AG39-AF39),"-",AG39-AF39)</f>
        <v>5</v>
      </c>
      <c r="AZ39" s="3">
        <f>IF(ISERROR(AJ39-AI39),"-",AJ39-AI39)</f>
        <v>1</v>
      </c>
      <c r="BA39" s="3">
        <f>IF(ISERROR(LEN(VLOOKUP(A39,Seqs!A:E,2,FALSE))-AL39),"-",LEN(VLOOKUP(A39,Seqs!A:E,2,FALSE))-AL39)</f>
        <v>6</v>
      </c>
      <c r="BB39" s="16">
        <f>J39-D39</f>
        <v>28</v>
      </c>
      <c r="BC39" s="9">
        <f>IF(ISERROR(V39-S39),"-",V39-S39)</f>
        <v>20</v>
      </c>
      <c r="BD39" s="3">
        <f>J39-D39</f>
        <v>28</v>
      </c>
      <c r="BE39" s="3">
        <f>AE39-AB39</f>
        <v>112</v>
      </c>
      <c r="BF39" s="3">
        <f>AH39-AE39</f>
        <v>35</v>
      </c>
    </row>
    <row r="40" spans="1:58" s="3" customFormat="1" x14ac:dyDescent="0.2">
      <c r="A40" s="3" t="s">
        <v>131</v>
      </c>
      <c r="B40" s="3" t="str">
        <f>LOWER(VLOOKUP(A40,Xtal_Templ!A:B,2,FALSE))</f>
        <v>5ht1b_human</v>
      </c>
      <c r="C40" s="3">
        <f>VLOOKUP($A40,'SegEnds_NonXtal_BW#'!$A:$Z,3,FALSE)+D40-50</f>
        <v>20</v>
      </c>
      <c r="D40" s="3">
        <v>41</v>
      </c>
      <c r="E40" s="3">
        <f>IF(ISERROR(VLOOKUP($A40,'SegEnds_NonXtal_BW#'!$A:$Z,4,FALSE)+VLOOKUP($A40,A:AL,4,FALSE)-50),"-",(VLOOKUP($A40,'SegEnds_NonXtal_BW#'!$A:$Z,4,FALSE)+VLOOKUP($A40,A:AL,4,FALSE)-50))</f>
        <v>51</v>
      </c>
      <c r="F40" s="3">
        <f>G40-2</f>
        <v>52</v>
      </c>
      <c r="G40" s="3">
        <v>54</v>
      </c>
      <c r="H40" s="3">
        <f>G40+1</f>
        <v>55</v>
      </c>
      <c r="I40" s="3">
        <f>H40+1</f>
        <v>56</v>
      </c>
      <c r="J40" s="3">
        <v>69</v>
      </c>
      <c r="K40" s="3">
        <f>VLOOKUP($A40,'SegEnds_NonXtal_BW#'!$A:$Z,8,FALSE)+VLOOKUP($A40,A:AL,10,FALSE)-50</f>
        <v>86</v>
      </c>
      <c r="L40" s="3">
        <f>M40-1</f>
        <v>88</v>
      </c>
      <c r="M40" s="3">
        <v>89</v>
      </c>
      <c r="N40" s="3">
        <f>M40+2</f>
        <v>91</v>
      </c>
      <c r="O40" s="3">
        <f>N40+1</f>
        <v>92</v>
      </c>
      <c r="P40" s="3">
        <v>121</v>
      </c>
      <c r="Q40" s="3">
        <f>VLOOKUP($A40,'SegEnds_NonXtal_BW#'!$A:$Z,12,FALSE)+VLOOKUP($A40,A:AL,16,FALSE)-50</f>
        <v>127</v>
      </c>
      <c r="R40" s="3">
        <f>IF(ISERROR(VLOOKUP($A40,'SegEnds_NonXtal_BW#'!$A:$Z,13,FALSE)+VLOOKUP($A40,A:AL,19,FALSE)-50),"-",VLOOKUP($A40,'SegEnds_NonXtal_BW#'!$A:$Z,13,FALSE)+VLOOKUP($A40,A:AL,19,FALSE)-50)</f>
        <v>128</v>
      </c>
      <c r="S40" s="3">
        <v>128</v>
      </c>
      <c r="T40" s="103">
        <f>IF(ISERROR(VLOOKUP($A40,'SegEnds_NonXtal_BW#'!$A:$Z,14,FALSE)+VLOOKUP($A40,A:AL,19,FALSE)-50),"-",(VLOOKUP($A40,'SegEnds_NonXtal_BW#'!$A:$Z,14,FALSE)+VLOOKUP($A40,A:AL,19,FALSE)-50))</f>
        <v>135</v>
      </c>
      <c r="U40" s="9">
        <f>IF(ISERROR(VLOOKUP($A40,'SegEnds_NonXtal_BW#'!$A:$Z,15,FALSE)+VLOOKUP($A40,A:AL,22,FALSE)-50),"-",VLOOKUP($A40,'SegEnds_NonXtal_BW#'!$A:$Z,15,FALSE)+VLOOKUP($A40,A:AL,22,FALSE)-50)</f>
        <v>136</v>
      </c>
      <c r="V40" s="3">
        <v>148</v>
      </c>
      <c r="W40" s="3">
        <f>IF(ISERROR(VLOOKUP($A40,'SegEnds_NonXtal_BW#'!$A:$Z,16,FALSE)+VLOOKUP($A40,A:AL,22,FALSE)-50),"-",(VLOOKUP($A40,'SegEnds_NonXtal_BW#'!$A:$Z,16,FALSE)+VLOOKUP($A40,A:AL,22,FALSE)-50))</f>
        <v>161</v>
      </c>
      <c r="X40" s="3">
        <f>IF(ISERROR(VLOOKUP($A40,'SegEnds_NonXtal_BW#'!$A:$Z,17,FALSE)+VLOOKUP($A40,A:AL,25,FALSE)-50),"-",(VLOOKUP($A40,'SegEnds_NonXtal_BW#'!$A:$Z,17,FALSE)+VLOOKUP($A40,A:AL,25,FALSE)-50))</f>
        <v>172</v>
      </c>
      <c r="Y40" s="3">
        <v>172</v>
      </c>
      <c r="Z40" s="3">
        <f>Y40+2</f>
        <v>174</v>
      </c>
      <c r="AA40" s="3">
        <f>IF(ISERROR(VLOOKUP($A40,'SegEnds_NonXtal_BW#'!$A:$Z,19,FALSE)+VLOOKUP($A40,A:AL,28,FALSE)-50),"-",(VLOOKUP($A40,'SegEnds_NonXtal_BW#'!$A:$Z,19,FALSE)+VLOOKUP($A40,A:AL,28,FALSE)-50))</f>
        <v>178</v>
      </c>
      <c r="AB40" s="3">
        <v>193</v>
      </c>
      <c r="AC40" s="3">
        <f>IF(ISERROR((VLOOKUP($A40,'SegEnds_NonXtal_BW#'!$A:$Z,20,FALSE)+VLOOKUP($A40,A:AL,28,FALSE)-50)),"-",(VLOOKUP($A40,'SegEnds_NonXtal_BW#'!$A:$Z,20,FALSE)+VLOOKUP($A40,A:AL,28,FALSE)-50))</f>
        <v>219</v>
      </c>
      <c r="AD40" s="3">
        <f>IF(ISERROR(VLOOKUP($A40,'SegEnds_NonXtal_BW#'!$A:$Z,21,FALSE)+VLOOKUP($A40,A:AL,31,FALSE)-50),"-",(VLOOKUP($A40,'SegEnds_NonXtal_BW#'!$A:$Z,21,FALSE)+VLOOKUP($A40,A:AL,31,FALSE)-50))</f>
        <v>282</v>
      </c>
      <c r="AE40" s="3">
        <v>308</v>
      </c>
      <c r="AF40" s="3">
        <f>IF(ISERROR((VLOOKUP($A40,'SegEnds_NonXtal_BW#'!$A:$Z,22,FALSE)+VLOOKUP($A40,A:AL,31,FALSE)-50)),"-",(VLOOKUP($A40,'SegEnds_NonXtal_BW#'!$A:$Z,22,FALSE)+VLOOKUP($A40,A:AL,31,FALSE)-50))</f>
        <v>319</v>
      </c>
      <c r="AG40" s="3">
        <f>IF(ISERROR(VLOOKUP($A40,'SegEnds_NonXtal_BW#'!$A:$Z,23,FALSE)+VLOOKUP($A40,A:AL,34,FALSE)-50),"-",(VLOOKUP($A40,'SegEnds_NonXtal_BW#'!$A:$Z,23,FALSE)+VLOOKUP($A40,A:AL,34,FALSE)-50))</f>
        <v>325</v>
      </c>
      <c r="AH40" s="3">
        <v>344</v>
      </c>
      <c r="AI40" s="3">
        <f>IF(ISERROR((VLOOKUP($A40,'SegEnds_NonXtal_BW#'!$A:$Z,24,FALSE)+VLOOKUP($A40,A:AL,34,FALSE)-50)),"-",(VLOOKUP($A40,'SegEnds_NonXtal_BW#'!$A:$Z,24,FALSE)+VLOOKUP($A40,A:AL,34,FALSE)-50))</f>
        <v>350</v>
      </c>
      <c r="AJ40" s="3">
        <f>IF(ISERROR(VLOOKUP($A40,'SegEnds_NonXtal_BW#'!$A:$Z,25,FALSE)+VLOOKUP($A40,A:AL,37,FALSE)-50),"-",(VLOOKUP($A40,'SegEnds_NonXtal_BW#'!$A:$Z,25,FALSE)+VLOOKUP($A40,A:AL,37,FALSE)-50))</f>
        <v>351</v>
      </c>
      <c r="AK40" s="3">
        <v>354</v>
      </c>
      <c r="AL40" s="3">
        <f>IF(ISERROR((VLOOKUP($A40,'SegEnds_NonXtal_BW#'!$A:$Z,26,FALSE)+VLOOKUP($A40,A:AL,37,FALSE)-50)),"-",(VLOOKUP($A40,'SegEnds_NonXtal_BW#'!$A:$Z,26,FALSE)+VLOOKUP($A40,A:AL,37,FALSE)-50))</f>
        <v>362</v>
      </c>
      <c r="AM40" s="28" t="str">
        <f>VLOOKUP(A40,Classification!A:B,2,FALSE)</f>
        <v>A</v>
      </c>
      <c r="AN40" s="28" t="b">
        <f>AND(IF(Y40="-",IF(AA40-W40&gt;3,TRUE,FALSE),TRUE),IF(M40="-",IF(O40-K40&gt;3,TRUE,FALSE),TRUE),C40&lt;E40,OR(E40&lt;F40,F40="-"),OR(F40&lt;H40,F40="-"),OR(H40&lt;I40,H40="-"),I40&lt;K40,OR(K40&lt;L40,L40="-"),OR(L40&lt;N40,L40="-"),OR(N40&lt;O40,N40="-"),O40&lt;Q40,OR(Q40&lt;R40,R40="-"),OR(R40&lt;T40,R40="-"),OR(T40&lt;U40,T40="-"),U40&lt;W40,OR(W40&lt;X40,X40="-"),OR(X40&lt;Z40,X40="-"),OR(Z40&lt;AA40,Z40="-"),AA40&lt;AC40,AC40&lt;AD40,AD40&lt;AF40,AF40&lt;AG40,AG40&lt;AI40,OR(AI40&lt;AJ40,AJ40="-"),OR(AJ40&lt;AL40,AJ40="-"))</f>
        <v>1</v>
      </c>
      <c r="AO40" s="3" t="str">
        <f>IF(ISERROR(MATCH(A40,'SegEnds_Xtal_Prot#'!B:B, 0)), "NoXtal", "Xtal")</f>
        <v>NoXtal</v>
      </c>
      <c r="AP40" s="3">
        <f>IF(ISERROR(F40-E40),"-",F40-E40)</f>
        <v>1</v>
      </c>
      <c r="AQ40" s="3">
        <f>IF(ISERROR(I40-H40),"-",I40-H40)</f>
        <v>1</v>
      </c>
      <c r="AR40" s="3">
        <f>IF(ISERROR(L40-K40),"-",L40-K40)</f>
        <v>2</v>
      </c>
      <c r="AS40" s="3">
        <f>IF(ISERROR(O40-N40),"-",O40-N40)</f>
        <v>1</v>
      </c>
      <c r="AT40" s="3">
        <f>IF(ISERROR(R40-Q40),"-",R40-Q40)</f>
        <v>1</v>
      </c>
      <c r="AU40" s="3">
        <f>IF(ISERROR(U40-T40),"-",U40-T40)</f>
        <v>1</v>
      </c>
      <c r="AV40" s="3">
        <f>IF(ISERROR(X40-W40),"-",X40-W40)</f>
        <v>11</v>
      </c>
      <c r="AW40" s="3">
        <f>IF(ISERROR(AA40-Z40),"-",AA40-Z40)</f>
        <v>4</v>
      </c>
      <c r="AX40" s="3">
        <f>IF(ISERROR(AD40-AC40),"-",AD40-AC40)</f>
        <v>63</v>
      </c>
      <c r="AY40" s="3">
        <f>IF(ISERROR(AG40-AF40),"-",AG40-AF40)</f>
        <v>6</v>
      </c>
      <c r="AZ40" s="3">
        <f>IF(ISERROR(AJ40-AI40),"-",AJ40-AI40)</f>
        <v>1</v>
      </c>
      <c r="BA40" s="3">
        <f>IF(ISERROR(LEN(VLOOKUP(A40,Seqs!A:E,2,FALSE))-AL40),"-",LEN(VLOOKUP(A40,Seqs!A:E,2,FALSE))-AL40)</f>
        <v>4</v>
      </c>
      <c r="BB40" s="16">
        <f>J40-D40</f>
        <v>28</v>
      </c>
      <c r="BC40" s="9">
        <f>IF(ISERROR(V40-S40),"-",V40-S40)</f>
        <v>20</v>
      </c>
      <c r="BD40" s="3">
        <f>J40-D40</f>
        <v>28</v>
      </c>
      <c r="BE40" s="3">
        <f>AE40-AB40</f>
        <v>115</v>
      </c>
      <c r="BF40" s="3">
        <f>AH40-AE40</f>
        <v>36</v>
      </c>
    </row>
    <row r="41" spans="1:58" s="3" customFormat="1" x14ac:dyDescent="0.2">
      <c r="A41" s="3" t="s">
        <v>132</v>
      </c>
      <c r="B41" s="3" t="str">
        <f>LOWER(VLOOKUP(A41,Xtal_Templ!A:B,2,FALSE))</f>
        <v>5ht2b_human</v>
      </c>
      <c r="C41" s="3">
        <f>VLOOKUP($A41,'SegEnds_NonXtal_BW#'!$A:$Z,3,FALSE)+D41-50</f>
        <v>74</v>
      </c>
      <c r="D41" s="3">
        <v>92</v>
      </c>
      <c r="E41" s="3">
        <f>IF(ISERROR(VLOOKUP($A41,'SegEnds_NonXtal_BW#'!$A:$Z,4,FALSE)+VLOOKUP($A41,A:AL,4,FALSE)-50),"-",(VLOOKUP($A41,'SegEnds_NonXtal_BW#'!$A:$Z,4,FALSE)+VLOOKUP($A41,A:AL,4,FALSE)-50))</f>
        <v>102</v>
      </c>
      <c r="F41" s="3">
        <f>G41-2</f>
        <v>103</v>
      </c>
      <c r="G41" s="3">
        <v>105</v>
      </c>
      <c r="H41" s="3">
        <f>G41+1</f>
        <v>106</v>
      </c>
      <c r="I41" s="3">
        <f>H41+1</f>
        <v>107</v>
      </c>
      <c r="J41" s="3">
        <v>120</v>
      </c>
      <c r="K41" s="3">
        <f>VLOOKUP($A41,'SegEnds_NonXtal_BW#'!$A:$Z,8,FALSE)+VLOOKUP($A41,A:AL,10,FALSE)-50</f>
        <v>137</v>
      </c>
      <c r="L41" s="3">
        <f>M41-1</f>
        <v>140</v>
      </c>
      <c r="M41" s="3">
        <v>141</v>
      </c>
      <c r="N41" s="3">
        <f>M41+2</f>
        <v>143</v>
      </c>
      <c r="O41" s="3">
        <f>N41+1</f>
        <v>144</v>
      </c>
      <c r="P41" s="3">
        <v>173</v>
      </c>
      <c r="Q41" s="3">
        <f>VLOOKUP($A41,'SegEnds_NonXtal_BW#'!$A:$Z,12,FALSE)+VLOOKUP($A41,A:AL,16,FALSE)-50</f>
        <v>179</v>
      </c>
      <c r="R41" s="3">
        <f>IF(ISERROR(VLOOKUP($A41,'SegEnds_NonXtal_BW#'!$A:$Z,13,FALSE)+VLOOKUP($A41,A:AL,19,FALSE)-50),"-",VLOOKUP($A41,'SegEnds_NonXtal_BW#'!$A:$Z,13,FALSE)+VLOOKUP($A41,A:AL,19,FALSE)-50)</f>
        <v>180</v>
      </c>
      <c r="S41" s="3">
        <v>180</v>
      </c>
      <c r="T41" s="103">
        <f>IF(ISERROR(VLOOKUP($A41,'SegEnds_NonXtal_BW#'!$A:$Z,14,FALSE)+VLOOKUP($A41,A:AL,19,FALSE)-50),"-",(VLOOKUP($A41,'SegEnds_NonXtal_BW#'!$A:$Z,14,FALSE)+VLOOKUP($A41,A:AL,19,FALSE)-50))</f>
        <v>187</v>
      </c>
      <c r="U41" s="9">
        <f>IF(ISERROR(VLOOKUP($A41,'SegEnds_NonXtal_BW#'!$A:$Z,15,FALSE)+VLOOKUP($A41,A:AL,22,FALSE)-50),"-",VLOOKUP($A41,'SegEnds_NonXtal_BW#'!$A:$Z,15,FALSE)+VLOOKUP($A41,A:AL,22,FALSE)-50)</f>
        <v>188</v>
      </c>
      <c r="V41" s="3">
        <v>200</v>
      </c>
      <c r="W41" s="3">
        <f>IF(ISERROR(VLOOKUP($A41,'SegEnds_NonXtal_BW#'!$A:$Z,16,FALSE)+VLOOKUP($A41,A:AL,22,FALSE)-50),"-",(VLOOKUP($A41,'SegEnds_NonXtal_BW#'!$A:$Z,16,FALSE)+VLOOKUP($A41,A:AL,22,FALSE)-50))</f>
        <v>214</v>
      </c>
      <c r="X41" s="3">
        <f>IF(ISERROR(VLOOKUP($A41,'SegEnds_NonXtal_BW#'!$A:$Z,17,FALSE)+VLOOKUP($A41,A:AL,25,FALSE)-50),"-",(VLOOKUP($A41,'SegEnds_NonXtal_BW#'!$A:$Z,17,FALSE)+VLOOKUP($A41,A:AL,25,FALSE)-50))</f>
        <v>227</v>
      </c>
      <c r="Y41" s="3">
        <v>227</v>
      </c>
      <c r="Z41" s="3">
        <f>Y41+2</f>
        <v>229</v>
      </c>
      <c r="AA41" s="3">
        <f>IF(ISERROR(VLOOKUP($A41,'SegEnds_NonXtal_BW#'!$A:$Z,19,FALSE)+VLOOKUP($A41,A:AL,28,FALSE)-50),"-",(VLOOKUP($A41,'SegEnds_NonXtal_BW#'!$A:$Z,19,FALSE)+VLOOKUP($A41,A:AL,28,FALSE)-50))</f>
        <v>231</v>
      </c>
      <c r="AB41" s="3">
        <v>246</v>
      </c>
      <c r="AC41" s="3">
        <f>IF(ISERROR((VLOOKUP($A41,'SegEnds_NonXtal_BW#'!$A:$Z,20,FALSE)+VLOOKUP($A41,A:AL,28,FALSE)-50)),"-",(VLOOKUP($A41,'SegEnds_NonXtal_BW#'!$A:$Z,20,FALSE)+VLOOKUP($A41,A:AL,28,FALSE)-50))</f>
        <v>272</v>
      </c>
      <c r="AD41" s="3">
        <f>IF(ISERROR(VLOOKUP($A41,'SegEnds_NonXtal_BW#'!$A:$Z,21,FALSE)+VLOOKUP($A41,A:AL,31,FALSE)-50),"-",(VLOOKUP($A41,'SegEnds_NonXtal_BW#'!$A:$Z,21,FALSE)+VLOOKUP($A41,A:AL,31,FALSE)-50))</f>
        <v>312</v>
      </c>
      <c r="AE41" s="3">
        <v>338</v>
      </c>
      <c r="AF41" s="3">
        <f>IF(ISERROR((VLOOKUP($A41,'SegEnds_NonXtal_BW#'!$A:$Z,22,FALSE)+VLOOKUP($A41,A:AL,31,FALSE)-50)),"-",(VLOOKUP($A41,'SegEnds_NonXtal_BW#'!$A:$Z,22,FALSE)+VLOOKUP($A41,A:AL,31,FALSE)-50))</f>
        <v>349</v>
      </c>
      <c r="AG41" s="3">
        <f>IF(ISERROR(VLOOKUP($A41,'SegEnds_NonXtal_BW#'!$A:$Z,23,FALSE)+VLOOKUP($A41,A:AL,34,FALSE)-50),"-",(VLOOKUP($A41,'SegEnds_NonXtal_BW#'!$A:$Z,23,FALSE)+VLOOKUP($A41,A:AL,34,FALSE)-50))</f>
        <v>355</v>
      </c>
      <c r="AH41" s="3">
        <v>377</v>
      </c>
      <c r="AI41" s="3">
        <f>IF(ISERROR((VLOOKUP($A41,'SegEnds_NonXtal_BW#'!$A:$Z,24,FALSE)+VLOOKUP($A41,A:AL,34,FALSE)-50)),"-",(VLOOKUP($A41,'SegEnds_NonXtal_BW#'!$A:$Z,24,FALSE)+VLOOKUP($A41,A:AL,34,FALSE)-50))</f>
        <v>383</v>
      </c>
      <c r="AJ41" s="3">
        <f>IF(ISERROR(VLOOKUP($A41,'SegEnds_NonXtal_BW#'!$A:$Z,25,FALSE)+VLOOKUP($A41,A:AL,37,FALSE)-50),"-",(VLOOKUP($A41,'SegEnds_NonXtal_BW#'!$A:$Z,25,FALSE)+VLOOKUP($A41,A:AL,37,FALSE)-50))</f>
        <v>384</v>
      </c>
      <c r="AK41" s="3">
        <v>387</v>
      </c>
      <c r="AL41" s="3">
        <f>IF(ISERROR((VLOOKUP($A41,'SegEnds_NonXtal_BW#'!$A:$Z,26,FALSE)+VLOOKUP($A41,A:AL,37,FALSE)-50)),"-",(VLOOKUP($A41,'SegEnds_NonXtal_BW#'!$A:$Z,26,FALSE)+VLOOKUP($A41,A:AL,37,FALSE)-50))</f>
        <v>395</v>
      </c>
      <c r="AM41" s="28" t="str">
        <f>VLOOKUP(A41,Classification!A:B,2,FALSE)</f>
        <v>A</v>
      </c>
      <c r="AN41" s="28" t="b">
        <f>AND(IF(Y41="-",IF(AA41-W41&gt;3,TRUE,FALSE),TRUE),IF(M41="-",IF(O41-K41&gt;3,TRUE,FALSE),TRUE),C41&lt;E41,OR(E41&lt;F41,F41="-"),OR(F41&lt;H41,F41="-"),OR(H41&lt;I41,H41="-"),I41&lt;K41,OR(K41&lt;L41,L41="-"),OR(L41&lt;N41,L41="-"),OR(N41&lt;O41,N41="-"),O41&lt;Q41,OR(Q41&lt;R41,R41="-"),OR(R41&lt;T41,R41="-"),OR(T41&lt;U41,T41="-"),U41&lt;W41,OR(W41&lt;X41,X41="-"),OR(X41&lt;Z41,X41="-"),OR(Z41&lt;AA41,Z41="-"),AA41&lt;AC41,AC41&lt;AD41,AD41&lt;AF41,AF41&lt;AG41,AG41&lt;AI41,OR(AI41&lt;AJ41,AJ41="-"),OR(AJ41&lt;AL41,AJ41="-"))</f>
        <v>1</v>
      </c>
      <c r="AO41" s="3" t="str">
        <f>IF(ISERROR(MATCH(A41,'SegEnds_Xtal_Prot#'!B:B, 0)), "NoXtal", "Xtal")</f>
        <v>NoXtal</v>
      </c>
      <c r="AP41" s="3">
        <f>IF(ISERROR(F41-E41),"-",F41-E41)</f>
        <v>1</v>
      </c>
      <c r="AQ41" s="3">
        <f>IF(ISERROR(I41-H41),"-",I41-H41)</f>
        <v>1</v>
      </c>
      <c r="AR41" s="3">
        <f>IF(ISERROR(L41-K41),"-",L41-K41)</f>
        <v>3</v>
      </c>
      <c r="AS41" s="3">
        <f>IF(ISERROR(O41-N41),"-",O41-N41)</f>
        <v>1</v>
      </c>
      <c r="AT41" s="3">
        <f>IF(ISERROR(R41-Q41),"-",R41-Q41)</f>
        <v>1</v>
      </c>
      <c r="AU41" s="3">
        <f>IF(ISERROR(U41-T41),"-",U41-T41)</f>
        <v>1</v>
      </c>
      <c r="AV41" s="3">
        <f>IF(ISERROR(X41-W41),"-",X41-W41)</f>
        <v>13</v>
      </c>
      <c r="AW41" s="3">
        <f>IF(ISERROR(AA41-Z41),"-",AA41-Z41)</f>
        <v>2</v>
      </c>
      <c r="AX41" s="3">
        <f>IF(ISERROR(AD41-AC41),"-",AD41-AC41)</f>
        <v>40</v>
      </c>
      <c r="AY41" s="3">
        <f>IF(ISERROR(AG41-AF41),"-",AG41-AF41)</f>
        <v>6</v>
      </c>
      <c r="AZ41" s="3">
        <f>IF(ISERROR(AJ41-AI41),"-",AJ41-AI41)</f>
        <v>1</v>
      </c>
      <c r="BA41" s="3">
        <f>IF(ISERROR(LEN(VLOOKUP(A41,Seqs!A:E,2,FALSE))-AL41),"-",LEN(VLOOKUP(A41,Seqs!A:E,2,FALSE))-AL41)</f>
        <v>76</v>
      </c>
      <c r="BB41" s="16">
        <f>J41-D41</f>
        <v>28</v>
      </c>
      <c r="BC41" s="9">
        <f>IF(ISERROR(V41-S41),"-",V41-S41)</f>
        <v>20</v>
      </c>
      <c r="BD41" s="3">
        <f>J41-D41</f>
        <v>28</v>
      </c>
      <c r="BE41" s="3">
        <f>AE41-AB41</f>
        <v>92</v>
      </c>
    </row>
    <row r="42" spans="1:58" s="3" customFormat="1" x14ac:dyDescent="0.2">
      <c r="A42" s="3" t="s">
        <v>35</v>
      </c>
      <c r="B42" s="3" t="str">
        <f>LOWER(VLOOKUP(A42,Xtal_Templ!A:B,2,FALSE))</f>
        <v>5ht2b_human</v>
      </c>
      <c r="C42" s="3">
        <f>VLOOKUP($A42,'SegEnds_NonXtal_BW#'!$A:$Z,3,FALSE)+D42-50</f>
        <v>54</v>
      </c>
      <c r="D42" s="3">
        <v>72</v>
      </c>
      <c r="E42" s="3">
        <f>IF(ISERROR(VLOOKUP($A42,'SegEnds_NonXtal_BW#'!$A:$Z,4,FALSE)+VLOOKUP($A42,A:AL,4,FALSE)-50),"-",(VLOOKUP($A42,'SegEnds_NonXtal_BW#'!$A:$Z,4,FALSE)+VLOOKUP($A42,A:AL,4,FALSE)-50))</f>
        <v>82</v>
      </c>
      <c r="F42" s="3">
        <f>G42-2</f>
        <v>83</v>
      </c>
      <c r="G42" s="3">
        <v>85</v>
      </c>
      <c r="H42" s="3">
        <f>G42+1</f>
        <v>86</v>
      </c>
      <c r="I42" s="3">
        <f>H42+1</f>
        <v>87</v>
      </c>
      <c r="J42" s="3">
        <v>100</v>
      </c>
      <c r="K42" s="3">
        <f>VLOOKUP($A42,'SegEnds_NonXtal_BW#'!$A:$Z,8,FALSE)+VLOOKUP($A42,A:AL,10,FALSE)-50</f>
        <v>117</v>
      </c>
      <c r="L42" s="3">
        <f>M42-1</f>
        <v>120</v>
      </c>
      <c r="M42" s="3">
        <v>121</v>
      </c>
      <c r="N42" s="3">
        <f>M42+2</f>
        <v>123</v>
      </c>
      <c r="O42" s="3">
        <f>N42+1</f>
        <v>124</v>
      </c>
      <c r="P42" s="3">
        <v>153</v>
      </c>
      <c r="Q42" s="3">
        <f>VLOOKUP($A42,'SegEnds_NonXtal_BW#'!$A:$Z,12,FALSE)+VLOOKUP($A42,A:AL,16,FALSE)-50</f>
        <v>159</v>
      </c>
      <c r="R42" s="3">
        <f>IF(ISERROR(VLOOKUP($A42,'SegEnds_NonXtal_BW#'!$A:$Z,13,FALSE)+VLOOKUP($A42,A:AL,19,FALSE)-50),"-",VLOOKUP($A42,'SegEnds_NonXtal_BW#'!$A:$Z,13,FALSE)+VLOOKUP($A42,A:AL,19,FALSE)-50)</f>
        <v>160</v>
      </c>
      <c r="S42" s="3">
        <v>160</v>
      </c>
      <c r="T42" s="103">
        <f>IF(ISERROR(VLOOKUP($A42,'SegEnds_NonXtal_BW#'!$A:$Z,14,FALSE)+VLOOKUP($A42,A:AL,19,FALSE)-50),"-",(VLOOKUP($A42,'SegEnds_NonXtal_BW#'!$A:$Z,14,FALSE)+VLOOKUP($A42,A:AL,19,FALSE)-50))</f>
        <v>167</v>
      </c>
      <c r="U42" s="9">
        <f>IF(ISERROR(VLOOKUP($A42,'SegEnds_NonXtal_BW#'!$A:$Z,15,FALSE)+VLOOKUP($A42,A:AL,22,FALSE)-50),"-",VLOOKUP($A42,'SegEnds_NonXtal_BW#'!$A:$Z,15,FALSE)+VLOOKUP($A42,A:AL,22,FALSE)-50)</f>
        <v>168</v>
      </c>
      <c r="V42" s="3">
        <v>180</v>
      </c>
      <c r="W42" s="3">
        <f>IF(ISERROR(VLOOKUP($A42,'SegEnds_NonXtal_BW#'!$A:$Z,16,FALSE)+VLOOKUP($A42,A:AL,22,FALSE)-50),"-",(VLOOKUP($A42,'SegEnds_NonXtal_BW#'!$A:$Z,16,FALSE)+VLOOKUP($A42,A:AL,22,FALSE)-50))</f>
        <v>194</v>
      </c>
      <c r="X42" s="3">
        <f>IF(ISERROR(VLOOKUP($A42,'SegEnds_NonXtal_BW#'!$A:$Z,17,FALSE)+VLOOKUP($A42,A:AL,25,FALSE)-50),"-",(VLOOKUP($A42,'SegEnds_NonXtal_BW#'!$A:$Z,17,FALSE)+VLOOKUP($A42,A:AL,25,FALSE)-50))</f>
        <v>207</v>
      </c>
      <c r="Y42" s="3">
        <v>207</v>
      </c>
      <c r="Z42" s="3">
        <f>Y42+2</f>
        <v>209</v>
      </c>
      <c r="AA42" s="3">
        <f>IF(ISERROR(VLOOKUP($A42,'SegEnds_NonXtal_BW#'!$A:$Z,19,FALSE)+VLOOKUP($A42,A:AL,28,FALSE)-50),"-",(VLOOKUP($A42,'SegEnds_NonXtal_BW#'!$A:$Z,19,FALSE)+VLOOKUP($A42,A:AL,28,FALSE)-50))</f>
        <v>214</v>
      </c>
      <c r="AB42" s="3">
        <v>229</v>
      </c>
      <c r="AC42" s="3">
        <f>IF(ISERROR((VLOOKUP($A42,'SegEnds_NonXtal_BW#'!$A:$Z,20,FALSE)+VLOOKUP($A42,A:AL,28,FALSE)-50)),"-",(VLOOKUP($A42,'SegEnds_NonXtal_BW#'!$A:$Z,20,FALSE)+VLOOKUP($A42,A:AL,28,FALSE)-50))</f>
        <v>255</v>
      </c>
      <c r="AD42" s="3">
        <f>IF(ISERROR(VLOOKUP($A42,'SegEnds_NonXtal_BW#'!$A:$Z,21,FALSE)+VLOOKUP($A42,A:AL,31,FALSE)-50),"-",(VLOOKUP($A42,'SegEnds_NonXtal_BW#'!$A:$Z,21,FALSE)+VLOOKUP($A42,A:AL,31,FALSE)-50))</f>
        <v>313</v>
      </c>
      <c r="AE42" s="3">
        <v>339</v>
      </c>
      <c r="AF42" s="3">
        <f>IF(ISERROR((VLOOKUP($A42,'SegEnds_NonXtal_BW#'!$A:$Z,22,FALSE)+VLOOKUP($A42,A:AL,31,FALSE)-50)),"-",(VLOOKUP($A42,'SegEnds_NonXtal_BW#'!$A:$Z,22,FALSE)+VLOOKUP($A42,A:AL,31,FALSE)-50))</f>
        <v>350</v>
      </c>
      <c r="AG42" s="3">
        <f>IF(ISERROR(VLOOKUP($A42,'SegEnds_NonXtal_BW#'!$A:$Z,23,FALSE)+VLOOKUP($A42,A:AL,34,FALSE)-50),"-",(VLOOKUP($A42,'SegEnds_NonXtal_BW#'!$A:$Z,23,FALSE)+VLOOKUP($A42,A:AL,34,FALSE)-50))</f>
        <v>355</v>
      </c>
      <c r="AH42" s="3">
        <v>377</v>
      </c>
      <c r="AI42" s="3">
        <f>IF(ISERROR((VLOOKUP($A42,'SegEnds_NonXtal_BW#'!$A:$Z,24,FALSE)+VLOOKUP($A42,A:AL,34,FALSE)-50)),"-",(VLOOKUP($A42,'SegEnds_NonXtal_BW#'!$A:$Z,24,FALSE)+VLOOKUP($A42,A:AL,34,FALSE)-50))</f>
        <v>383</v>
      </c>
      <c r="AJ42" s="3">
        <f>IF(ISERROR(VLOOKUP($A42,'SegEnds_NonXtal_BW#'!$A:$Z,25,FALSE)+VLOOKUP($A42,A:AL,37,FALSE)-50),"-",(VLOOKUP($A42,'SegEnds_NonXtal_BW#'!$A:$Z,25,FALSE)+VLOOKUP($A42,A:AL,37,FALSE)-50))</f>
        <v>384</v>
      </c>
      <c r="AK42" s="3">
        <v>387</v>
      </c>
      <c r="AL42" s="3">
        <f>IF(ISERROR((VLOOKUP($A42,'SegEnds_NonXtal_BW#'!$A:$Z,26,FALSE)+VLOOKUP($A42,A:AL,37,FALSE)-50)),"-",(VLOOKUP($A42,'SegEnds_NonXtal_BW#'!$A:$Z,26,FALSE)+VLOOKUP($A42,A:AL,37,FALSE)-50))</f>
        <v>395</v>
      </c>
      <c r="AM42" s="28" t="str">
        <f>VLOOKUP(A42,Classification!A:B,2,FALSE)</f>
        <v>A</v>
      </c>
      <c r="AN42" s="28" t="b">
        <f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Xtal</v>
      </c>
      <c r="AP42" s="3">
        <f>IF(ISERROR(F42-E42),"-",F42-E42)</f>
        <v>1</v>
      </c>
      <c r="AQ42" s="3">
        <f>IF(ISERROR(I42-H42),"-",I42-H42)</f>
        <v>1</v>
      </c>
      <c r="AR42" s="3">
        <f>IF(ISERROR(L42-K42),"-",L42-K42)</f>
        <v>3</v>
      </c>
      <c r="AS42" s="3">
        <f>IF(ISERROR(O42-N42),"-",O42-N42)</f>
        <v>1</v>
      </c>
      <c r="AT42" s="3">
        <f>IF(ISERROR(R42-Q42),"-",R42-Q42)</f>
        <v>1</v>
      </c>
      <c r="AU42" s="3">
        <f>IF(ISERROR(U42-T42),"-",U42-T42)</f>
        <v>1</v>
      </c>
      <c r="AV42" s="3">
        <f>IF(ISERROR(X42-W42),"-",X42-W42)</f>
        <v>13</v>
      </c>
      <c r="AW42" s="3">
        <f>IF(ISERROR(AA42-Z42),"-",AA42-Z42)</f>
        <v>5</v>
      </c>
      <c r="AX42" s="3">
        <f>IF(ISERROR(AD42-AC42),"-",AD42-AC42)</f>
        <v>58</v>
      </c>
      <c r="AY42" s="3">
        <f>IF(ISERROR(AG42-AF42),"-",AG42-AF42)</f>
        <v>5</v>
      </c>
      <c r="AZ42" s="3">
        <f>IF(ISERROR(AJ42-AI42),"-",AJ42-AI42)</f>
        <v>1</v>
      </c>
      <c r="BA42" s="3">
        <f>IF(ISERROR(LEN(VLOOKUP(A42,Seqs!A:E,2,FALSE))-AL42),"-",LEN(VLOOKUP(A42,Seqs!A:E,2,FALSE))-AL42)</f>
        <v>86</v>
      </c>
      <c r="BB42" s="16">
        <f>J42-D42</f>
        <v>28</v>
      </c>
      <c r="BC42" s="9">
        <f>IF(ISERROR(V42-S42),"-",V42-S42)</f>
        <v>20</v>
      </c>
      <c r="BD42" s="3">
        <f>J42-D42</f>
        <v>28</v>
      </c>
      <c r="BE42" s="3">
        <f>AE42-AB42</f>
        <v>110</v>
      </c>
    </row>
    <row r="43" spans="1:58" s="3" customFormat="1" x14ac:dyDescent="0.2">
      <c r="A43" s="3" t="s">
        <v>133</v>
      </c>
      <c r="B43" s="3" t="str">
        <f>LOWER(VLOOKUP(A43,Xtal_Templ!A:B,2,FALSE))</f>
        <v>5ht2b_human</v>
      </c>
      <c r="C43" s="3">
        <f>VLOOKUP($A43,'SegEnds_NonXtal_BW#'!$A:$Z,3,FALSE)+D43-50</f>
        <v>53</v>
      </c>
      <c r="D43" s="3">
        <v>71</v>
      </c>
      <c r="E43" s="3">
        <f>IF(ISERROR(VLOOKUP($A43,'SegEnds_NonXtal_BW#'!$A:$Z,4,FALSE)+VLOOKUP($A43,A:AL,4,FALSE)-50),"-",(VLOOKUP($A43,'SegEnds_NonXtal_BW#'!$A:$Z,4,FALSE)+VLOOKUP($A43,A:AL,4,FALSE)-50))</f>
        <v>81</v>
      </c>
      <c r="F43" s="3">
        <f>G43-2</f>
        <v>82</v>
      </c>
      <c r="G43" s="3">
        <v>84</v>
      </c>
      <c r="H43" s="3">
        <f>G43+1</f>
        <v>85</v>
      </c>
      <c r="I43" s="3">
        <f>H43+1</f>
        <v>86</v>
      </c>
      <c r="J43" s="3">
        <v>99</v>
      </c>
      <c r="K43" s="3">
        <f>VLOOKUP($A43,'SegEnds_NonXtal_BW#'!$A:$Z,8,FALSE)+VLOOKUP($A43,A:AL,10,FALSE)-50</f>
        <v>116</v>
      </c>
      <c r="L43" s="3">
        <f>M43-1</f>
        <v>119</v>
      </c>
      <c r="M43" s="3">
        <v>120</v>
      </c>
      <c r="N43" s="3">
        <f>M43+2</f>
        <v>122</v>
      </c>
      <c r="O43" s="3">
        <f>N43+1</f>
        <v>123</v>
      </c>
      <c r="P43" s="3">
        <v>152</v>
      </c>
      <c r="Q43" s="3">
        <f>VLOOKUP($A43,'SegEnds_NonXtal_BW#'!$A:$Z,12,FALSE)+VLOOKUP($A43,A:AL,16,FALSE)-50</f>
        <v>158</v>
      </c>
      <c r="R43" s="3">
        <f>IF(ISERROR(VLOOKUP($A43,'SegEnds_NonXtal_BW#'!$A:$Z,13,FALSE)+VLOOKUP($A43,A:AL,19,FALSE)-50),"-",VLOOKUP($A43,'SegEnds_NonXtal_BW#'!$A:$Z,13,FALSE)+VLOOKUP($A43,A:AL,19,FALSE)-50)</f>
        <v>159</v>
      </c>
      <c r="S43" s="3">
        <v>159</v>
      </c>
      <c r="T43" s="103">
        <f>IF(ISERROR(VLOOKUP($A43,'SegEnds_NonXtal_BW#'!$A:$Z,14,FALSE)+VLOOKUP($A43,A:AL,19,FALSE)-50),"-",(VLOOKUP($A43,'SegEnds_NonXtal_BW#'!$A:$Z,14,FALSE)+VLOOKUP($A43,A:AL,19,FALSE)-50))</f>
        <v>166</v>
      </c>
      <c r="U43" s="9">
        <f>IF(ISERROR(VLOOKUP($A43,'SegEnds_NonXtal_BW#'!$A:$Z,15,FALSE)+VLOOKUP($A43,A:AL,22,FALSE)-50),"-",VLOOKUP($A43,'SegEnds_NonXtal_BW#'!$A:$Z,15,FALSE)+VLOOKUP($A43,A:AL,22,FALSE)-50)</f>
        <v>167</v>
      </c>
      <c r="V43" s="3">
        <v>179</v>
      </c>
      <c r="W43" s="3">
        <f>IF(ISERROR(VLOOKUP($A43,'SegEnds_NonXtal_BW#'!$A:$Z,16,FALSE)+VLOOKUP($A43,A:AL,22,FALSE)-50),"-",(VLOOKUP($A43,'SegEnds_NonXtal_BW#'!$A:$Z,16,FALSE)+VLOOKUP($A43,A:AL,22,FALSE)-50))</f>
        <v>193</v>
      </c>
      <c r="X43" s="3">
        <f>IF(ISERROR(VLOOKUP($A43,'SegEnds_NonXtal_BW#'!$A:$Z,17,FALSE)+VLOOKUP($A43,A:AL,25,FALSE)-50),"-",(VLOOKUP($A43,'SegEnds_NonXtal_BW#'!$A:$Z,17,FALSE)+VLOOKUP($A43,A:AL,25,FALSE)-50))</f>
        <v>207</v>
      </c>
      <c r="Y43" s="3">
        <v>207</v>
      </c>
      <c r="Z43" s="3">
        <f>Y43+2</f>
        <v>209</v>
      </c>
      <c r="AA43" s="3">
        <f>IF(ISERROR(VLOOKUP($A43,'SegEnds_NonXtal_BW#'!$A:$Z,19,FALSE)+VLOOKUP($A43,A:AL,28,FALSE)-50),"-",(VLOOKUP($A43,'SegEnds_NonXtal_BW#'!$A:$Z,19,FALSE)+VLOOKUP($A43,A:AL,28,FALSE)-50))</f>
        <v>211</v>
      </c>
      <c r="AB43" s="3">
        <v>226</v>
      </c>
      <c r="AC43" s="3">
        <f>IF(ISERROR((VLOOKUP($A43,'SegEnds_NonXtal_BW#'!$A:$Z,20,FALSE)+VLOOKUP($A43,A:AL,28,FALSE)-50)),"-",(VLOOKUP($A43,'SegEnds_NonXtal_BW#'!$A:$Z,20,FALSE)+VLOOKUP($A43,A:AL,28,FALSE)-50))</f>
        <v>250</v>
      </c>
      <c r="AD43" s="3">
        <f>IF(ISERROR(VLOOKUP($A43,'SegEnds_NonXtal_BW#'!$A:$Z,21,FALSE)+VLOOKUP($A43,A:AL,31,FALSE)-50),"-",(VLOOKUP($A43,'SegEnds_NonXtal_BW#'!$A:$Z,21,FALSE)+VLOOKUP($A43,A:AL,31,FALSE)-50))</f>
        <v>300</v>
      </c>
      <c r="AE43" s="3">
        <v>326</v>
      </c>
      <c r="AF43" s="3">
        <f>IF(ISERROR((VLOOKUP($A43,'SegEnds_NonXtal_BW#'!$A:$Z,22,FALSE)+VLOOKUP($A43,A:AL,31,FALSE)-50)),"-",(VLOOKUP($A43,'SegEnds_NonXtal_BW#'!$A:$Z,22,FALSE)+VLOOKUP($A43,A:AL,31,FALSE)-50))</f>
        <v>337</v>
      </c>
      <c r="AG43" s="3">
        <f>IF(ISERROR(VLOOKUP($A43,'SegEnds_NonXtal_BW#'!$A:$Z,23,FALSE)+VLOOKUP($A43,A:AL,34,FALSE)-50),"-",(VLOOKUP($A43,'SegEnds_NonXtal_BW#'!$A:$Z,23,FALSE)+VLOOKUP($A43,A:AL,34,FALSE)-50))</f>
        <v>343</v>
      </c>
      <c r="AH43" s="3">
        <v>365</v>
      </c>
      <c r="AI43" s="3">
        <f>IF(ISERROR((VLOOKUP($A43,'SegEnds_NonXtal_BW#'!$A:$Z,24,FALSE)+VLOOKUP($A43,A:AL,34,FALSE)-50)),"-",(VLOOKUP($A43,'SegEnds_NonXtal_BW#'!$A:$Z,24,FALSE)+VLOOKUP($A43,A:AL,34,FALSE)-50))</f>
        <v>371</v>
      </c>
      <c r="AJ43" s="3">
        <f>IF(ISERROR(VLOOKUP($A43,'SegEnds_NonXtal_BW#'!$A:$Z,25,FALSE)+VLOOKUP($A43,A:AL,37,FALSE)-50),"-",(VLOOKUP($A43,'SegEnds_NonXtal_BW#'!$A:$Z,25,FALSE)+VLOOKUP($A43,A:AL,37,FALSE)-50))</f>
        <v>372</v>
      </c>
      <c r="AK43" s="3">
        <v>375</v>
      </c>
      <c r="AL43" s="3">
        <f>IF(ISERROR((VLOOKUP($A43,'SegEnds_NonXtal_BW#'!$A:$Z,26,FALSE)+VLOOKUP($A43,A:AL,37,FALSE)-50)),"-",(VLOOKUP($A43,'SegEnds_NonXtal_BW#'!$A:$Z,26,FALSE)+VLOOKUP($A43,A:AL,37,FALSE)-50))</f>
        <v>383</v>
      </c>
      <c r="AM43" s="28" t="str">
        <f>VLOOKUP(A43,Classification!A:B,2,FALSE)</f>
        <v>A</v>
      </c>
      <c r="AN43" s="28" t="b">
        <f>AND(IF(Y43="-",IF(AA43-W43&gt;3,TRUE,FALSE),TRUE),IF(M43="-",IF(O43-K43&gt;3,TRUE,FALSE),TRUE),C43&lt;E43,OR(E43&lt;F43,F43="-"),OR(F43&lt;H43,F43="-"),OR(H43&lt;I43,H43="-"),I43&lt;K43,OR(K43&lt;L43,L43="-"),OR(L43&lt;N43,L43="-"),OR(N43&lt;O43,N43="-"),O43&lt;Q43,OR(Q43&lt;R43,R43="-"),OR(R43&lt;T43,R43="-"),OR(T43&lt;U43,T43="-"),U43&lt;W43,OR(W43&lt;X43,X43="-"),OR(X43&lt;Z43,X43="-"),OR(Z43&lt;AA43,Z43="-"),AA43&lt;AC43,AC43&lt;AD43,AD43&lt;AF43,AF43&lt;AG43,AG43&lt;AI43,OR(AI43&lt;AJ43,AJ43="-"),OR(AJ43&lt;AL43,AJ43="-"))</f>
        <v>1</v>
      </c>
      <c r="AO43" s="3" t="str">
        <f>IF(ISERROR(MATCH(A43,'SegEnds_Xtal_Prot#'!B:B, 0)), "NoXtal", "Xtal")</f>
        <v>NoXtal</v>
      </c>
      <c r="AP43" s="3">
        <f>IF(ISERROR(F43-E43),"-",F43-E43)</f>
        <v>1</v>
      </c>
      <c r="AQ43" s="3">
        <f>IF(ISERROR(I43-H43),"-",I43-H43)</f>
        <v>1</v>
      </c>
      <c r="AR43" s="3">
        <f>IF(ISERROR(L43-K43),"-",L43-K43)</f>
        <v>3</v>
      </c>
      <c r="AS43" s="3">
        <f>IF(ISERROR(O43-N43),"-",O43-N43)</f>
        <v>1</v>
      </c>
      <c r="AT43" s="3">
        <f>IF(ISERROR(R43-Q43),"-",R43-Q43)</f>
        <v>1</v>
      </c>
      <c r="AU43" s="3">
        <f>IF(ISERROR(U43-T43),"-",U43-T43)</f>
        <v>1</v>
      </c>
      <c r="AV43" s="3">
        <f>IF(ISERROR(X43-W43),"-",X43-W43)</f>
        <v>14</v>
      </c>
      <c r="AW43" s="3">
        <f>IF(ISERROR(AA43-Z43),"-",AA43-Z43)</f>
        <v>2</v>
      </c>
      <c r="AX43" s="3">
        <f>IF(ISERROR(AD43-AC43),"-",AD43-AC43)</f>
        <v>50</v>
      </c>
      <c r="AY43" s="3">
        <f>IF(ISERROR(AG43-AF43),"-",AG43-AF43)</f>
        <v>6</v>
      </c>
      <c r="AZ43" s="3">
        <f>IF(ISERROR(AJ43-AI43),"-",AJ43-AI43)</f>
        <v>1</v>
      </c>
      <c r="BA43" s="3">
        <f>IF(ISERROR(LEN(VLOOKUP(A43,Seqs!A:E,2,FALSE))-AL43),"-",LEN(VLOOKUP(A43,Seqs!A:E,2,FALSE))-AL43)</f>
        <v>75</v>
      </c>
      <c r="BB43" s="16">
        <f>J43-D43</f>
        <v>28</v>
      </c>
      <c r="BC43" s="9">
        <f>IF(ISERROR(V43-S43),"-",V43-S43)</f>
        <v>20</v>
      </c>
      <c r="BD43" s="3">
        <f>J43-D43</f>
        <v>28</v>
      </c>
      <c r="BE43" s="3">
        <f>AE43-AB43</f>
        <v>100</v>
      </c>
    </row>
    <row r="44" spans="1:58" s="3" customFormat="1" ht="17" customHeight="1" x14ac:dyDescent="0.2">
      <c r="A44" s="3" t="s">
        <v>134</v>
      </c>
      <c r="B44" s="3" t="str">
        <f>LOWER(VLOOKUP(A44,Xtal_Templ!A:B,2,FALSE))</f>
        <v>adrb2_human</v>
      </c>
      <c r="C44" s="3">
        <f>VLOOKUP($A44,'SegEnds_NonXtal_BW#'!$A:$Z,3,FALSE)+D44-50</f>
        <v>12</v>
      </c>
      <c r="D44" s="3">
        <v>37</v>
      </c>
      <c r="E44" s="3">
        <f>IF(ISERROR(VLOOKUP($A44,'SegEnds_NonXtal_BW#'!$A:$Z,4,FALSE)+VLOOKUP($A44,A:AL,4,FALSE)-50),"-",(VLOOKUP($A44,'SegEnds_NonXtal_BW#'!$A:$Z,4,FALSE)+VLOOKUP($A44,A:AL,4,FALSE)-50))</f>
        <v>47</v>
      </c>
      <c r="F44" s="3">
        <f>G44-2</f>
        <v>48</v>
      </c>
      <c r="G44" s="3">
        <v>50</v>
      </c>
      <c r="H44" s="3">
        <f>G44+1</f>
        <v>51</v>
      </c>
      <c r="I44" s="3">
        <f>H44+1</f>
        <v>52</v>
      </c>
      <c r="J44" s="3">
        <v>66</v>
      </c>
      <c r="K44" s="3">
        <f>VLOOKUP($A44,'SegEnds_NonXtal_BW#'!$A:$Z,8,FALSE)+VLOOKUP($A44,A:AL,10,FALSE)-50</f>
        <v>83</v>
      </c>
      <c r="L44" s="3">
        <f>M44-1</f>
        <v>85</v>
      </c>
      <c r="M44" s="3">
        <v>86</v>
      </c>
      <c r="N44" s="3">
        <f>M44+2</f>
        <v>88</v>
      </c>
      <c r="O44" s="3">
        <f>N44+1</f>
        <v>89</v>
      </c>
      <c r="P44" s="3">
        <v>118</v>
      </c>
      <c r="Q44" s="3">
        <f>VLOOKUP($A44,'SegEnds_NonXtal_BW#'!$A:$Z,12,FALSE)+VLOOKUP($A44,A:AL,16,FALSE)-50</f>
        <v>124</v>
      </c>
      <c r="R44" s="3">
        <f>IF(ISERROR(VLOOKUP($A44,'SegEnds_NonXtal_BW#'!$A:$Z,13,FALSE)+VLOOKUP($A44,A:AL,19,FALSE)-50),"-",VLOOKUP($A44,'SegEnds_NonXtal_BW#'!$A:$Z,13,FALSE)+VLOOKUP($A44,A:AL,19,FALSE)-50)</f>
        <v>126</v>
      </c>
      <c r="S44" s="3">
        <v>126</v>
      </c>
      <c r="T44" s="103">
        <f>IF(ISERROR(VLOOKUP($A44,'SegEnds_NonXtal_BW#'!$A:$Z,14,FALSE)+VLOOKUP($A44,A:AL,19,FALSE)-50),"-",(VLOOKUP($A44,'SegEnds_NonXtal_BW#'!$A:$Z,14,FALSE)+VLOOKUP($A44,A:AL,19,FALSE)-50))</f>
        <v>133</v>
      </c>
      <c r="U44" s="9">
        <f>IF(ISERROR(VLOOKUP($A44,'SegEnds_NonXtal_BW#'!$A:$Z,15,FALSE)+VLOOKUP($A44,A:AL,22,FALSE)-50),"-",VLOOKUP($A44,'SegEnds_NonXtal_BW#'!$A:$Z,15,FALSE)+VLOOKUP($A44,A:AL,22,FALSE)-50)</f>
        <v>134</v>
      </c>
      <c r="V44" s="3">
        <v>146</v>
      </c>
      <c r="W44" s="3">
        <f>IF(ISERROR(VLOOKUP($A44,'SegEnds_NonXtal_BW#'!$A:$Z,16,FALSE)+VLOOKUP($A44,A:AL,22,FALSE)-50),"-",(VLOOKUP($A44,'SegEnds_NonXtal_BW#'!$A:$Z,16,FALSE)+VLOOKUP($A44,A:AL,22,FALSE)-50))</f>
        <v>160</v>
      </c>
      <c r="X44" s="3">
        <f>IF(ISERROR(VLOOKUP($A44,'SegEnds_NonXtal_BW#'!$A:$Z,17,FALSE)+VLOOKUP($A44,A:AL,25,FALSE)-50),"-",(VLOOKUP($A44,'SegEnds_NonXtal_BW#'!$A:$Z,17,FALSE)+VLOOKUP($A44,A:AL,25,FALSE)-50))</f>
        <v>184</v>
      </c>
      <c r="Y44" s="3">
        <v>184</v>
      </c>
      <c r="Z44" s="3">
        <f>Y44+2</f>
        <v>186</v>
      </c>
      <c r="AA44" s="3">
        <f>IF(ISERROR(VLOOKUP($A44,'SegEnds_NonXtal_BW#'!$A:$Z,19,FALSE)+VLOOKUP($A44,A:AL,28,FALSE)-50),"-",(VLOOKUP($A44,'SegEnds_NonXtal_BW#'!$A:$Z,19,FALSE)+VLOOKUP($A44,A:AL,28,FALSE)-50))</f>
        <v>189</v>
      </c>
      <c r="AB44" s="3">
        <v>204</v>
      </c>
      <c r="AC44" s="3">
        <f>IF(ISERROR((VLOOKUP($A44,'SegEnds_NonXtal_BW#'!$A:$Z,20,FALSE)+VLOOKUP($A44,A:AL,28,FALSE)-50)),"-",(VLOOKUP($A44,'SegEnds_NonXtal_BW#'!$A:$Z,20,FALSE)+VLOOKUP($A44,A:AL,28,FALSE)-50))</f>
        <v>230</v>
      </c>
      <c r="AD44" s="3">
        <f>IF(ISERROR(VLOOKUP($A44,'SegEnds_NonXtal_BW#'!$A:$Z,21,FALSE)+VLOOKUP($A44,A:AL,31,FALSE)-50),"-",(VLOOKUP($A44,'SegEnds_NonXtal_BW#'!$A:$Z,21,FALSE)+VLOOKUP($A44,A:AL,31,FALSE)-50))</f>
        <v>248</v>
      </c>
      <c r="AE44" s="3">
        <v>274</v>
      </c>
      <c r="AF44" s="3">
        <f>IF(ISERROR((VLOOKUP($A44,'SegEnds_NonXtal_BW#'!$A:$Z,22,FALSE)+VLOOKUP($A44,A:AL,31,FALSE)-50)),"-",(VLOOKUP($A44,'SegEnds_NonXtal_BW#'!$A:$Z,22,FALSE)+VLOOKUP($A44,A:AL,31,FALSE)-50))</f>
        <v>285</v>
      </c>
      <c r="AG44" s="3">
        <f>IF(ISERROR(VLOOKUP($A44,'SegEnds_NonXtal_BW#'!$A:$Z,23,FALSE)+VLOOKUP($A44,A:AL,34,FALSE)-50),"-",(VLOOKUP($A44,'SegEnds_NonXtal_BW#'!$A:$Z,23,FALSE)+VLOOKUP($A44,A:AL,34,FALSE)-50))</f>
        <v>290</v>
      </c>
      <c r="AH44" s="3">
        <v>309</v>
      </c>
      <c r="AI44" s="3">
        <v>315</v>
      </c>
      <c r="AJ44" s="3">
        <f>IF(ISERROR(VLOOKUP($A44,'SegEnds_NonXtal_BW#'!$A:$Z,25,FALSE)+VLOOKUP($A44,A:AL,37,FALSE)-50),"-",(VLOOKUP($A44,'SegEnds_NonXtal_BW#'!$A:$Z,25,FALSE)+VLOOKUP($A44,A:AL,37,FALSE)-50))</f>
        <v>316</v>
      </c>
      <c r="AK44" s="3">
        <v>319</v>
      </c>
      <c r="AL44" s="3">
        <f>IF(ISERROR((VLOOKUP($A44,'SegEnds_NonXtal_BW#'!$A:$Z,26,FALSE)+VLOOKUP($A44,A:AL,37,FALSE)-50)),"-",(VLOOKUP($A44,'SegEnds_NonXtal_BW#'!$A:$Z,26,FALSE)+VLOOKUP($A44,A:AL,37,FALSE)-50))</f>
        <v>328</v>
      </c>
      <c r="AM44" s="28" t="str">
        <f>VLOOKUP(A44,Classification!A:B,2,FALSE)</f>
        <v>A</v>
      </c>
      <c r="AN44" s="28" t="b">
        <f>AND(IF(Y44="-",IF(AA44-W44&gt;3,TRUE,FALSE),TRUE),IF(M44="-",IF(O44-K44&gt;3,TRUE,FALSE),TRUE),C44&lt;E44,OR(E44&lt;F44,F44="-"),OR(F44&lt;H44,F44="-"),OR(H44&lt;I44,H44="-"),I44&lt;K44,OR(K44&lt;L44,L44="-"),OR(L44&lt;N44,L44="-"),OR(N44&lt;O44,N44="-"),O44&lt;Q44,OR(Q44&lt;R44,R44="-"),OR(R44&lt;T44,R44="-"),OR(T44&lt;U44,T44="-"),U44&lt;W44,OR(W44&lt;X44,X44="-"),OR(X44&lt;Z44,X44="-"),OR(Z44&lt;AA44,Z44="-"),AA44&lt;AC44,AC44&lt;AD44,AD44&lt;AF44,AF44&lt;AG44,AG44&lt;AI44,OR(AI44&lt;AJ44,AJ44="-"),OR(AJ44&lt;AL44,AJ44="-"))</f>
        <v>1</v>
      </c>
      <c r="AO44" s="3" t="str">
        <f>IF(ISERROR(MATCH(A44,'SegEnds_Xtal_Prot#'!B:B, 0)), "NoXtal", "Xtal")</f>
        <v>NoXtal</v>
      </c>
      <c r="AP44" s="3">
        <f>IF(ISERROR(F44-E44),"-",F44-E44)</f>
        <v>1</v>
      </c>
      <c r="AQ44" s="3">
        <f>IF(ISERROR(I44-H44),"-",I44-H44)</f>
        <v>1</v>
      </c>
      <c r="AR44" s="3">
        <f>IF(ISERROR(L44-K44),"-",L44-K44)</f>
        <v>2</v>
      </c>
      <c r="AS44" s="3">
        <f>IF(ISERROR(O44-N44),"-",O44-N44)</f>
        <v>1</v>
      </c>
      <c r="AT44" s="3">
        <f>IF(ISERROR(R44-Q44),"-",R44-Q44)</f>
        <v>2</v>
      </c>
      <c r="AU44" s="3">
        <f>IF(ISERROR(U44-T44),"-",U44-T44)</f>
        <v>1</v>
      </c>
      <c r="AV44" s="3">
        <f>IF(ISERROR(X44-W44),"-",X44-W44)</f>
        <v>24</v>
      </c>
      <c r="AW44" s="3">
        <f>IF(ISERROR(AA44-Z44),"-",AA44-Z44)</f>
        <v>3</v>
      </c>
      <c r="AX44" s="3">
        <f>IF(ISERROR(AD44-AC44),"-",AD44-AC44)</f>
        <v>18</v>
      </c>
      <c r="AY44" s="3">
        <f>IF(ISERROR(AG44-AF44),"-",AG44-AF44)</f>
        <v>5</v>
      </c>
      <c r="AZ44" s="3">
        <f>IF(ISERROR(AJ44-AI44),"-",AJ44-AI44)</f>
        <v>1</v>
      </c>
      <c r="BA44" s="3">
        <f>IF(ISERROR(LEN(VLOOKUP(A44,Seqs!A:E,2,FALSE))-AL44),"-",LEN(VLOOKUP(A44,Seqs!A:E,2,FALSE))-AL44)</f>
        <v>60</v>
      </c>
      <c r="BB44" s="16">
        <f>J44-D44</f>
        <v>29</v>
      </c>
      <c r="BC44" s="9">
        <f>IF(ISERROR(V44-S44),"-",V44-S44)</f>
        <v>20</v>
      </c>
      <c r="BD44" s="3">
        <f>J44-D44</f>
        <v>29</v>
      </c>
      <c r="BE44" s="3">
        <f>AE44-AB44</f>
        <v>70</v>
      </c>
    </row>
    <row r="45" spans="1:58" s="3" customFormat="1" x14ac:dyDescent="0.2">
      <c r="A45" s="3" t="s">
        <v>135</v>
      </c>
      <c r="B45" s="3" t="str">
        <f>LOWER(VLOOKUP(A45,Xtal_Templ!A:B,2,FALSE))</f>
        <v>5ht1b_human</v>
      </c>
      <c r="C45" s="3">
        <f>VLOOKUP($A45,'SegEnds_NonXtal_BW#'!$A:$Z,3,FALSE)+D45-50</f>
        <v>37</v>
      </c>
      <c r="D45" s="3">
        <v>58</v>
      </c>
      <c r="E45" s="3">
        <f>IF(ISERROR(VLOOKUP($A45,'SegEnds_NonXtal_BW#'!$A:$Z,4,FALSE)+VLOOKUP($A45,A:AL,4,FALSE)-50),"-",(VLOOKUP($A45,'SegEnds_NonXtal_BW#'!$A:$Z,4,FALSE)+VLOOKUP($A45,A:AL,4,FALSE)-50))</f>
        <v>68</v>
      </c>
      <c r="F45" s="3">
        <f>G45-2</f>
        <v>69</v>
      </c>
      <c r="G45" s="3">
        <v>71</v>
      </c>
      <c r="H45" s="3">
        <f>G45+1</f>
        <v>72</v>
      </c>
      <c r="I45" s="3">
        <f>H45+1</f>
        <v>73</v>
      </c>
      <c r="J45" s="3">
        <v>86</v>
      </c>
      <c r="K45" s="3">
        <f>VLOOKUP($A45,'SegEnds_NonXtal_BW#'!$A:$Z,8,FALSE)+VLOOKUP($A45,A:AL,10,FALSE)-50</f>
        <v>103</v>
      </c>
      <c r="L45" s="3">
        <f>M45-1</f>
        <v>106</v>
      </c>
      <c r="M45" s="3">
        <v>107</v>
      </c>
      <c r="N45" s="3">
        <f>M45+2</f>
        <v>109</v>
      </c>
      <c r="O45" s="3">
        <f>N45+1</f>
        <v>110</v>
      </c>
      <c r="P45" s="3">
        <v>139</v>
      </c>
      <c r="Q45" s="3">
        <f>VLOOKUP($A45,'SegEnds_NonXtal_BW#'!$A:$Z,12,FALSE)+VLOOKUP($A45,A:AL,16,FALSE)-50</f>
        <v>145</v>
      </c>
      <c r="R45" s="3">
        <f>IF(ISERROR(VLOOKUP($A45,'SegEnds_NonXtal_BW#'!$A:$Z,13,FALSE)+VLOOKUP($A45,A:AL,19,FALSE)-50),"-",VLOOKUP($A45,'SegEnds_NonXtal_BW#'!$A:$Z,13,FALSE)+VLOOKUP($A45,A:AL,19,FALSE)-50)</f>
        <v>146</v>
      </c>
      <c r="S45" s="3">
        <v>146</v>
      </c>
      <c r="T45" s="103">
        <f>IF(ISERROR(VLOOKUP($A45,'SegEnds_NonXtal_BW#'!$A:$Z,14,FALSE)+VLOOKUP($A45,A:AL,19,FALSE)-50),"-",(VLOOKUP($A45,'SegEnds_NonXtal_BW#'!$A:$Z,14,FALSE)+VLOOKUP($A45,A:AL,19,FALSE)-50))</f>
        <v>153</v>
      </c>
      <c r="U45" s="9">
        <f>IF(ISERROR(VLOOKUP($A45,'SegEnds_NonXtal_BW#'!$A:$Z,15,FALSE)+VLOOKUP($A45,A:AL,22,FALSE)-50),"-",VLOOKUP($A45,'SegEnds_NonXtal_BW#'!$A:$Z,15,FALSE)+VLOOKUP($A45,A:AL,22,FALSE)-50)</f>
        <v>154</v>
      </c>
      <c r="V45" s="3">
        <v>166</v>
      </c>
      <c r="W45" s="3">
        <f>IF(ISERROR(VLOOKUP($A45,'SegEnds_NonXtal_BW#'!$A:$Z,16,FALSE)+VLOOKUP($A45,A:AL,22,FALSE)-50),"-",(VLOOKUP($A45,'SegEnds_NonXtal_BW#'!$A:$Z,16,FALSE)+VLOOKUP($A45,A:AL,22,FALSE)-50))</f>
        <v>179</v>
      </c>
      <c r="X45" s="3">
        <f>IF(ISERROR(VLOOKUP($A45,'SegEnds_NonXtal_BW#'!$A:$Z,17,FALSE)+VLOOKUP($A45,A:AL,25,FALSE)-50),"-",(VLOOKUP($A45,'SegEnds_NonXtal_BW#'!$A:$Z,17,FALSE)+VLOOKUP($A45,A:AL,25,FALSE)-50))</f>
        <v>192</v>
      </c>
      <c r="Y45" s="3">
        <v>192</v>
      </c>
      <c r="Z45" s="3">
        <f>Y45+2</f>
        <v>194</v>
      </c>
      <c r="AA45" s="3">
        <f>IF(ISERROR(VLOOKUP($A45,'SegEnds_NonXtal_BW#'!$A:$Z,19,FALSE)+VLOOKUP($A45,A:AL,28,FALSE)-50),"-",(VLOOKUP($A45,'SegEnds_NonXtal_BW#'!$A:$Z,19,FALSE)+VLOOKUP($A45,A:AL,28,FALSE)-50))</f>
        <v>197</v>
      </c>
      <c r="AB45" s="3">
        <v>212</v>
      </c>
      <c r="AC45" s="3">
        <f>IF(ISERROR((VLOOKUP($A45,'SegEnds_NonXtal_BW#'!$A:$Z,20,FALSE)+VLOOKUP($A45,A:AL,28,FALSE)-50)),"-",(VLOOKUP($A45,'SegEnds_NonXtal_BW#'!$A:$Z,20,FALSE)+VLOOKUP($A45,A:AL,28,FALSE)-50))</f>
        <v>238</v>
      </c>
      <c r="AD45" s="3">
        <f>IF(ISERROR(VLOOKUP($A45,'SegEnds_NonXtal_BW#'!$A:$Z,21,FALSE)+VLOOKUP($A45,A:AL,31,FALSE)-50),"-",(VLOOKUP($A45,'SegEnds_NonXtal_BW#'!$A:$Z,21,FALSE)+VLOOKUP($A45,A:AL,31,FALSE)-50))</f>
        <v>274</v>
      </c>
      <c r="AE45" s="3">
        <v>300</v>
      </c>
      <c r="AF45" s="3">
        <f>IF(ISERROR((VLOOKUP($A45,'SegEnds_NonXtal_BW#'!$A:$Z,22,FALSE)+VLOOKUP($A45,A:AL,31,FALSE)-50)),"-",(VLOOKUP($A45,'SegEnds_NonXtal_BW#'!$A:$Z,22,FALSE)+VLOOKUP($A45,A:AL,31,FALSE)-50))</f>
        <v>311</v>
      </c>
      <c r="AG45" s="3">
        <f>IF(ISERROR(VLOOKUP($A45,'SegEnds_NonXtal_BW#'!$A:$Z,23,FALSE)+VLOOKUP($A45,A:AL,34,FALSE)-50),"-",(VLOOKUP($A45,'SegEnds_NonXtal_BW#'!$A:$Z,23,FALSE)+VLOOKUP($A45,A:AL,34,FALSE)-50))</f>
        <v>316</v>
      </c>
      <c r="AH45" s="3">
        <v>335</v>
      </c>
      <c r="AI45" s="3">
        <f>IF(ISERROR((VLOOKUP($A45,'SegEnds_NonXtal_BW#'!$A:$Z,24,FALSE)+VLOOKUP($A45,A:AL,34,FALSE)-50)),"-",(VLOOKUP($A45,'SegEnds_NonXtal_BW#'!$A:$Z,24,FALSE)+VLOOKUP($A45,A:AL,34,FALSE)-50))</f>
        <v>341</v>
      </c>
      <c r="AJ45" s="3">
        <f>IF(ISERROR(VLOOKUP($A45,'SegEnds_NonXtal_BW#'!$A:$Z,25,FALSE)+VLOOKUP($A45,A:AL,37,FALSE)-50),"-",(VLOOKUP($A45,'SegEnds_NonXtal_BW#'!$A:$Z,25,FALSE)+VLOOKUP($A45,A:AL,37,FALSE)-50))</f>
        <v>342</v>
      </c>
      <c r="AK45" s="3">
        <v>345</v>
      </c>
      <c r="AL45" s="3">
        <f>IF(ISERROR((VLOOKUP($A45,'SegEnds_NonXtal_BW#'!$A:$Z,26,FALSE)+VLOOKUP($A45,A:AL,37,FALSE)-50)),"-",(VLOOKUP($A45,'SegEnds_NonXtal_BW#'!$A:$Z,26,FALSE)+VLOOKUP($A45,A:AL,37,FALSE)-50))</f>
        <v>353</v>
      </c>
      <c r="AM45" s="28" t="str">
        <f>VLOOKUP(A45,Classification!A:B,2,FALSE)</f>
        <v>A</v>
      </c>
      <c r="AN45" s="28" t="b">
        <f>AND(IF(Y45="-",IF(AA45-W45&gt;3,TRUE,FALSE),TRUE),IF(M45="-",IF(O45-K45&gt;3,TRUE,FALSE),TRUE),C45&lt;E45,OR(E45&lt;F45,F45="-"),OR(F45&lt;H45,F45="-"),OR(H45&lt;I45,H45="-"),I45&lt;K45,OR(K45&lt;L45,L45="-"),OR(L45&lt;N45,L45="-"),OR(N45&lt;O45,N45="-"),O45&lt;Q45,OR(Q45&lt;R45,R45="-"),OR(R45&lt;T45,R45="-"),OR(T45&lt;U45,T45="-"),U45&lt;W45,OR(W45&lt;X45,X45="-"),OR(X45&lt;Z45,X45="-"),OR(Z45&lt;AA45,Z45="-"),AA45&lt;AC45,AC45&lt;AD45,AD45&lt;AF45,AF45&lt;AG45,AG45&lt;AI45,OR(AI45&lt;AJ45,AJ45="-"),OR(AJ45&lt;AL45,AJ45="-"))</f>
        <v>1</v>
      </c>
      <c r="AO45" s="3" t="str">
        <f>IF(ISERROR(MATCH(A45,'SegEnds_Xtal_Prot#'!B:B, 0)), "NoXtal", "Xtal")</f>
        <v>NoXtal</v>
      </c>
      <c r="AP45" s="3">
        <f>IF(ISERROR(F45-E45),"-",F45-E45)</f>
        <v>1</v>
      </c>
      <c r="AQ45" s="3">
        <f>IF(ISERROR(I45-H45),"-",I45-H45)</f>
        <v>1</v>
      </c>
      <c r="AR45" s="3">
        <f>IF(ISERROR(L45-K45),"-",L45-K45)</f>
        <v>3</v>
      </c>
      <c r="AS45" s="3">
        <f>IF(ISERROR(O45-N45),"-",O45-N45)</f>
        <v>1</v>
      </c>
      <c r="AT45" s="3">
        <f>IF(ISERROR(R45-Q45),"-",R45-Q45)</f>
        <v>1</v>
      </c>
      <c r="AU45" s="3">
        <f>IF(ISERROR(U45-T45),"-",U45-T45)</f>
        <v>1</v>
      </c>
      <c r="AV45" s="3">
        <f>IF(ISERROR(X45-W45),"-",X45-W45)</f>
        <v>13</v>
      </c>
      <c r="AW45" s="3">
        <f>IF(ISERROR(AA45-Z45),"-",AA45-Z45)</f>
        <v>3</v>
      </c>
      <c r="AX45" s="3">
        <f>IF(ISERROR(AD45-AC45),"-",AD45-AC45)</f>
        <v>36</v>
      </c>
      <c r="AY45" s="3">
        <f>IF(ISERROR(AG45-AF45),"-",AG45-AF45)</f>
        <v>5</v>
      </c>
      <c r="AZ45" s="3">
        <f>IF(ISERROR(AJ45-AI45),"-",AJ45-AI45)</f>
        <v>1</v>
      </c>
      <c r="BA45" s="3">
        <f>IF(ISERROR(LEN(VLOOKUP(A45,Seqs!A:E,2,FALSE))-AL45),"-",LEN(VLOOKUP(A45,Seqs!A:E,2,FALSE))-AL45)</f>
        <v>4</v>
      </c>
      <c r="BB45" s="16">
        <f>J45-D45</f>
        <v>28</v>
      </c>
      <c r="BC45" s="9">
        <f>IF(ISERROR(V45-S45),"-",V45-S45)</f>
        <v>20</v>
      </c>
      <c r="BD45" s="3">
        <f>J45-D45</f>
        <v>28</v>
      </c>
      <c r="BE45" s="3">
        <f>AE45-AB45</f>
        <v>88</v>
      </c>
      <c r="BF45" s="3">
        <f>AH45-AE45</f>
        <v>35</v>
      </c>
    </row>
    <row r="46" spans="1:58" s="3" customFormat="1" x14ac:dyDescent="0.2">
      <c r="A46" s="3" t="s">
        <v>136</v>
      </c>
      <c r="B46" s="3" t="str">
        <f>LOWER(VLOOKUP(A46,Xtal_Templ!A:B,2,FALSE))</f>
        <v>5ht2b_human</v>
      </c>
      <c r="C46" s="3">
        <f>VLOOKUP($A46,'SegEnds_NonXtal_BW#'!$A:$Z,3,FALSE)+D46-50</f>
        <v>26</v>
      </c>
      <c r="D46" s="3">
        <v>44</v>
      </c>
      <c r="E46" s="3">
        <f>IF(ISERROR(VLOOKUP($A46,'SegEnds_NonXtal_BW#'!$A:$Z,4,FALSE)+VLOOKUP($A46,A:AL,4,FALSE)-50),"-",(VLOOKUP($A46,'SegEnds_NonXtal_BW#'!$A:$Z,4,FALSE)+VLOOKUP($A46,A:AL,4,FALSE)-50))</f>
        <v>54</v>
      </c>
      <c r="F46" s="3">
        <f>G46-2</f>
        <v>55</v>
      </c>
      <c r="G46" s="3">
        <v>57</v>
      </c>
      <c r="H46" s="3">
        <f>G46+1</f>
        <v>58</v>
      </c>
      <c r="I46" s="3">
        <f>H46+1</f>
        <v>59</v>
      </c>
      <c r="J46" s="3">
        <v>72</v>
      </c>
      <c r="K46" s="3">
        <f>VLOOKUP($A46,'SegEnds_NonXtal_BW#'!$A:$Z,8,FALSE)+VLOOKUP($A46,A:AL,10,FALSE)-50</f>
        <v>89</v>
      </c>
      <c r="L46" s="3">
        <f>M46-1</f>
        <v>91</v>
      </c>
      <c r="M46" s="3">
        <v>92</v>
      </c>
      <c r="N46" s="3">
        <f>M46+2</f>
        <v>94</v>
      </c>
      <c r="O46" s="3">
        <f>N46+1</f>
        <v>95</v>
      </c>
      <c r="P46" s="3">
        <v>124</v>
      </c>
      <c r="Q46" s="3">
        <f>VLOOKUP($A46,'SegEnds_NonXtal_BW#'!$A:$Z,12,FALSE)+VLOOKUP($A46,A:AL,16,FALSE)-50</f>
        <v>130</v>
      </c>
      <c r="R46" s="3">
        <f>IF(ISERROR(VLOOKUP($A46,'SegEnds_NonXtal_BW#'!$A:$Z,13,FALSE)+VLOOKUP($A46,A:AL,19,FALSE)-50),"-",VLOOKUP($A46,'SegEnds_NonXtal_BW#'!$A:$Z,13,FALSE)+VLOOKUP($A46,A:AL,19,FALSE)-50)</f>
        <v>131</v>
      </c>
      <c r="S46" s="3">
        <v>131</v>
      </c>
      <c r="T46" s="103">
        <f>IF(ISERROR(VLOOKUP($A46,'SegEnds_NonXtal_BW#'!$A:$Z,14,FALSE)+VLOOKUP($A46,A:AL,19,FALSE)-50),"-",(VLOOKUP($A46,'SegEnds_NonXtal_BW#'!$A:$Z,14,FALSE)+VLOOKUP($A46,A:AL,19,FALSE)-50))</f>
        <v>138</v>
      </c>
      <c r="U46" s="9">
        <f>IF(ISERROR(VLOOKUP($A46,'SegEnds_NonXtal_BW#'!$A:$Z,15,FALSE)+VLOOKUP($A46,A:AL,22,FALSE)-50),"-",VLOOKUP($A46,'SegEnds_NonXtal_BW#'!$A:$Z,15,FALSE)+VLOOKUP($A46,A:AL,22,FALSE)-50)</f>
        <v>139</v>
      </c>
      <c r="V46" s="3">
        <v>151</v>
      </c>
      <c r="W46" s="3">
        <f>IF(ISERROR(VLOOKUP($A46,'SegEnds_NonXtal_BW#'!$A:$Z,16,FALSE)+VLOOKUP($A46,A:AL,22,FALSE)-50),"-",(VLOOKUP($A46,'SegEnds_NonXtal_BW#'!$A:$Z,16,FALSE)+VLOOKUP($A46,A:AL,22,FALSE)-50))</f>
        <v>165</v>
      </c>
      <c r="X46" s="3">
        <f>IF(ISERROR(VLOOKUP($A46,'SegEnds_NonXtal_BW#'!$A:$Z,17,FALSE)+VLOOKUP($A46,A:AL,25,FALSE)-50),"-",(VLOOKUP($A46,'SegEnds_NonXtal_BW#'!$A:$Z,17,FALSE)+VLOOKUP($A46,A:AL,25,FALSE)-50))</f>
        <v>180</v>
      </c>
      <c r="Y46" s="3">
        <v>180</v>
      </c>
      <c r="Z46" s="3">
        <f>Y46+2</f>
        <v>182</v>
      </c>
      <c r="AA46" s="3">
        <f>IF(ISERROR(VLOOKUP($A46,'SegEnds_NonXtal_BW#'!$A:$Z,19,FALSE)+VLOOKUP($A46,A:AL,28,FALSE)-50),"-",(VLOOKUP($A46,'SegEnds_NonXtal_BW#'!$A:$Z,19,FALSE)+VLOOKUP($A46,A:AL,28,FALSE)-50))</f>
        <v>185</v>
      </c>
      <c r="AB46" s="3">
        <v>200</v>
      </c>
      <c r="AC46" s="3">
        <f>IF(ISERROR((VLOOKUP($A46,'SegEnds_NonXtal_BW#'!$A:$Z,20,FALSE)+VLOOKUP($A46,A:AL,28,FALSE)-50)),"-",(VLOOKUP($A46,'SegEnds_NonXtal_BW#'!$A:$Z,20,FALSE)+VLOOKUP($A46,A:AL,28,FALSE)-50))</f>
        <v>226</v>
      </c>
      <c r="AD46" s="3">
        <f>IF(ISERROR(VLOOKUP($A46,'SegEnds_NonXtal_BW#'!$A:$Z,21,FALSE)+VLOOKUP($A46,A:AL,31,FALSE)-50),"-",(VLOOKUP($A46,'SegEnds_NonXtal_BW#'!$A:$Z,21,FALSE)+VLOOKUP($A46,A:AL,31,FALSE)-50))</f>
        <v>257</v>
      </c>
      <c r="AE46" s="3">
        <v>283</v>
      </c>
      <c r="AF46" s="3">
        <f>IF(ISERROR((VLOOKUP($A46,'SegEnds_NonXtal_BW#'!$A:$Z,22,FALSE)+VLOOKUP($A46,A:AL,31,FALSE)-50)),"-",(VLOOKUP($A46,'SegEnds_NonXtal_BW#'!$A:$Z,22,FALSE)+VLOOKUP($A46,A:AL,31,FALSE)-50))</f>
        <v>294</v>
      </c>
      <c r="AG46" s="3">
        <f>IF(ISERROR(VLOOKUP($A46,'SegEnds_NonXtal_BW#'!$A:$Z,23,FALSE)+VLOOKUP($A46,A:AL,34,FALSE)-50),"-",(VLOOKUP($A46,'SegEnds_NonXtal_BW#'!$A:$Z,23,FALSE)+VLOOKUP($A46,A:AL,34,FALSE)-50))</f>
        <v>299</v>
      </c>
      <c r="AH46" s="3">
        <v>317</v>
      </c>
      <c r="AI46" s="3">
        <f>IF(ISERROR((VLOOKUP($A46,'SegEnds_NonXtal_BW#'!$A:$Z,24,FALSE)+VLOOKUP($A46,A:AL,34,FALSE)-50)),"-",(VLOOKUP($A46,'SegEnds_NonXtal_BW#'!$A:$Z,24,FALSE)+VLOOKUP($A46,A:AL,34,FALSE)-50))</f>
        <v>323</v>
      </c>
      <c r="AJ46" s="3">
        <f>IF(ISERROR(VLOOKUP($A46,'SegEnds_NonXtal_BW#'!$A:$Z,25,FALSE)+VLOOKUP($A46,A:AL,37,FALSE)-50),"-",(VLOOKUP($A46,'SegEnds_NonXtal_BW#'!$A:$Z,25,FALSE)+VLOOKUP($A46,A:AL,37,FALSE)-50))</f>
        <v>324</v>
      </c>
      <c r="AK46" s="3">
        <v>327</v>
      </c>
      <c r="AL46" s="3">
        <f>IF(ISERROR((VLOOKUP($A46,'SegEnds_NonXtal_BW#'!$A:$Z,26,FALSE)+VLOOKUP($A46,A:AL,37,FALSE)-50)),"-",(VLOOKUP($A46,'SegEnds_NonXtal_BW#'!$A:$Z,26,FALSE)+VLOOKUP($A46,A:AL,37,FALSE)-50))</f>
        <v>335</v>
      </c>
      <c r="AM46" s="28" t="str">
        <f>VLOOKUP(A46,Classification!A:B,2,FALSE)</f>
        <v>A</v>
      </c>
      <c r="AN46" s="28" t="b">
        <f>AND(IF(Y46="-",IF(AA46-W46&gt;3,TRUE,FALSE),TRUE),IF(M46="-",IF(O46-K46&gt;3,TRUE,FALSE),TRUE),C46&lt;E46,OR(E46&lt;F46,F46="-"),OR(F46&lt;H46,F46="-"),OR(H46&lt;I46,H46="-"),I46&lt;K46,OR(K46&lt;L46,L46="-"),OR(L46&lt;N46,L46="-"),OR(N46&lt;O46,N46="-"),O46&lt;Q46,OR(Q46&lt;R46,R46="-"),OR(R46&lt;T46,R46="-"),OR(T46&lt;U46,T46="-"),U46&lt;W46,OR(W46&lt;X46,X46="-"),OR(X46&lt;Z46,X46="-"),OR(Z46&lt;AA46,Z46="-"),AA46&lt;AC46,AC46&lt;AD46,AD46&lt;AF46,AF46&lt;AG46,AG46&lt;AI46,OR(AI46&lt;AJ46,AJ46="-"),OR(AJ46&lt;AL46,AJ46="-"))</f>
        <v>1</v>
      </c>
      <c r="AO46" s="3" t="str">
        <f>IF(ISERROR(MATCH(A46,'SegEnds_Xtal_Prot#'!B:B, 0)), "NoXtal", "Xtal")</f>
        <v>NoXtal</v>
      </c>
      <c r="AP46" s="3">
        <f>IF(ISERROR(F46-E46),"-",F46-E46)</f>
        <v>1</v>
      </c>
      <c r="AQ46" s="3">
        <f>IF(ISERROR(I46-H46),"-",I46-H46)</f>
        <v>1</v>
      </c>
      <c r="AR46" s="3">
        <f>IF(ISERROR(L46-K46),"-",L46-K46)</f>
        <v>2</v>
      </c>
      <c r="AS46" s="3">
        <f>IF(ISERROR(O46-N46),"-",O46-N46)</f>
        <v>1</v>
      </c>
      <c r="AT46" s="3">
        <f>IF(ISERROR(R46-Q46),"-",R46-Q46)</f>
        <v>1</v>
      </c>
      <c r="AU46" s="3">
        <f>IF(ISERROR(U46-T46),"-",U46-T46)</f>
        <v>1</v>
      </c>
      <c r="AV46" s="3">
        <f>IF(ISERROR(X46-W46),"-",X46-W46)</f>
        <v>15</v>
      </c>
      <c r="AW46" s="3">
        <f>IF(ISERROR(AA46-Z46),"-",AA46-Z46)</f>
        <v>3</v>
      </c>
      <c r="AX46" s="3">
        <f>IF(ISERROR(AD46-AC46),"-",AD46-AC46)</f>
        <v>31</v>
      </c>
      <c r="AY46" s="3">
        <f>IF(ISERROR(AG46-AF46),"-",AG46-AF46)</f>
        <v>5</v>
      </c>
      <c r="AZ46" s="3">
        <f>IF(ISERROR(AJ46-AI46),"-",AJ46-AI46)</f>
        <v>1</v>
      </c>
      <c r="BA46" s="3">
        <f>IF(ISERROR(LEN(VLOOKUP(A46,Seqs!A:E,2,FALSE))-AL46),"-",LEN(VLOOKUP(A46,Seqs!A:E,2,FALSE))-AL46)</f>
        <v>105</v>
      </c>
      <c r="BB46" s="16">
        <f>J46-D46</f>
        <v>28</v>
      </c>
      <c r="BC46" s="9">
        <f>IF(ISERROR(V46-S46),"-",V46-S46)</f>
        <v>20</v>
      </c>
      <c r="BD46" s="3">
        <f>J46-D46</f>
        <v>28</v>
      </c>
      <c r="BE46" s="3">
        <f>AE46-AB46</f>
        <v>83</v>
      </c>
    </row>
    <row r="47" spans="1:58" s="3" customFormat="1" x14ac:dyDescent="0.2">
      <c r="A47" s="3" t="s">
        <v>137</v>
      </c>
      <c r="B47" s="3" t="str">
        <f>LOWER(VLOOKUP(A47,Xtal_Templ!A:B,2,FALSE))</f>
        <v>5ht1b_human</v>
      </c>
      <c r="C47" s="3">
        <f>VLOOKUP($A47,'SegEnds_NonXtal_BW#'!$A:$Z,3,FALSE)+D47-50</f>
        <v>78</v>
      </c>
      <c r="D47" s="3">
        <v>99</v>
      </c>
      <c r="E47" s="3">
        <f>IF(ISERROR(VLOOKUP($A47,'SegEnds_NonXtal_BW#'!$A:$Z,4,FALSE)+VLOOKUP($A47,A:AL,4,FALSE)-50),"-",(VLOOKUP($A47,'SegEnds_NonXtal_BW#'!$A:$Z,4,FALSE)+VLOOKUP($A47,A:AL,4,FALSE)-50))</f>
        <v>109</v>
      </c>
      <c r="F47" s="3">
        <f>G47-2</f>
        <v>110</v>
      </c>
      <c r="G47" s="3">
        <v>112</v>
      </c>
      <c r="H47" s="3">
        <f>G47+1</f>
        <v>113</v>
      </c>
      <c r="I47" s="3">
        <f>H47+1</f>
        <v>114</v>
      </c>
      <c r="J47" s="3">
        <v>127</v>
      </c>
      <c r="K47" s="3">
        <f>VLOOKUP($A47,'SegEnds_NonXtal_BW#'!$A:$Z,8,FALSE)+VLOOKUP($A47,A:AL,10,FALSE)-50</f>
        <v>144</v>
      </c>
      <c r="L47" s="3">
        <f>M47-1</f>
        <v>147</v>
      </c>
      <c r="M47" s="3">
        <v>148</v>
      </c>
      <c r="N47" s="3">
        <f>M47+2</f>
        <v>150</v>
      </c>
      <c r="O47" s="3">
        <f>N47+1</f>
        <v>151</v>
      </c>
      <c r="P47" s="3">
        <v>180</v>
      </c>
      <c r="Q47" s="3">
        <f>VLOOKUP($A47,'SegEnds_NonXtal_BW#'!$A:$Z,12,FALSE)+VLOOKUP($A47,A:AL,16,FALSE)-50</f>
        <v>186</v>
      </c>
      <c r="R47" s="3">
        <f>IF(ISERROR(VLOOKUP($A47,'SegEnds_NonXtal_BW#'!$A:$Z,13,FALSE)+VLOOKUP($A47,A:AL,19,FALSE)-50),"-",VLOOKUP($A47,'SegEnds_NonXtal_BW#'!$A:$Z,13,FALSE)+VLOOKUP($A47,A:AL,19,FALSE)-50)</f>
        <v>187</v>
      </c>
      <c r="S47" s="3">
        <v>187</v>
      </c>
      <c r="T47" s="103">
        <f>IF(ISERROR(VLOOKUP($A47,'SegEnds_NonXtal_BW#'!$A:$Z,14,FALSE)+VLOOKUP($A47,A:AL,19,FALSE)-50),"-",(VLOOKUP($A47,'SegEnds_NonXtal_BW#'!$A:$Z,14,FALSE)+VLOOKUP($A47,A:AL,19,FALSE)-50))</f>
        <v>194</v>
      </c>
      <c r="U47" s="9">
        <f>IF(ISERROR(VLOOKUP($A47,'SegEnds_NonXtal_BW#'!$A:$Z,15,FALSE)+VLOOKUP($A47,A:AL,22,FALSE)-50),"-",VLOOKUP($A47,'SegEnds_NonXtal_BW#'!$A:$Z,15,FALSE)+VLOOKUP($A47,A:AL,22,FALSE)-50)</f>
        <v>195</v>
      </c>
      <c r="V47" s="3">
        <v>207</v>
      </c>
      <c r="W47" s="3">
        <f>IF(ISERROR(VLOOKUP($A47,'SegEnds_NonXtal_BW#'!$A:$Z,16,FALSE)+VLOOKUP($A47,A:AL,22,FALSE)-50),"-",(VLOOKUP($A47,'SegEnds_NonXtal_BW#'!$A:$Z,16,FALSE)+VLOOKUP($A47,A:AL,22,FALSE)-50))</f>
        <v>220</v>
      </c>
      <c r="X47" s="3">
        <f>IF(ISERROR(VLOOKUP($A47,'SegEnds_NonXtal_BW#'!$A:$Z,17,FALSE)+VLOOKUP($A47,A:AL,25,FALSE)-50),"-",(VLOOKUP($A47,'SegEnds_NonXtal_BW#'!$A:$Z,17,FALSE)+VLOOKUP($A47,A:AL,25,FALSE)-50))</f>
        <v>231</v>
      </c>
      <c r="Y47" s="3">
        <v>231</v>
      </c>
      <c r="Z47" s="3">
        <f>Y47+2</f>
        <v>233</v>
      </c>
      <c r="AA47" s="3">
        <f>IF(ISERROR(VLOOKUP($A47,'SegEnds_NonXtal_BW#'!$A:$Z,19,FALSE)+VLOOKUP($A47,A:AL,28,FALSE)-50),"-",(VLOOKUP($A47,'SegEnds_NonXtal_BW#'!$A:$Z,19,FALSE)+VLOOKUP($A47,A:AL,28,FALSE)-50))</f>
        <v>236</v>
      </c>
      <c r="AB47" s="3">
        <v>251</v>
      </c>
      <c r="AC47" s="3">
        <f>IF(ISERROR((VLOOKUP($A47,'SegEnds_NonXtal_BW#'!$A:$Z,20,FALSE)+VLOOKUP($A47,A:AL,28,FALSE)-50)),"-",(VLOOKUP($A47,'SegEnds_NonXtal_BW#'!$A:$Z,20,FALSE)+VLOOKUP($A47,A:AL,28,FALSE)-50))</f>
        <v>277</v>
      </c>
      <c r="AD47" s="3">
        <f>IF(ISERROR(VLOOKUP($A47,'SegEnds_NonXtal_BW#'!$A:$Z,21,FALSE)+VLOOKUP($A47,A:AL,31,FALSE)-50),"-",(VLOOKUP($A47,'SegEnds_NonXtal_BW#'!$A:$Z,21,FALSE)+VLOOKUP($A47,A:AL,31,FALSE)-50))</f>
        <v>316</v>
      </c>
      <c r="AE47" s="3">
        <v>342</v>
      </c>
      <c r="AF47" s="3">
        <f>IF(ISERROR((VLOOKUP($A47,'SegEnds_NonXtal_BW#'!$A:$Z,22,FALSE)+VLOOKUP($A47,A:AL,31,FALSE)-50)),"-",(VLOOKUP($A47,'SegEnds_NonXtal_BW#'!$A:$Z,22,FALSE)+VLOOKUP($A47,A:AL,31,FALSE)-50))</f>
        <v>353</v>
      </c>
      <c r="AG47" s="3">
        <f>IF(ISERROR(VLOOKUP($A47,'SegEnds_NonXtal_BW#'!$A:$Z,23,FALSE)+VLOOKUP($A47,A:AL,34,FALSE)-50),"-",(VLOOKUP($A47,'SegEnds_NonXtal_BW#'!$A:$Z,23,FALSE)+VLOOKUP($A47,A:AL,34,FALSE)-50))</f>
        <v>359</v>
      </c>
      <c r="AH47" s="3">
        <v>381</v>
      </c>
      <c r="AI47" s="3">
        <f>IF(ISERROR((VLOOKUP($A47,'SegEnds_NonXtal_BW#'!$A:$Z,24,FALSE)+VLOOKUP($A47,A:AL,34,FALSE)-50)),"-",(VLOOKUP($A47,'SegEnds_NonXtal_BW#'!$A:$Z,24,FALSE)+VLOOKUP($A47,A:AL,34,FALSE)-50))</f>
        <v>387</v>
      </c>
      <c r="AJ47" s="3">
        <f>IF(ISERROR(VLOOKUP($A47,'SegEnds_NonXtal_BW#'!$A:$Z,25,FALSE)+VLOOKUP($A47,A:AL,37,FALSE)-50),"-",(VLOOKUP($A47,'SegEnds_NonXtal_BW#'!$A:$Z,25,FALSE)+VLOOKUP($A47,A:AL,37,FALSE)-50))</f>
        <v>388</v>
      </c>
      <c r="AK47" s="3">
        <v>391</v>
      </c>
      <c r="AL47" s="3">
        <f>IF(ISERROR((VLOOKUP($A47,'SegEnds_NonXtal_BW#'!$A:$Z,26,FALSE)+VLOOKUP($A47,A:AL,37,FALSE)-50)),"-",(VLOOKUP($A47,'SegEnds_NonXtal_BW#'!$A:$Z,26,FALSE)+VLOOKUP($A47,A:AL,37,FALSE)-50))</f>
        <v>399</v>
      </c>
      <c r="AM47" s="28" t="str">
        <f>VLOOKUP(A47,Classification!A:B,2,FALSE)</f>
        <v>A</v>
      </c>
      <c r="AN47" s="28" t="b">
        <f>AND(IF(Y47="-",IF(AA47-W47&gt;3,TRUE,FALSE),TRUE),IF(M47="-",IF(O47-K47&gt;3,TRUE,FALSE),TRUE),C47&lt;E47,OR(E47&lt;F47,F47="-"),OR(F47&lt;H47,F47="-"),OR(H47&lt;I47,H47="-"),I47&lt;K47,OR(K47&lt;L47,L47="-"),OR(L47&lt;N47,L47="-"),OR(N47&lt;O47,N47="-"),O47&lt;Q47,OR(Q47&lt;R47,R47="-"),OR(R47&lt;T47,R47="-"),OR(T47&lt;U47,T47="-"),U47&lt;W47,OR(W47&lt;X47,X47="-"),OR(X47&lt;Z47,X47="-"),OR(Z47&lt;AA47,Z47="-"),AA47&lt;AC47,AC47&lt;AD47,AD47&lt;AF47,AF47&lt;AG47,AG47&lt;AI47,OR(AI47&lt;AJ47,AJ47="-"),OR(AJ47&lt;AL47,AJ47="-"))</f>
        <v>1</v>
      </c>
      <c r="AO47" s="3" t="str">
        <f>IF(ISERROR(MATCH(A47,'SegEnds_Xtal_Prot#'!B:B, 0)), "NoXtal", "Xtal")</f>
        <v>NoXtal</v>
      </c>
      <c r="AP47" s="3">
        <f>IF(ISERROR(F47-E47),"-",F47-E47)</f>
        <v>1</v>
      </c>
      <c r="AQ47" s="3">
        <f>IF(ISERROR(I47-H47),"-",I47-H47)</f>
        <v>1</v>
      </c>
      <c r="AR47" s="3">
        <f>IF(ISERROR(L47-K47),"-",L47-K47)</f>
        <v>3</v>
      </c>
      <c r="AS47" s="3">
        <f>IF(ISERROR(O47-N47),"-",O47-N47)</f>
        <v>1</v>
      </c>
      <c r="AT47" s="3">
        <f>IF(ISERROR(R47-Q47),"-",R47-Q47)</f>
        <v>1</v>
      </c>
      <c r="AU47" s="3">
        <f>IF(ISERROR(U47-T47),"-",U47-T47)</f>
        <v>1</v>
      </c>
      <c r="AV47" s="3">
        <f>IF(ISERROR(X47-W47),"-",X47-W47)</f>
        <v>11</v>
      </c>
      <c r="AW47" s="3">
        <f>IF(ISERROR(AA47-Z47),"-",AA47-Z47)</f>
        <v>3</v>
      </c>
      <c r="AX47" s="3">
        <f>IF(ISERROR(AD47-AC47),"-",AD47-AC47)</f>
        <v>39</v>
      </c>
      <c r="AY47" s="3">
        <f>IF(ISERROR(AG47-AF47),"-",AG47-AF47)</f>
        <v>6</v>
      </c>
      <c r="AZ47" s="3">
        <f>IF(ISERROR(AJ47-AI47),"-",AJ47-AI47)</f>
        <v>1</v>
      </c>
      <c r="BA47" s="3">
        <f>IF(ISERROR(LEN(VLOOKUP(A47,Seqs!A:E,2,FALSE))-AL47),"-",LEN(VLOOKUP(A47,Seqs!A:E,2,FALSE))-AL47)</f>
        <v>80</v>
      </c>
      <c r="BB47" s="16">
        <f>J47-D47</f>
        <v>28</v>
      </c>
      <c r="BC47" s="9">
        <f>IF(ISERROR(V47-S47),"-",V47-S47)</f>
        <v>20</v>
      </c>
      <c r="BD47" s="3">
        <f>J47-D47</f>
        <v>28</v>
      </c>
      <c r="BE47" s="3">
        <f>AE47-AB47</f>
        <v>91</v>
      </c>
    </row>
    <row r="48" spans="1:58" s="3" customFormat="1" x14ac:dyDescent="0.2">
      <c r="A48" s="3" t="s">
        <v>138</v>
      </c>
      <c r="B48" s="3" t="str">
        <f>LOWER(VLOOKUP(A48,Xtal_Templ!A:B,2,FALSE))</f>
        <v>aa1r_human</v>
      </c>
      <c r="C48" s="3">
        <f>VLOOKUP($A48,'SegEnds_NonXtal_BW#'!$A:$Z,3,FALSE)+D48-50</f>
        <v>6</v>
      </c>
      <c r="D48" s="3">
        <v>27</v>
      </c>
      <c r="E48" s="3">
        <f>IF(ISERROR(VLOOKUP($A48,'SegEnds_NonXtal_BW#'!$A:$Z,4,FALSE)+VLOOKUP($A48,A:AL,4,FALSE)-50),"-",(VLOOKUP($A48,'SegEnds_NonXtal_BW#'!$A:$Z,4,FALSE)+VLOOKUP($A48,A:AL,4,FALSE)-50))</f>
        <v>37</v>
      </c>
      <c r="F48" s="3">
        <f>G48-2</f>
        <v>38</v>
      </c>
      <c r="G48" s="3">
        <v>40</v>
      </c>
      <c r="H48" s="3">
        <f>G48+1</f>
        <v>41</v>
      </c>
      <c r="I48" s="3">
        <f>H48+1</f>
        <v>42</v>
      </c>
      <c r="J48" s="3">
        <v>55</v>
      </c>
      <c r="K48" s="3">
        <v>72</v>
      </c>
      <c r="L48" s="3">
        <f>M48</f>
        <v>73</v>
      </c>
      <c r="M48" s="3">
        <v>73</v>
      </c>
      <c r="N48" s="3">
        <f>M48+2</f>
        <v>75</v>
      </c>
      <c r="O48" s="3">
        <f>N48+1</f>
        <v>76</v>
      </c>
      <c r="P48" s="3">
        <v>105</v>
      </c>
      <c r="Q48" s="3">
        <f>VLOOKUP($A48,'SegEnds_NonXtal_BW#'!$A:$Z,12,FALSE)+VLOOKUP($A48,A:AL,16,FALSE)-50</f>
        <v>111</v>
      </c>
      <c r="R48" s="3">
        <f>IF(ISERROR(VLOOKUP($A48,'SegEnds_NonXtal_BW#'!$A:$Z,13,FALSE)+VLOOKUP($A48,A:AL,19,FALSE)-50),"-",VLOOKUP($A48,'SegEnds_NonXtal_BW#'!$A:$Z,13,FALSE)+VLOOKUP($A48,A:AL,19,FALSE)-50)</f>
        <v>112</v>
      </c>
      <c r="S48" s="3">
        <v>112</v>
      </c>
      <c r="T48" s="103">
        <f>IF(ISERROR(VLOOKUP($A48,'SegEnds_NonXtal_BW#'!$A:$Z,14,FALSE)+VLOOKUP($A48,A:AL,19,FALSE)-50),"-",(VLOOKUP($A48,'SegEnds_NonXtal_BW#'!$A:$Z,14,FALSE)+VLOOKUP($A48,A:AL,19,FALSE)-50))</f>
        <v>119</v>
      </c>
      <c r="U48" s="9">
        <f>IF(ISERROR(VLOOKUP($A48,'SegEnds_NonXtal_BW#'!$A:$Z,15,FALSE)+VLOOKUP($A48,A:AL,22,FALSE)-50),"-",VLOOKUP($A48,'SegEnds_NonXtal_BW#'!$A:$Z,15,FALSE)+VLOOKUP($A48,A:AL,22,FALSE)-50)</f>
        <v>120</v>
      </c>
      <c r="V48" s="3">
        <v>132</v>
      </c>
      <c r="W48" s="3">
        <f>IF(ISERROR(VLOOKUP($A48,'SegEnds_NonXtal_BW#'!$A:$Z,16,FALSE)+VLOOKUP($A48,A:AL,22,FALSE)-50),"-",(VLOOKUP($A48,'SegEnds_NonXtal_BW#'!$A:$Z,16,FALSE)+VLOOKUP($A48,A:AL,22,FALSE)-50))</f>
        <v>145</v>
      </c>
      <c r="X48" s="3">
        <f>IF(ISERROR(VLOOKUP($A48,'SegEnds_NonXtal_BW#'!$A:$Z,17,FALSE)+VLOOKUP($A48,A:AL,25,FALSE)-50),"-",(VLOOKUP($A48,'SegEnds_NonXtal_BW#'!$A:$Z,17,FALSE)+VLOOKUP($A48,A:AL,25,FALSE)-50))</f>
        <v>169</v>
      </c>
      <c r="Y48" s="3">
        <v>169</v>
      </c>
      <c r="Z48" s="3">
        <f>Y48+2</f>
        <v>171</v>
      </c>
      <c r="AA48" s="3">
        <f>IF(ISERROR(VLOOKUP($A48,'SegEnds_NonXtal_BW#'!$A:$Z,19,FALSE)+VLOOKUP($A48,A:AL,28,FALSE)-50),"-",(VLOOKUP($A48,'SegEnds_NonXtal_BW#'!$A:$Z,19,FALSE)+VLOOKUP($A48,A:AL,28,FALSE)-50))</f>
        <v>176</v>
      </c>
      <c r="AB48" s="3">
        <v>192</v>
      </c>
      <c r="AC48" s="3">
        <f>IF(ISERROR((VLOOKUP($A48,'SegEnds_NonXtal_BW#'!$A:$Z,20,FALSE)+VLOOKUP($A48,A:AL,28,FALSE)-50)),"-",(VLOOKUP($A48,'SegEnds_NonXtal_BW#'!$A:$Z,20,FALSE)+VLOOKUP($A48,A:AL,28,FALSE)-50))</f>
        <v>214</v>
      </c>
      <c r="AD48" s="3">
        <f>IF(ISERROR(VLOOKUP($A48,'SegEnds_NonXtal_BW#'!$A:$Z,21,FALSE)+VLOOKUP($A48,A:AL,31,FALSE)-50),"-",(VLOOKUP($A48,'SegEnds_NonXtal_BW#'!$A:$Z,21,FALSE)+VLOOKUP($A48,A:AL,31,FALSE)-50))</f>
        <v>223</v>
      </c>
      <c r="AE48" s="3">
        <v>249</v>
      </c>
      <c r="AF48" s="3">
        <f>IF(ISERROR((VLOOKUP($A48,'SegEnds_NonXtal_BW#'!$A:$Z,22,FALSE)+VLOOKUP($A48,A:AL,31,FALSE)-50)),"-",(VLOOKUP($A48,'SegEnds_NonXtal_BW#'!$A:$Z,22,FALSE)+VLOOKUP($A48,A:AL,31,FALSE)-50))</f>
        <v>260</v>
      </c>
      <c r="AG48" s="3">
        <f>IF(ISERROR(VLOOKUP($A48,'SegEnds_NonXtal_BW#'!$A:$Z,23,FALSE)+VLOOKUP($A48,A:AL,34,FALSE)-50),"-",(VLOOKUP($A48,'SegEnds_NonXtal_BW#'!$A:$Z,23,FALSE)+VLOOKUP($A48,A:AL,34,FALSE)-50))</f>
        <v>266</v>
      </c>
      <c r="AH48" s="3">
        <v>285</v>
      </c>
      <c r="AI48" s="3">
        <f>IF(ISERROR((VLOOKUP($A48,'SegEnds_NonXtal_BW#'!$A:$Z,24,FALSE)+VLOOKUP($A48,A:AL,34,FALSE)-50)),"-",(VLOOKUP($A48,'SegEnds_NonXtal_BW#'!$A:$Z,24,FALSE)+VLOOKUP($A48,A:AL,34,FALSE)-50))</f>
        <v>291</v>
      </c>
      <c r="AJ48" s="3">
        <f>IF(ISERROR(VLOOKUP($A48,'SegEnds_NonXtal_BW#'!$A:$Z,25,FALSE)+VLOOKUP($A48,A:AL,37,FALSE)-50),"-",(VLOOKUP($A48,'SegEnds_NonXtal_BW#'!$A:$Z,25,FALSE)+VLOOKUP($A48,A:AL,37,FALSE)-50))</f>
        <v>292</v>
      </c>
      <c r="AK48" s="3">
        <v>295</v>
      </c>
      <c r="AL48" s="3">
        <f>IF(ISERROR((VLOOKUP($A48,'SegEnds_NonXtal_BW#'!$A:$Z,26,FALSE)+VLOOKUP($A48,A:AL,37,FALSE)-50)),"-",(VLOOKUP($A48,'SegEnds_NonXtal_BW#'!$A:$Z,26,FALSE)+VLOOKUP($A48,A:AL,37,FALSE)-50))</f>
        <v>314</v>
      </c>
      <c r="AM48" s="28" t="str">
        <f>VLOOKUP(A48,Classification!A:B,2,FALSE)</f>
        <v>A</v>
      </c>
      <c r="AN48" s="28" t="b">
        <f>AND(IF(Y48="-",IF(AA48-W48&gt;3,TRUE,FALSE),TRUE),IF(M48="-",IF(O48-K48&gt;3,TRUE,FALSE),TRUE),C48&lt;E48,OR(E48&lt;F48,F48="-"),OR(F48&lt;H48,F48="-"),OR(H48&lt;I48,H48="-"),I48&lt;K48,OR(K48&lt;L48,L48="-"),OR(L48&lt;N48,L48="-"),OR(N48&lt;O48,N48="-"),O48&lt;Q48,OR(Q48&lt;R48,R48="-"),OR(R48&lt;T48,R48="-"),OR(T48&lt;U48,T48="-"),U48&lt;W48,OR(W48&lt;X48,X48="-"),OR(X48&lt;Z48,X48="-"),OR(Z48&lt;AA48,Z48="-"),AA48&lt;AC48,AC48&lt;AD48,AD48&lt;AF48,AF48&lt;AG48,AG48&lt;AI48,OR(AI48&lt;AJ48,AJ48="-"),OR(AJ48&lt;AL48,AJ48="-"))</f>
        <v>1</v>
      </c>
      <c r="AO48" s="3" t="str">
        <f>IF(ISERROR(MATCH(A48,'SegEnds_Xtal_Prot#'!B:B, 0)), "NoXtal", "Xtal")</f>
        <v>Xtal</v>
      </c>
      <c r="AP48" s="3">
        <f>IF(ISERROR(F48-E48),"-",F48-E48)</f>
        <v>1</v>
      </c>
      <c r="AQ48" s="3">
        <f>IF(ISERROR(I48-H48),"-",I48-H48)</f>
        <v>1</v>
      </c>
      <c r="AR48" s="3">
        <f>IF(ISERROR(L48-K48),"-",L48-K48)</f>
        <v>1</v>
      </c>
      <c r="AS48" s="3">
        <f>IF(ISERROR(O48-N48),"-",O48-N48)</f>
        <v>1</v>
      </c>
      <c r="AT48" s="3">
        <f>IF(ISERROR(R48-Q48),"-",R48-Q48)</f>
        <v>1</v>
      </c>
      <c r="AU48" s="3">
        <f>IF(ISERROR(U48-T48),"-",U48-T48)</f>
        <v>1</v>
      </c>
      <c r="AV48" s="3">
        <f>IF(ISERROR(X48-W48),"-",X48-W48)</f>
        <v>24</v>
      </c>
      <c r="AW48" s="3">
        <f>IF(ISERROR(AA48-Z48),"-",AA48-Z48)</f>
        <v>5</v>
      </c>
      <c r="AX48" s="3">
        <f>IF(ISERROR(AD48-AC48),"-",AD48-AC48)</f>
        <v>9</v>
      </c>
      <c r="AY48" s="3">
        <f>IF(ISERROR(AG48-AF48),"-",AG48-AF48)</f>
        <v>6</v>
      </c>
      <c r="AZ48" s="3">
        <f>IF(ISERROR(AJ48-AI48),"-",AJ48-AI48)</f>
        <v>1</v>
      </c>
      <c r="BA48" s="3">
        <f>IF(ISERROR(LEN(VLOOKUP(A48,Seqs!A:E,2,FALSE))-AL48),"-",LEN(VLOOKUP(A48,Seqs!A:E,2,FALSE))-AL48)</f>
        <v>12</v>
      </c>
      <c r="BB48" s="16">
        <f>J48-D48</f>
        <v>28</v>
      </c>
      <c r="BC48" s="9">
        <f>IF(ISERROR(V48-S48),"-",V48-S48)</f>
        <v>20</v>
      </c>
      <c r="BD48" s="3">
        <f>J48-D48</f>
        <v>28</v>
      </c>
      <c r="BE48" s="3">
        <f>AE48-AB48</f>
        <v>57</v>
      </c>
      <c r="BF48" s="3">
        <f>AH48-AE48</f>
        <v>36</v>
      </c>
    </row>
    <row r="49" spans="1:58" s="3" customFormat="1" x14ac:dyDescent="0.2">
      <c r="A49" s="3" t="s">
        <v>139</v>
      </c>
      <c r="B49" s="3" t="str">
        <f>LOWER(VLOOKUP(A49,Xtal_Templ!A:B,2,FALSE))</f>
        <v>aa2ar_human</v>
      </c>
      <c r="C49" s="3">
        <f>VLOOKUP($A49,'SegEnds_NonXtal_BW#'!$A:$Z,3,FALSE)+D49-50</f>
        <v>1</v>
      </c>
      <c r="D49" s="3">
        <v>24</v>
      </c>
      <c r="E49" s="3">
        <f>IF(ISERROR(VLOOKUP($A49,'SegEnds_NonXtal_BW#'!$A:$Z,4,FALSE)+VLOOKUP($A49,A:AL,4,FALSE)-50),"-",(VLOOKUP($A49,'SegEnds_NonXtal_BW#'!$A:$Z,4,FALSE)+VLOOKUP($A49,A:AL,4,FALSE)-50))</f>
        <v>34</v>
      </c>
      <c r="F49" s="3">
        <f>G49-2</f>
        <v>35</v>
      </c>
      <c r="G49" s="3">
        <v>37</v>
      </c>
      <c r="H49" s="3">
        <f>G49+1</f>
        <v>38</v>
      </c>
      <c r="I49" s="3">
        <f>H49+1</f>
        <v>39</v>
      </c>
      <c r="J49" s="3">
        <v>52</v>
      </c>
      <c r="K49" s="3">
        <v>69</v>
      </c>
      <c r="L49" s="3">
        <f>M49</f>
        <v>70</v>
      </c>
      <c r="M49" s="3">
        <v>70</v>
      </c>
      <c r="N49" s="3">
        <f>M49+2</f>
        <v>72</v>
      </c>
      <c r="O49" s="3">
        <f>N49+1</f>
        <v>73</v>
      </c>
      <c r="P49" s="3">
        <v>102</v>
      </c>
      <c r="Q49" s="3">
        <f>VLOOKUP($A49,'SegEnds_NonXtal_BW#'!$A:$Z,12,FALSE)+VLOOKUP($A49,A:AL,16,FALSE)-50</f>
        <v>108</v>
      </c>
      <c r="R49" s="3">
        <f>IF(ISERROR(VLOOKUP($A49,'SegEnds_NonXtal_BW#'!$A:$Z,13,FALSE)+VLOOKUP($A49,A:AL,19,FALSE)-50),"-",VLOOKUP($A49,'SegEnds_NonXtal_BW#'!$A:$Z,13,FALSE)+VLOOKUP($A49,A:AL,19,FALSE)-50)</f>
        <v>109</v>
      </c>
      <c r="S49" s="3">
        <v>109</v>
      </c>
      <c r="T49" s="103">
        <f>IF(ISERROR(VLOOKUP($A49,'SegEnds_NonXtal_BW#'!$A:$Z,14,FALSE)+VLOOKUP($A49,A:AL,19,FALSE)-50),"-",(VLOOKUP($A49,'SegEnds_NonXtal_BW#'!$A:$Z,14,FALSE)+VLOOKUP($A49,A:AL,19,FALSE)-50))</f>
        <v>116</v>
      </c>
      <c r="U49" s="9">
        <f>IF(ISERROR(VLOOKUP($A49,'SegEnds_NonXtal_BW#'!$A:$Z,15,FALSE)+VLOOKUP($A49,A:AL,22,FALSE)-50),"-",VLOOKUP($A49,'SegEnds_NonXtal_BW#'!$A:$Z,15,FALSE)+VLOOKUP($A49,A:AL,22,FALSE)-50)</f>
        <v>117</v>
      </c>
      <c r="V49" s="3">
        <v>129</v>
      </c>
      <c r="W49" s="3">
        <f>IF(ISERROR(VLOOKUP($A49,'SegEnds_NonXtal_BW#'!$A:$Z,16,FALSE)+VLOOKUP($A49,A:AL,22,FALSE)-50),"-",(VLOOKUP($A49,'SegEnds_NonXtal_BW#'!$A:$Z,16,FALSE)+VLOOKUP($A49,A:AL,22,FALSE)-50))</f>
        <v>142</v>
      </c>
      <c r="X49" s="3">
        <f>IF(ISERROR(VLOOKUP($A49,'SegEnds_NonXtal_BW#'!$A:$Z,17,FALSE)+VLOOKUP($A49,A:AL,25,FALSE)-50),"-",(VLOOKUP($A49,'SegEnds_NonXtal_BW#'!$A:$Z,17,FALSE)+VLOOKUP($A49,A:AL,25,FALSE)-50))</f>
        <v>166</v>
      </c>
      <c r="Y49" s="3">
        <v>166</v>
      </c>
      <c r="Z49" s="3">
        <f>Y49+2</f>
        <v>168</v>
      </c>
      <c r="AA49" s="3">
        <f>IF(ISERROR(VLOOKUP($A49,'SegEnds_NonXtal_BW#'!$A:$Z,19,FALSE)+VLOOKUP($A49,A:AL,28,FALSE)-50),"-",(VLOOKUP($A49,'SegEnds_NonXtal_BW#'!$A:$Z,19,FALSE)+VLOOKUP($A49,A:AL,28,FALSE)-50))</f>
        <v>173</v>
      </c>
      <c r="AB49" s="3">
        <v>189</v>
      </c>
      <c r="AC49" s="3">
        <f>IF(ISERROR((VLOOKUP($A49,'SegEnds_NonXtal_BW#'!$A:$Z,20,FALSE)+VLOOKUP($A49,A:AL,28,FALSE)-50)),"-",(VLOOKUP($A49,'SegEnds_NonXtal_BW#'!$A:$Z,20,FALSE)+VLOOKUP($A49,A:AL,28,FALSE)-50))</f>
        <v>213</v>
      </c>
      <c r="AD49" s="3">
        <f>IF(ISERROR(VLOOKUP($A49,'SegEnds_NonXtal_BW#'!$A:$Z,21,FALSE)+VLOOKUP($A49,A:AL,31,FALSE)-50),"-",(VLOOKUP($A49,'SegEnds_NonXtal_BW#'!$A:$Z,21,FALSE)+VLOOKUP($A49,A:AL,31,FALSE)-50))</f>
        <v>219</v>
      </c>
      <c r="AE49" s="3">
        <v>248</v>
      </c>
      <c r="AF49" s="3">
        <f>IF(ISERROR((VLOOKUP($A49,'SegEnds_NonXtal_BW#'!$A:$Z,22,FALSE)+VLOOKUP($A49,A:AL,31,FALSE)-50)),"-",(VLOOKUP($A49,'SegEnds_NonXtal_BW#'!$A:$Z,22,FALSE)+VLOOKUP($A49,A:AL,31,FALSE)-50))</f>
        <v>259</v>
      </c>
      <c r="AG49" s="3">
        <f>IF(ISERROR(VLOOKUP($A49,'SegEnds_NonXtal_BW#'!$A:$Z,23,FALSE)+VLOOKUP($A49,A:AL,34,FALSE)-50),"-",(VLOOKUP($A49,'SegEnds_NonXtal_BW#'!$A:$Z,23,FALSE)+VLOOKUP($A49,A:AL,34,FALSE)-50))</f>
        <v>266</v>
      </c>
      <c r="AH49" s="3">
        <v>285</v>
      </c>
      <c r="AI49" s="3">
        <f>IF(ISERROR((VLOOKUP($A49,'SegEnds_NonXtal_BW#'!$A:$Z,24,FALSE)+VLOOKUP($A49,A:AL,34,FALSE)-50)),"-",(VLOOKUP($A49,'SegEnds_NonXtal_BW#'!$A:$Z,24,FALSE)+VLOOKUP($A49,A:AL,34,FALSE)-50))</f>
        <v>291</v>
      </c>
      <c r="AJ49" s="3">
        <f>IF(ISERROR(VLOOKUP($A49,'SegEnds_NonXtal_BW#'!$A:$Z,25,FALSE)+VLOOKUP($A49,A:AL,37,FALSE)-50),"-",(VLOOKUP($A49,'SegEnds_NonXtal_BW#'!$A:$Z,25,FALSE)+VLOOKUP($A49,A:AL,37,FALSE)-50))</f>
        <v>292</v>
      </c>
      <c r="AK49" s="3">
        <v>295</v>
      </c>
      <c r="AL49" s="3">
        <f>IF(ISERROR((VLOOKUP($A49,'SegEnds_NonXtal_BW#'!$A:$Z,26,FALSE)+VLOOKUP($A49,A:AL,37,FALSE)-50)),"-",(VLOOKUP($A49,'SegEnds_NonXtal_BW#'!$A:$Z,26,FALSE)+VLOOKUP($A49,A:AL,37,FALSE)-50))</f>
        <v>314</v>
      </c>
      <c r="AM49" s="28" t="str">
        <f>VLOOKUP(A49,Classification!A:B,2,FALSE)</f>
        <v>A</v>
      </c>
      <c r="AN49" s="28" t="b">
        <f>AND(IF(Y49="-",IF(AA49-W49&gt;3,TRUE,FALSE),TRUE),IF(M49="-",IF(O49-K49&gt;3,TRUE,FALSE),TRUE),C49&lt;E49,OR(E49&lt;F49,F49="-"),OR(F49&lt;H49,F49="-"),OR(H49&lt;I49,H49="-"),I49&lt;K49,OR(K49&lt;L49,L49="-"),OR(L49&lt;N49,L49="-"),OR(N49&lt;O49,N49="-"),O49&lt;Q49,OR(Q49&lt;R49,R49="-"),OR(R49&lt;T49,R49="-"),OR(T49&lt;U49,T49="-"),U49&lt;W49,OR(W49&lt;X49,X49="-"),OR(X49&lt;Z49,X49="-"),OR(Z49&lt;AA49,Z49="-"),AA49&lt;AC49,AC49&lt;AD49,AD49&lt;AF49,AF49&lt;AG49,AG49&lt;AI49,OR(AI49&lt;AJ49,AJ49="-"),OR(AJ49&lt;AL49,AJ49="-"))</f>
        <v>1</v>
      </c>
      <c r="AO49" s="3" t="str">
        <f>IF(ISERROR(MATCH(A49,'SegEnds_Xtal_Prot#'!B:B, 0)), "NoXtal", "Xtal")</f>
        <v>Xtal</v>
      </c>
      <c r="AP49" s="3">
        <f>IF(ISERROR(F49-E49),"-",F49-E49)</f>
        <v>1</v>
      </c>
      <c r="AQ49" s="3">
        <f>IF(ISERROR(I49-H49),"-",I49-H49)</f>
        <v>1</v>
      </c>
      <c r="AR49" s="3">
        <f>IF(ISERROR(L49-K49),"-",L49-K49)</f>
        <v>1</v>
      </c>
      <c r="AS49" s="3">
        <f>IF(ISERROR(O49-N49),"-",O49-N49)</f>
        <v>1</v>
      </c>
      <c r="AT49" s="3">
        <f>IF(ISERROR(R49-Q49),"-",R49-Q49)</f>
        <v>1</v>
      </c>
      <c r="AU49" s="3">
        <f>IF(ISERROR(U49-T49),"-",U49-T49)</f>
        <v>1</v>
      </c>
      <c r="AV49" s="3">
        <f>IF(ISERROR(X49-W49),"-",X49-W49)</f>
        <v>24</v>
      </c>
      <c r="AW49" s="3">
        <f>IF(ISERROR(AA49-Z49),"-",AA49-Z49)</f>
        <v>5</v>
      </c>
      <c r="AX49" s="3">
        <f>IF(ISERROR(AD49-AC49),"-",AD49-AC49)</f>
        <v>6</v>
      </c>
      <c r="AY49" s="3">
        <f>IF(ISERROR(AG49-AF49),"-",AG49-AF49)</f>
        <v>7</v>
      </c>
      <c r="AZ49" s="3">
        <f>IF(ISERROR(AJ49-AI49),"-",AJ49-AI49)</f>
        <v>1</v>
      </c>
      <c r="BA49" s="3">
        <f>IF(ISERROR(LEN(VLOOKUP(A49,Seqs!A:E,2,FALSE))-AL49),"-",LEN(VLOOKUP(A49,Seqs!A:E,2,FALSE))-AL49)</f>
        <v>98</v>
      </c>
      <c r="BB49" s="16">
        <f>J49-D49</f>
        <v>28</v>
      </c>
      <c r="BC49" s="9">
        <f>IF(ISERROR(V49-S49),"-",V49-S49)</f>
        <v>20</v>
      </c>
      <c r="BD49" s="3">
        <f>J49-D49</f>
        <v>28</v>
      </c>
      <c r="BE49" s="3">
        <f>AE49-AB49</f>
        <v>59</v>
      </c>
    </row>
    <row r="50" spans="1:58" s="3" customFormat="1" x14ac:dyDescent="0.2">
      <c r="A50" s="3" t="s">
        <v>140</v>
      </c>
      <c r="B50" s="3" t="str">
        <f>LOWER(VLOOKUP(A50,Xtal_Templ!A:B,2,FALSE))</f>
        <v>aa2ar_human</v>
      </c>
      <c r="C50" s="3">
        <f>VLOOKUP($A50,'SegEnds_NonXtal_BW#'!$A:$Z,3,FALSE)+D50-50</f>
        <v>2</v>
      </c>
      <c r="D50" s="3">
        <v>25</v>
      </c>
      <c r="E50" s="3">
        <f>IF(ISERROR(VLOOKUP($A50,'SegEnds_NonXtal_BW#'!$A:$Z,4,FALSE)+VLOOKUP($A50,A:AL,4,FALSE)-50),"-",(VLOOKUP($A50,'SegEnds_NonXtal_BW#'!$A:$Z,4,FALSE)+VLOOKUP($A50,A:AL,4,FALSE)-50))</f>
        <v>35</v>
      </c>
      <c r="F50" s="3">
        <f>G50-2</f>
        <v>36</v>
      </c>
      <c r="G50" s="3">
        <v>38</v>
      </c>
      <c r="H50" s="3">
        <f>G50+1</f>
        <v>39</v>
      </c>
      <c r="I50" s="3">
        <f>H50+1</f>
        <v>40</v>
      </c>
      <c r="J50" s="3">
        <v>53</v>
      </c>
      <c r="K50" s="3">
        <v>70</v>
      </c>
      <c r="L50" s="3">
        <f>M50</f>
        <v>71</v>
      </c>
      <c r="M50" s="3">
        <v>71</v>
      </c>
      <c r="N50" s="3">
        <f>M50+2</f>
        <v>73</v>
      </c>
      <c r="O50" s="3">
        <f>N50+1</f>
        <v>74</v>
      </c>
      <c r="P50" s="3">
        <v>103</v>
      </c>
      <c r="Q50" s="3">
        <f>VLOOKUP($A50,'SegEnds_NonXtal_BW#'!$A:$Z,12,FALSE)+VLOOKUP($A50,A:AL,16,FALSE)-50</f>
        <v>109</v>
      </c>
      <c r="R50" s="3">
        <f>IF(ISERROR(VLOOKUP($A50,'SegEnds_NonXtal_BW#'!$A:$Z,13,FALSE)+VLOOKUP($A50,A:AL,19,FALSE)-50),"-",VLOOKUP($A50,'SegEnds_NonXtal_BW#'!$A:$Z,13,FALSE)+VLOOKUP($A50,A:AL,19,FALSE)-50)</f>
        <v>110</v>
      </c>
      <c r="S50" s="3">
        <v>110</v>
      </c>
      <c r="T50" s="103">
        <f>IF(ISERROR(VLOOKUP($A50,'SegEnds_NonXtal_BW#'!$A:$Z,14,FALSE)+VLOOKUP($A50,A:AL,19,FALSE)-50),"-",(VLOOKUP($A50,'SegEnds_NonXtal_BW#'!$A:$Z,14,FALSE)+VLOOKUP($A50,A:AL,19,FALSE)-50))</f>
        <v>117</v>
      </c>
      <c r="U50" s="9">
        <f>IF(ISERROR(VLOOKUP($A50,'SegEnds_NonXtal_BW#'!$A:$Z,15,FALSE)+VLOOKUP($A50,A:AL,22,FALSE)-50),"-",VLOOKUP($A50,'SegEnds_NonXtal_BW#'!$A:$Z,15,FALSE)+VLOOKUP($A50,A:AL,22,FALSE)-50)</f>
        <v>118</v>
      </c>
      <c r="V50" s="3">
        <v>130</v>
      </c>
      <c r="W50" s="3">
        <f>IF(ISERROR(VLOOKUP($A50,'SegEnds_NonXtal_BW#'!$A:$Z,16,FALSE)+VLOOKUP($A50,A:AL,22,FALSE)-50),"-",(VLOOKUP($A50,'SegEnds_NonXtal_BW#'!$A:$Z,16,FALSE)+VLOOKUP($A50,A:AL,22,FALSE)-50))</f>
        <v>143</v>
      </c>
      <c r="X50" s="3">
        <f>IF(ISERROR(VLOOKUP($A50,'SegEnds_NonXtal_BW#'!$A:$Z,17,FALSE)+VLOOKUP($A50,A:AL,25,FALSE)-50),"-",(VLOOKUP($A50,'SegEnds_NonXtal_BW#'!$A:$Z,17,FALSE)+VLOOKUP($A50,A:AL,25,FALSE)-50))</f>
        <v>171</v>
      </c>
      <c r="Y50" s="3">
        <v>171</v>
      </c>
      <c r="Z50" s="3">
        <f>Y50+2</f>
        <v>173</v>
      </c>
      <c r="AA50" s="3">
        <f>IF(ISERROR(VLOOKUP($A50,'SegEnds_NonXtal_BW#'!$A:$Z,19,FALSE)+VLOOKUP($A50,A:AL,28,FALSE)-50),"-",(VLOOKUP($A50,'SegEnds_NonXtal_BW#'!$A:$Z,19,FALSE)+VLOOKUP($A50,A:AL,28,FALSE)-50))</f>
        <v>178</v>
      </c>
      <c r="AB50" s="3">
        <v>194</v>
      </c>
      <c r="AC50" s="3">
        <f>IF(ISERROR((VLOOKUP($A50,'SegEnds_NonXtal_BW#'!$A:$Z,20,FALSE)+VLOOKUP($A50,A:AL,28,FALSE)-50)),"-",(VLOOKUP($A50,'SegEnds_NonXtal_BW#'!$A:$Z,20,FALSE)+VLOOKUP($A50,A:AL,28,FALSE)-50))</f>
        <v>217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265</v>
      </c>
      <c r="AH50" s="3">
        <v>287</v>
      </c>
      <c r="AI50" s="3">
        <f>IF(ISERROR((VLOOKUP($A50,'SegEnds_NonXtal_BW#'!$A:$Z,24,FALSE)+VLOOKUP($A50,A:AL,34,FALSE)-50)),"-",(VLOOKUP($A50,'SegEnds_NonXtal_BW#'!$A:$Z,24,FALSE)+VLOOKUP($A50,A:AL,34,FALSE)-50))</f>
        <v>293</v>
      </c>
      <c r="AJ50" s="3">
        <f>IF(ISERROR(VLOOKUP($A50,'SegEnds_NonXtal_BW#'!$A:$Z,25,FALSE)+VLOOKUP($A50,A:AL,37,FALSE)-50),"-",(VLOOKUP($A50,'SegEnds_NonXtal_BW#'!$A:$Z,25,FALSE)+VLOOKUP($A50,A:AL,37,FALSE)-50))</f>
        <v>294</v>
      </c>
      <c r="AK50" s="3">
        <v>297</v>
      </c>
      <c r="AL50" s="3">
        <f>IF(ISERROR((VLOOKUP($A50,'SegEnds_NonXtal_BW#'!$A:$Z,26,FALSE)+VLOOKUP($A50,A:AL,37,FALSE)-50)),"-",(VLOOKUP($A50,'SegEnds_NonXtal_BW#'!$A:$Z,26,FALSE)+VLOOKUP($A50,A:AL,37,FALSE)-50))</f>
        <v>316</v>
      </c>
      <c r="AM50" s="28" t="str">
        <f>VLOOKUP(A50,Classification!A:B,2,FALSE)</f>
        <v>A</v>
      </c>
      <c r="AN50" s="28" t="b">
        <f>AND(IF(Y50="-",IF(AA50-W50&gt;3,TRUE,FALSE),TRUE),IF(M50="-",IF(O50-K50&gt;3,TRUE,FALSE),TRUE),C50&lt;E50,OR(E50&lt;F50,F50="-"),OR(F50&lt;H50,F50="-"),OR(H50&lt;I50,H50="-"),I50&lt;K50,OR(K50&lt;L50,L50="-"),OR(L50&lt;N50,L50="-"),OR(N50&lt;O50,N50="-"),O50&lt;Q50,OR(Q50&lt;R50,R50="-"),OR(R50&lt;T50,R50="-"),OR(T50&lt;U50,T50="-"),U50&lt;W50,OR(W50&lt;X50,X50="-"),OR(X50&lt;Z50,X50="-"),OR(Z50&lt;AA50,Z50="-"),AA50&lt;AC50,AC50&lt;AD50,AD50&lt;AF50,AF50&lt;AG50,AG50&lt;AI50,OR(AI50&lt;AJ50,AJ50="-"),OR(AJ50&lt;AL50,AJ50="-"))</f>
        <v>1</v>
      </c>
      <c r="AO50" s="3" t="str">
        <f>IF(ISERROR(MATCH(A50,'SegEnds_Xtal_Prot#'!B:B, 0)), "NoXtal", "Xtal")</f>
        <v>NoXtal</v>
      </c>
      <c r="AP50" s="3">
        <f>IF(ISERROR(F50-E50),"-",F50-E50)</f>
        <v>1</v>
      </c>
      <c r="AQ50" s="3">
        <f>IF(ISERROR(I50-H50),"-",I50-H50)</f>
        <v>1</v>
      </c>
      <c r="AR50" s="3">
        <f>IF(ISERROR(L50-K50),"-",L50-K50)</f>
        <v>1</v>
      </c>
      <c r="AS50" s="3">
        <f>IF(ISERROR(O50-N50),"-",O50-N50)</f>
        <v>1</v>
      </c>
      <c r="AT50" s="3">
        <f>IF(ISERROR(R50-Q50),"-",R50-Q50)</f>
        <v>1</v>
      </c>
      <c r="AU50" s="3">
        <f>IF(ISERROR(U50-T50),"-",U50-T50)</f>
        <v>1</v>
      </c>
      <c r="AV50" s="3">
        <f>IF(ISERROR(X50-W50),"-",X50-W50)</f>
        <v>28</v>
      </c>
      <c r="AW50" s="3">
        <f>IF(ISERROR(AA50-Z50),"-",AA50-Z50)</f>
        <v>5</v>
      </c>
      <c r="AX50" s="3">
        <f>IF(ISERROR(AD50-AC50),"-",AD50-AC50)</f>
        <v>4</v>
      </c>
      <c r="AY50" s="3">
        <f>IF(ISERROR(AG50-AF50),"-",AG50-AF50)</f>
        <v>5</v>
      </c>
      <c r="AZ50" s="3">
        <f>IF(ISERROR(AJ50-AI50),"-",AJ50-AI50)</f>
        <v>1</v>
      </c>
      <c r="BA50" s="3">
        <f>IF(ISERROR(LEN(VLOOKUP(A50,Seqs!A:E,2,FALSE))-AL50),"-",LEN(VLOOKUP(A50,Seqs!A:E,2,FALSE))-AL50)</f>
        <v>16</v>
      </c>
      <c r="BB50" s="16">
        <f>J50-D50</f>
        <v>28</v>
      </c>
      <c r="BC50" s="9">
        <f>IF(ISERROR(V50-S50),"-",V50-S50)</f>
        <v>20</v>
      </c>
      <c r="BD50" s="3">
        <f>J50-D50</f>
        <v>28</v>
      </c>
      <c r="BE50" s="3">
        <f>AE50-AB50</f>
        <v>55</v>
      </c>
      <c r="BF50" s="3">
        <f>AH50-AE50</f>
        <v>38</v>
      </c>
    </row>
    <row r="51" spans="1:58" s="3" customFormat="1" x14ac:dyDescent="0.2">
      <c r="A51" s="3" t="s">
        <v>141</v>
      </c>
      <c r="B51" s="3" t="str">
        <f>LOWER(VLOOKUP(A51,Xtal_Templ!A:B,2,FALSE))</f>
        <v>aa1r_human</v>
      </c>
      <c r="C51" s="3">
        <f>VLOOKUP($A51,'SegEnds_NonXtal_BW#'!$A:$Z,3,FALSE)+D51-50</f>
        <v>9</v>
      </c>
      <c r="D51" s="3">
        <v>30</v>
      </c>
      <c r="E51" s="3">
        <f>IF(ISERROR(VLOOKUP($A51,'SegEnds_NonXtal_BW#'!$A:$Z,4,FALSE)+VLOOKUP($A51,A:AL,4,FALSE)-50),"-",(VLOOKUP($A51,'SegEnds_NonXtal_BW#'!$A:$Z,4,FALSE)+VLOOKUP($A51,A:AL,4,FALSE)-50))</f>
        <v>40</v>
      </c>
      <c r="F51" s="3">
        <f>G51-2</f>
        <v>41</v>
      </c>
      <c r="G51" s="3">
        <v>43</v>
      </c>
      <c r="H51" s="3">
        <f>G51+1</f>
        <v>44</v>
      </c>
      <c r="I51" s="3">
        <f>H51+1</f>
        <v>45</v>
      </c>
      <c r="J51" s="3">
        <v>58</v>
      </c>
      <c r="K51" s="3">
        <v>75</v>
      </c>
      <c r="L51" s="3">
        <f>M51</f>
        <v>76</v>
      </c>
      <c r="M51" s="3">
        <v>76</v>
      </c>
      <c r="N51" s="3">
        <f>M51+2</f>
        <v>78</v>
      </c>
      <c r="O51" s="3">
        <f>N51+1</f>
        <v>79</v>
      </c>
      <c r="P51" s="3">
        <v>108</v>
      </c>
      <c r="Q51" s="3">
        <f>VLOOKUP($A51,'SegEnds_NonXtal_BW#'!$A:$Z,12,FALSE)+VLOOKUP($A51,A:AL,16,FALSE)-50</f>
        <v>114</v>
      </c>
      <c r="R51" s="3">
        <f>IF(ISERROR(VLOOKUP($A51,'SegEnds_NonXtal_BW#'!$A:$Z,13,FALSE)+VLOOKUP($A51,A:AL,19,FALSE)-50),"-",VLOOKUP($A51,'SegEnds_NonXtal_BW#'!$A:$Z,13,FALSE)+VLOOKUP($A51,A:AL,19,FALSE)-50)</f>
        <v>115</v>
      </c>
      <c r="S51" s="3">
        <v>115</v>
      </c>
      <c r="T51" s="103">
        <f>IF(ISERROR(VLOOKUP($A51,'SegEnds_NonXtal_BW#'!$A:$Z,14,FALSE)+VLOOKUP($A51,A:AL,19,FALSE)-50),"-",(VLOOKUP($A51,'SegEnds_NonXtal_BW#'!$A:$Z,14,FALSE)+VLOOKUP($A51,A:AL,19,FALSE)-50))</f>
        <v>122</v>
      </c>
      <c r="U51" s="9">
        <f>IF(ISERROR(VLOOKUP($A51,'SegEnds_NonXtal_BW#'!$A:$Z,15,FALSE)+VLOOKUP($A51,A:AL,22,FALSE)-50),"-",VLOOKUP($A51,'SegEnds_NonXtal_BW#'!$A:$Z,15,FALSE)+VLOOKUP($A51,A:AL,22,FALSE)-50)</f>
        <v>123</v>
      </c>
      <c r="V51" s="3">
        <v>135</v>
      </c>
      <c r="W51" s="3">
        <f>IF(ISERROR(VLOOKUP($A51,'SegEnds_NonXtal_BW#'!$A:$Z,16,FALSE)+VLOOKUP($A51,A:AL,22,FALSE)-50),"-",(VLOOKUP($A51,'SegEnds_NonXtal_BW#'!$A:$Z,16,FALSE)+VLOOKUP($A51,A:AL,22,FALSE)-50))</f>
        <v>148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>Y51+2</f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212</v>
      </c>
      <c r="AD51" s="3">
        <f>IF(ISERROR(VLOOKUP($A51,'SegEnds_NonXtal_BW#'!$A:$Z,21,FALSE)+VLOOKUP($A51,A:AL,31,FALSE)-50),"-",(VLOOKUP($A51,'SegEnds_NonXtal_BW#'!$A:$Z,21,FALSE)+VLOOKUP($A51,A:AL,31,FALSE)-50))</f>
        <v>217</v>
      </c>
      <c r="AE51" s="3">
        <v>245</v>
      </c>
      <c r="AF51" s="3">
        <f>IF(ISERROR((VLOOKUP($A51,'SegEnds_NonXtal_BW#'!$A:$Z,22,FALSE)+VLOOKUP($A51,A:AL,31,FALSE)-50)),"-",(VLOOKUP($A51,'SegEnds_NonXtal_BW#'!$A:$Z,22,FALSE)+VLOOKUP($A51,A:AL,31,FALSE)-50))</f>
        <v>256</v>
      </c>
      <c r="AG51" s="3">
        <f>IF(ISERROR(VLOOKUP($A51,'SegEnds_NonXtal_BW#'!$A:$Z,23,FALSE)+VLOOKUP($A51,A:AL,34,FALSE)-50),"-",(VLOOKUP($A51,'SegEnds_NonXtal_BW#'!$A:$Z,23,FALSE)+VLOOKUP($A51,A:AL,34,FALSE)-50))</f>
        <v>261</v>
      </c>
      <c r="AH51" s="3">
        <v>279</v>
      </c>
      <c r="AI51" s="3">
        <f>IF(ISERROR((VLOOKUP($A51,'SegEnds_NonXtal_BW#'!$A:$Z,24,FALSE)+VLOOKUP($A51,A:AL,34,FALSE)-50)),"-",(VLOOKUP($A51,'SegEnds_NonXtal_BW#'!$A:$Z,24,FALSE)+VLOOKUP($A51,A:AL,34,FALSE)-50))</f>
        <v>285</v>
      </c>
      <c r="AJ51" s="3">
        <f>IF(ISERROR(VLOOKUP($A51,'SegEnds_NonXtal_BW#'!$A:$Z,25,FALSE)+VLOOKUP($A51,A:AL,37,FALSE)-50),"-",(VLOOKUP($A51,'SegEnds_NonXtal_BW#'!$A:$Z,25,FALSE)+VLOOKUP($A51,A:AL,37,FALSE)-50))</f>
        <v>286</v>
      </c>
      <c r="AK51" s="3">
        <v>289</v>
      </c>
      <c r="AL51" s="3">
        <f>IF(ISERROR((VLOOKUP($A51,'SegEnds_NonXtal_BW#'!$A:$Z,26,FALSE)+VLOOKUP($A51,A:AL,37,FALSE)-50)),"-",(VLOOKUP($A51,'SegEnds_NonXtal_BW#'!$A:$Z,26,FALSE)+VLOOKUP($A51,A:AL,37,FALSE)-50))</f>
        <v>308</v>
      </c>
      <c r="AM51" s="28" t="str">
        <f>VLOOKUP(A51,Classification!A:B,2,FALSE)</f>
        <v>A</v>
      </c>
      <c r="AN51" s="28" t="b">
        <f>AND(IF(Y51="-",IF(AA51-W51&gt;3,TRUE,FALSE),TRUE),IF(M51="-",IF(O51-K51&gt;3,TRUE,FALSE),TRUE),C51&lt;E51,OR(E51&lt;F51,F51="-"),OR(F51&lt;H51,F51="-"),OR(H51&lt;I51,H51="-"),I51&lt;K51,OR(K51&lt;L51,L51="-"),OR(L51&lt;N51,L51="-"),OR(N51&lt;O51,N51="-"),O51&lt;Q51,OR(Q51&lt;R51,R51="-"),OR(R51&lt;T51,R51="-"),OR(T51&lt;U51,T51="-"),U51&lt;W51,OR(W51&lt;X51,X51="-"),OR(X51&lt;Z51,X51="-"),OR(Z51&lt;AA51,Z51="-"),AA51&lt;AC51,AC51&lt;AD51,AD51&lt;AF51,AF51&lt;AG51,AG51&lt;AI51,OR(AI51&lt;AJ51,AJ51="-"),OR(AJ51&lt;AL51,AJ51="-"))</f>
        <v>1</v>
      </c>
      <c r="AO51" s="3" t="str">
        <f>IF(ISERROR(MATCH(A51,'SegEnds_Xtal_Prot#'!B:B, 0)), "NoXtal", "Xtal")</f>
        <v>NoXtal</v>
      </c>
      <c r="AP51" s="3">
        <f>IF(ISERROR(F51-E51),"-",F51-E51)</f>
        <v>1</v>
      </c>
      <c r="AQ51" s="3">
        <f>IF(ISERROR(I51-H51),"-",I51-H51)</f>
        <v>1</v>
      </c>
      <c r="AR51" s="3">
        <f>IF(ISERROR(L51-K51),"-",L51-K51)</f>
        <v>1</v>
      </c>
      <c r="AS51" s="3">
        <f>IF(ISERROR(O51-N51),"-",O51-N51)</f>
        <v>1</v>
      </c>
      <c r="AT51" s="3">
        <f>IF(ISERROR(R51-Q51),"-",R51-Q51)</f>
        <v>1</v>
      </c>
      <c r="AU51" s="3">
        <f>IF(ISERROR(U51-T51),"-",U51-T51)</f>
        <v>1</v>
      </c>
      <c r="AV51" s="3">
        <f>IF(ISERROR(X51-W51),"-",X51-W51)</f>
        <v>18</v>
      </c>
      <c r="AW51" s="3">
        <f>IF(ISERROR(AA51-Z51),"-",AA51-Z51)</f>
        <v>5</v>
      </c>
      <c r="AX51" s="3">
        <f>IF(ISERROR(AD51-AC51),"-",AD51-AC51)</f>
        <v>5</v>
      </c>
      <c r="AY51" s="3">
        <f>IF(ISERROR(AG51-AF51),"-",AG51-AF51)</f>
        <v>5</v>
      </c>
      <c r="AZ51" s="3">
        <f>IF(ISERROR(AJ51-AI51),"-",AJ51-AI51)</f>
        <v>1</v>
      </c>
      <c r="BA51" s="3">
        <f>IF(ISERROR(LEN(VLOOKUP(A51,Seqs!A:E,2,FALSE))-AL51),"-",LEN(VLOOKUP(A51,Seqs!A:E,2,FALSE))-AL51)</f>
        <v>10</v>
      </c>
      <c r="BB51" s="16">
        <f>J51-D51</f>
        <v>28</v>
      </c>
      <c r="BC51" s="9">
        <f>IF(ISERROR(V51-S51),"-",V51-S51)</f>
        <v>20</v>
      </c>
      <c r="BD51" s="3">
        <f>J51-D51</f>
        <v>28</v>
      </c>
      <c r="BE51" s="3">
        <f>AE51-AB51</f>
        <v>56</v>
      </c>
      <c r="BF51" s="3">
        <f>AH51-AE51</f>
        <v>34</v>
      </c>
    </row>
    <row r="52" spans="1:58" s="3" customFormat="1" x14ac:dyDescent="0.2">
      <c r="A52" s="3" t="s">
        <v>143</v>
      </c>
      <c r="B52" s="3" t="str">
        <f>LOWER(VLOOKUP(A52,Xtal_Templ!A:B,2,FALSE))</f>
        <v>ccr5_human</v>
      </c>
      <c r="C52" s="3">
        <f>VLOOKUP($A52,'SegEnds_NonXtal_BW#'!$A:$Z,3,FALSE)+D52-50</f>
        <v>38</v>
      </c>
      <c r="D52" s="3">
        <v>64</v>
      </c>
      <c r="E52" s="3">
        <f>IF(ISERROR(VLOOKUP($A52,'SegEnds_NonXtal_BW#'!$A:$Z,4,FALSE)+VLOOKUP($A52,A:AL,4,FALSE)-50),"-",(VLOOKUP($A52,'SegEnds_NonXtal_BW#'!$A:$Z,4,FALSE)+VLOOKUP($A52,A:AL,4,FALSE)-50))</f>
        <v>74</v>
      </c>
      <c r="F52" s="3">
        <f>G52-2</f>
        <v>75</v>
      </c>
      <c r="G52" s="3">
        <v>77</v>
      </c>
      <c r="H52" s="3">
        <f>G52+1</f>
        <v>78</v>
      </c>
      <c r="I52" s="3">
        <f>H52+1</f>
        <v>79</v>
      </c>
      <c r="J52" s="3">
        <v>92</v>
      </c>
      <c r="K52" s="3">
        <f>VLOOKUP($A52,'SegEnds_NonXtal_BW#'!$A:$Z,8,FALSE)+VLOOKUP($A52,A:AL,10,FALSE)-50</f>
        <v>108</v>
      </c>
      <c r="L52" s="3">
        <f>IF(ISERROR(VLOOKUP($A52,'SegEnds_NonXtal_BW#'!$A:$Z,9,FALSE)+VLOOKUP($A52,A:AL,13,FALSE)-50),"-",(VLOOKUP($A52,'SegEnds_NonXtal_BW#'!$A:$Z,9,FALSE)+VLOOKUP($A52,A:AL,13,FALSE)-50))</f>
        <v>109</v>
      </c>
      <c r="M52" s="3">
        <v>110</v>
      </c>
      <c r="N52" s="3">
        <f>IF(ISERROR(VLOOKUP($A52,'SegEnds_NonXtal_BW#'!$A:$Z,10,FALSE)+VLOOKUP($A52,A:AL,13,FALSE)-50),"-",(VLOOKUP($A52,'SegEnds_NonXtal_BW#'!$A:$Z,10,FALSE)+VLOOKUP($A52,A:AL,13,FALSE)-50))</f>
        <v>112</v>
      </c>
      <c r="O52" s="3">
        <f>VLOOKUP($A52,'SegEnds_NonXtal_BW#'!$A:$Z,11,FALSE)+VLOOKUP($A52,A:AL,16,FALSE)-50</f>
        <v>113</v>
      </c>
      <c r="P52" s="3">
        <v>142</v>
      </c>
      <c r="Q52" s="3">
        <f>VLOOKUP($A52,'SegEnds_NonXtal_BW#'!$A:$Z,12,FALSE)+VLOOKUP($A52,A:AL,16,FALSE)-50</f>
        <v>148</v>
      </c>
      <c r="R52" s="3">
        <f>IF(ISERROR(VLOOKUP($A52,'SegEnds_NonXtal_BW#'!$A:$Z,13,FALSE)+VLOOKUP($A52,A:AL,19,FALSE)-50),"-",VLOOKUP($A52,'SegEnds_NonXtal_BW#'!$A:$Z,13,FALSE)+VLOOKUP($A52,A:AL,19,FALSE)-50)</f>
        <v>149</v>
      </c>
      <c r="S52" s="3">
        <v>149</v>
      </c>
      <c r="T52" s="103">
        <f>IF(ISERROR(VLOOKUP($A52,'SegEnds_NonXtal_BW#'!$A:$Z,14,FALSE)+VLOOKUP($A52,A:AL,19,FALSE)-50),"-",(VLOOKUP($A52,'SegEnds_NonXtal_BW#'!$A:$Z,14,FALSE)+VLOOKUP($A52,A:AL,19,FALSE)-50))</f>
        <v>156</v>
      </c>
      <c r="U52" s="9">
        <f>IF(ISERROR(VLOOKUP($A52,'SegEnds_NonXtal_BW#'!$A:$Z,15,FALSE)+VLOOKUP($A52,A:AL,22,FALSE)-50),"-",VLOOKUP($A52,'SegEnds_NonXtal_BW#'!$A:$Z,15,FALSE)+VLOOKUP($A52,A:AL,22,FALSE)-50)</f>
        <v>157</v>
      </c>
      <c r="V52" s="3">
        <v>169</v>
      </c>
      <c r="W52" s="3">
        <f>IF(ISERROR(VLOOKUP($A52,'SegEnds_NonXtal_BW#'!$A:$Z,16,FALSE)+VLOOKUP($A52,A:AL,22,FALSE)-50),"-",(VLOOKUP($A52,'SegEnds_NonXtal_BW#'!$A:$Z,16,FALSE)+VLOOKUP($A52,A:AL,22,FALSE)-50))</f>
        <v>183</v>
      </c>
      <c r="X52" s="3">
        <f>IF(ISERROR(VLOOKUP($A52,'SegEnds_NonXtal_BW#'!$A:$Z,17,FALSE)+VLOOKUP($A52,A:AL,25,FALSE)-50),"-",(VLOOKUP($A52,'SegEnds_NonXtal_BW#'!$A:$Z,17,FALSE)+VLOOKUP($A52,A:AL,25,FALSE)-50))</f>
        <v>195</v>
      </c>
      <c r="Y52" s="3">
        <v>195</v>
      </c>
      <c r="Z52" s="3">
        <f>Y52+2</f>
        <v>197</v>
      </c>
      <c r="AA52" s="3">
        <f>IF(ISERROR(VLOOKUP($A52,'SegEnds_NonXtal_BW#'!$A:$Z,19,FALSE)+VLOOKUP($A52,A:AL,28,FALSE)-50),"-",(VLOOKUP($A52,'SegEnds_NonXtal_BW#'!$A:$Z,19,FALSE)+VLOOKUP($A52,A:AL,28,FALSE)-50))</f>
        <v>202</v>
      </c>
      <c r="AB52" s="3">
        <v>222</v>
      </c>
      <c r="AC52" s="3">
        <f>IF(ISERROR((VLOOKUP($A52,'SegEnds_NonXtal_BW#'!$A:$Z,20,FALSE)+VLOOKUP($A52,A:AL,28,FALSE)-50)),"-",(VLOOKUP($A52,'SegEnds_NonXtal_BW#'!$A:$Z,20,FALSE)+VLOOKUP($A52,A:AL,28,FALSE)-50))</f>
        <v>240</v>
      </c>
      <c r="AD52" s="3">
        <f>IF(ISERROR(VLOOKUP($A52,'SegEnds_NonXtal_BW#'!$A:$Z,21,FALSE)+VLOOKUP($A52,A:AL,31,FALSE)-50),"-",(VLOOKUP($A52,'SegEnds_NonXtal_BW#'!$A:$Z,21,FALSE)+VLOOKUP($A52,A:AL,31,FALSE)-50))</f>
        <v>245</v>
      </c>
      <c r="AE52" s="3">
        <v>265</v>
      </c>
      <c r="AF52" s="3">
        <f>IF(ISERROR((VLOOKUP($A52,'SegEnds_NonXtal_BW#'!$A:$Z,22,FALSE)+VLOOKUP($A52,A:AL,31,FALSE)-50)),"-",(VLOOKUP($A52,'SegEnds_NonXtal_BW#'!$A:$Z,22,FALSE)+VLOOKUP($A52,A:AL,31,FALSE)-50))</f>
        <v>279</v>
      </c>
      <c r="AG52" s="3">
        <f>IF(ISERROR(VLOOKUP($A52,'SegEnds_NonXtal_BW#'!$A:$Z,23,FALSE)+VLOOKUP($A52,A:AL,34,FALSE)-50),"-",(VLOOKUP($A52,'SegEnds_NonXtal_BW#'!$A:$Z,23,FALSE)+VLOOKUP($A52,A:AL,34,FALSE)-50))</f>
        <v>283</v>
      </c>
      <c r="AH52" s="3">
        <v>309</v>
      </c>
      <c r="AI52" s="3">
        <f>IF(ISERROR((VLOOKUP($A52,'SegEnds_NonXtal_BW#'!$A:$Z,24,FALSE)+VLOOKUP($A52,A:AL,34,FALSE)-50)),"-",(VLOOKUP($A52,'SegEnds_NonXtal_BW#'!$A:$Z,24,FALSE)+VLOOKUP($A52,A:AL,34,FALSE)-50))</f>
        <v>315</v>
      </c>
      <c r="AJ52" s="3">
        <f>IF(ISERROR(VLOOKUP($A52,'SegEnds_NonXtal_BW#'!$A:$Z,25,FALSE)+VLOOKUP($A52,A:AL,37,FALSE)-50),"-",(VLOOKUP($A52,'SegEnds_NonXtal_BW#'!$A:$Z,25,FALSE)+VLOOKUP($A52,A:AL,37,FALSE)-50))</f>
        <v>316</v>
      </c>
      <c r="AK52" s="3">
        <v>319</v>
      </c>
      <c r="AL52" s="3">
        <f>IF(ISERROR((VLOOKUP($A52,'SegEnds_NonXtal_BW#'!$A:$Z,26,FALSE)+VLOOKUP($A52,A:AL,37,FALSE)-50)),"-",(VLOOKUP($A52,'SegEnds_NonXtal_BW#'!$A:$Z,26,FALSE)+VLOOKUP($A52,A:AL,37,FALSE)-50))</f>
        <v>328</v>
      </c>
      <c r="AM52" s="28" t="str">
        <f>VLOOKUP(A52,Classification!A:B,2,FALSE)</f>
        <v>A</v>
      </c>
      <c r="AN52" s="28" t="b">
        <f>AND(IF(Y52="-",IF(AA52-W52&gt;3,TRUE,FALSE),TRUE),IF(M52="-",IF(O52-K52&gt;3,TRUE,FALSE),TRUE),C52&lt;E52,OR(E52&lt;F52,F52="-"),OR(F52&lt;H52,F52="-"),OR(H52&lt;I52,H52="-"),I52&lt;K52,OR(K52&lt;L52,L52="-"),OR(L52&lt;N52,L52="-"),OR(N52&lt;O52,N52="-"),O52&lt;Q52,OR(Q52&lt;R52,R52="-"),OR(R52&lt;T52,R52="-"),OR(T52&lt;U52,T52="-"),U52&lt;W52,OR(W52&lt;X52,X52="-"),OR(X52&lt;Z52,X52="-"),OR(Z52&lt;AA52,Z52="-"),AA52&lt;AC52,AC52&lt;AD52,AD52&lt;AF52,AF52&lt;AG52,AG52&lt;AI52,OR(AI52&lt;AJ52,AJ52="-"),OR(AJ52&lt;AL52,AJ52="-"))</f>
        <v>1</v>
      </c>
      <c r="AO52" s="3" t="str">
        <f>IF(ISERROR(MATCH(A52,'SegEnds_Xtal_Prot#'!B:B, 0)), "NoXtal", "Xtal")</f>
        <v>NoXtal</v>
      </c>
      <c r="AP52" s="3">
        <f>IF(ISERROR(F52-E52),"-",F52-E52)</f>
        <v>1</v>
      </c>
      <c r="AQ52" s="3">
        <f>IF(ISERROR(I52-H52),"-",I52-H52)</f>
        <v>1</v>
      </c>
      <c r="AR52" s="3">
        <f>IF(ISERROR(L52-K52),"-",L52-K52)</f>
        <v>1</v>
      </c>
      <c r="AS52" s="3">
        <f>IF(ISERROR(O52-N52),"-",O52-N52)</f>
        <v>1</v>
      </c>
      <c r="AT52" s="3">
        <f>IF(ISERROR(R52-Q52),"-",R52-Q52)</f>
        <v>1</v>
      </c>
      <c r="AU52" s="3">
        <f>IF(ISERROR(U52-T52),"-",U52-T52)</f>
        <v>1</v>
      </c>
      <c r="AV52" s="3">
        <f>IF(ISERROR(X52-W52),"-",X52-W52)</f>
        <v>12</v>
      </c>
      <c r="AW52" s="3">
        <f>IF(ISERROR(AA52-Z52),"-",AA52-Z52)</f>
        <v>5</v>
      </c>
      <c r="AX52" s="3">
        <f>IF(ISERROR(AD52-AC52),"-",AD52-AC52)</f>
        <v>5</v>
      </c>
      <c r="AY52" s="3">
        <f>IF(ISERROR(AG52-AF52),"-",AG52-AF52)</f>
        <v>4</v>
      </c>
      <c r="AZ52" s="3">
        <f>IF(ISERROR(AJ52-AI52),"-",AJ52-AI52)</f>
        <v>1</v>
      </c>
      <c r="BA52" s="3">
        <f>IF(ISERROR(LEN(VLOOKUP(A52,Seqs!A:E,2,FALSE))-AL52),"-",LEN(VLOOKUP(A52,Seqs!A:E,2,FALSE))-AL52)</f>
        <v>56</v>
      </c>
      <c r="BB52" s="16">
        <f>J52-D52</f>
        <v>28</v>
      </c>
      <c r="BC52" s="9">
        <f>IF(ISERROR(V52-S52),"-",V52-S52)</f>
        <v>20</v>
      </c>
      <c r="BD52" s="3">
        <f>J52-D52</f>
        <v>28</v>
      </c>
      <c r="BE52" s="3">
        <f>AE52-AB52</f>
        <v>43</v>
      </c>
    </row>
    <row r="53" spans="1:58" s="3" customFormat="1" x14ac:dyDescent="0.2">
      <c r="A53" s="3" t="s">
        <v>146</v>
      </c>
      <c r="B53" s="3" t="str">
        <f>LOWER(VLOOKUP(A53,Xtal_Templ!A:B,2,FALSE))</f>
        <v>acm1_human</v>
      </c>
      <c r="C53" s="3">
        <f>VLOOKUP($A53,'SegEnds_NonXtal_BW#'!$A:$Z,3,FALSE)+D53-50</f>
        <v>22</v>
      </c>
      <c r="D53" s="3">
        <v>43</v>
      </c>
      <c r="E53" s="3">
        <f>IF(ISERROR(VLOOKUP($A53,'SegEnds_NonXtal_BW#'!$A:$Z,4,FALSE)+VLOOKUP($A53,A:AL,4,FALSE)-50),"-",(VLOOKUP($A53,'SegEnds_NonXtal_BW#'!$A:$Z,4,FALSE)+VLOOKUP($A53,A:AL,4,FALSE)-50))</f>
        <v>53</v>
      </c>
      <c r="F53" s="3">
        <f>G53-2</f>
        <v>54</v>
      </c>
      <c r="G53" s="3">
        <v>56</v>
      </c>
      <c r="H53" s="3">
        <f>G53+1</f>
        <v>57</v>
      </c>
      <c r="I53" s="3">
        <f>H53+1</f>
        <v>58</v>
      </c>
      <c r="J53" s="3">
        <v>71</v>
      </c>
      <c r="K53" s="3">
        <f>VLOOKUP($A53,'SegEnds_NonXtal_BW#'!$A:$Z,8,FALSE)+VLOOKUP($A53,A:AL,10,FALSE)-50</f>
        <v>88</v>
      </c>
      <c r="L53" s="3">
        <f>M53-1</f>
        <v>90</v>
      </c>
      <c r="M53" s="3">
        <v>91</v>
      </c>
      <c r="N53" s="3">
        <f>M53+2</f>
        <v>93</v>
      </c>
      <c r="O53" s="3">
        <f>N53+1</f>
        <v>94</v>
      </c>
      <c r="P53" s="3">
        <v>123</v>
      </c>
      <c r="Q53" s="3">
        <f>VLOOKUP($A53,'SegEnds_NonXtal_BW#'!$A:$Z,12,FALSE)+VLOOKUP($A53,A:AL,16,FALSE)-50</f>
        <v>129</v>
      </c>
      <c r="R53" s="3">
        <f>IF(ISERROR(VLOOKUP($A53,'SegEnds_NonXtal_BW#'!$A:$Z,13,FALSE)+VLOOKUP($A53,A:AL,19,FALSE)-50),"-",VLOOKUP($A53,'SegEnds_NonXtal_BW#'!$A:$Z,13,FALSE)+VLOOKUP($A53,A:AL,19,FALSE)-50)</f>
        <v>130</v>
      </c>
      <c r="S53" s="3">
        <v>130</v>
      </c>
      <c r="T53" s="103">
        <f>IF(ISERROR(VLOOKUP($A53,'SegEnds_NonXtal_BW#'!$A:$Z,14,FALSE)+VLOOKUP($A53,A:AL,19,FALSE)-50),"-",(VLOOKUP($A53,'SegEnds_NonXtal_BW#'!$A:$Z,14,FALSE)+VLOOKUP($A53,A:AL,19,FALSE)-50))</f>
        <v>137</v>
      </c>
      <c r="U53" s="9">
        <f>IF(ISERROR(VLOOKUP($A53,'SegEnds_NonXtal_BW#'!$A:$Z,15,FALSE)+VLOOKUP($A53,A:AL,22,FALSE)-50),"-",VLOOKUP($A53,'SegEnds_NonXtal_BW#'!$A:$Z,15,FALSE)+VLOOKUP($A53,A:AL,22,FALSE)-50)</f>
        <v>138</v>
      </c>
      <c r="V53" s="3">
        <v>150</v>
      </c>
      <c r="W53" s="3">
        <f>IF(ISERROR(VLOOKUP($A53,'SegEnds_NonXtal_BW#'!$A:$Z,16,FALSE)+VLOOKUP($A53,A:AL,22,FALSE)-50),"-",(VLOOKUP($A53,'SegEnds_NonXtal_BW#'!$A:$Z,16,FALSE)+VLOOKUP($A53,A:AL,22,FALSE)-50))</f>
        <v>169</v>
      </c>
      <c r="X53" s="3">
        <f>IF(ISERROR(VLOOKUP($A53,'SegEnds_NonXtal_BW#'!$A:$Z,17,FALSE)+VLOOKUP($A53,A:AL,25,FALSE)-50),"-",(VLOOKUP($A53,'SegEnds_NonXtal_BW#'!$A:$Z,17,FALSE)+VLOOKUP($A53,A:AL,25,FALSE)-50))</f>
        <v>178</v>
      </c>
      <c r="Y53" s="3">
        <v>178</v>
      </c>
      <c r="Z53" s="3">
        <f>Y53+2</f>
        <v>180</v>
      </c>
      <c r="AA53" s="3">
        <f>IF(ISERROR(VLOOKUP($A53,'SegEnds_NonXtal_BW#'!$A:$Z,19,FALSE)+VLOOKUP($A53,A:AL,28,FALSE)-50),"-",(VLOOKUP($A53,'SegEnds_NonXtal_BW#'!$A:$Z,19,FALSE)+VLOOKUP($A53,A:AL,28,FALSE)-50))</f>
        <v>185</v>
      </c>
      <c r="AB53" s="3">
        <v>200</v>
      </c>
      <c r="AC53" s="3">
        <f>IF(ISERROR((VLOOKUP($A53,'SegEnds_NonXtal_BW#'!$A:$Z,20,FALSE)+VLOOKUP($A53,A:AL,28,FALSE)-50)),"-",(VLOOKUP($A53,'SegEnds_NonXtal_BW#'!$A:$Z,20,FALSE)+VLOOKUP($A53,A:AL,28,FALSE)-50))</f>
        <v>225</v>
      </c>
      <c r="AD53" s="3">
        <f>IF(ISERROR(VLOOKUP($A53,'SegEnds_NonXtal_BW#'!$A:$Z,21,FALSE)+VLOOKUP($A53,A:AL,31,FALSE)-50),"-",(VLOOKUP($A53,'SegEnds_NonXtal_BW#'!$A:$Z,21,FALSE)+VLOOKUP($A53,A:AL,31,FALSE)-50))</f>
        <v>354</v>
      </c>
      <c r="AE53" s="3">
        <v>380</v>
      </c>
      <c r="AF53" s="3">
        <f>IF(ISERROR((VLOOKUP($A53,'SegEnds_NonXtal_BW#'!$A:$Z,22,FALSE)+VLOOKUP($A53,A:AL,31,FALSE)-50)),"-",(VLOOKUP($A53,'SegEnds_NonXtal_BW#'!$A:$Z,22,FALSE)+VLOOKUP($A53,A:AL,31,FALSE)-50))</f>
        <v>391</v>
      </c>
      <c r="AG53" s="3">
        <f>IF(ISERROR(VLOOKUP($A53,'SegEnds_NonXtal_BW#'!$A:$Z,23,FALSE)+VLOOKUP($A53,A:AL,34,FALSE)-50),"-",(VLOOKUP($A53,'SegEnds_NonXtal_BW#'!$A:$Z,23,FALSE)+VLOOKUP($A53,A:AL,34,FALSE)-50))</f>
        <v>396</v>
      </c>
      <c r="AH53" s="3">
        <v>415</v>
      </c>
      <c r="AI53" s="3">
        <f>IF(ISERROR((VLOOKUP($A53,'SegEnds_NonXtal_BW#'!$A:$Z,24,FALSE)+VLOOKUP($A53,A:AL,34,FALSE)-50)),"-",(VLOOKUP($A53,'SegEnds_NonXtal_BW#'!$A:$Z,24,FALSE)+VLOOKUP($A53,A:AL,34,FALSE)-50))</f>
        <v>421</v>
      </c>
      <c r="AJ53" s="3">
        <f>IF(ISERROR(VLOOKUP($A53,'SegEnds_NonXtal_BW#'!$A:$Z,25,FALSE)+VLOOKUP($A53,A:AL,37,FALSE)-50),"-",(VLOOKUP($A53,'SegEnds_NonXtal_BW#'!$A:$Z,25,FALSE)+VLOOKUP($A53,A:AL,37,FALSE)-50))</f>
        <v>422</v>
      </c>
      <c r="AK53" s="3">
        <v>425</v>
      </c>
      <c r="AL53" s="3">
        <f>IF(ISERROR((VLOOKUP($A53,'SegEnds_NonXtal_BW#'!$A:$Z,26,FALSE)+VLOOKUP($A53,A:AL,37,FALSE)-50)),"-",(VLOOKUP($A53,'SegEnds_NonXtal_BW#'!$A:$Z,26,FALSE)+VLOOKUP($A53,A:AL,37,FALSE)-50))</f>
        <v>434</v>
      </c>
      <c r="AM53" s="28" t="str">
        <f>VLOOKUP(A53,Classification!A:B,2,FALSE)</f>
        <v>A</v>
      </c>
      <c r="AN53" s="28" t="b">
        <f>AND(IF(Y53="-",IF(AA53-W53&gt;3,TRUE,FALSE),TRUE),IF(M53="-",IF(O53-K53&gt;3,TRUE,FALSE),TRUE),C53&lt;E53,OR(E53&lt;F53,F53="-"),OR(F53&lt;H53,F53="-"),OR(H53&lt;I53,H53="-"),I53&lt;K53,OR(K53&lt;L53,L53="-"),OR(L53&lt;N53,L53="-"),OR(N53&lt;O53,N53="-"),O53&lt;Q53,OR(Q53&lt;R53,R53="-"),OR(R53&lt;T53,R53="-"),OR(T53&lt;U53,T53="-"),U53&lt;W53,OR(W53&lt;X53,X53="-"),OR(X53&lt;Z53,X53="-"),OR(Z53&lt;AA53,Z53="-"),AA53&lt;AC53,AC53&lt;AD53,AD53&lt;AF53,AF53&lt;AG53,AG53&lt;AI53,OR(AI53&lt;AJ53,AJ53="-"),OR(AJ53&lt;AL53,AJ53="-"))</f>
        <v>1</v>
      </c>
      <c r="AO53" s="3" t="str">
        <f>IF(ISERROR(MATCH(A53,'SegEnds_Xtal_Prot#'!B:B, 0)), "NoXtal", "Xtal")</f>
        <v>Xtal</v>
      </c>
      <c r="AP53" s="3">
        <f>IF(ISERROR(F53-E53),"-",F53-E53)</f>
        <v>1</v>
      </c>
      <c r="AQ53" s="3">
        <f>IF(ISERROR(I53-H53),"-",I53-H53)</f>
        <v>1</v>
      </c>
      <c r="AR53" s="3">
        <f>IF(ISERROR(L53-K53),"-",L53-K53)</f>
        <v>2</v>
      </c>
      <c r="AS53" s="3">
        <f>IF(ISERROR(O53-N53),"-",O53-N53)</f>
        <v>1</v>
      </c>
      <c r="AT53" s="3">
        <f>IF(ISERROR(R53-Q53),"-",R53-Q53)</f>
        <v>1</v>
      </c>
      <c r="AU53" s="3">
        <f>IF(ISERROR(U53-T53),"-",U53-T53)</f>
        <v>1</v>
      </c>
      <c r="AV53" s="3">
        <f>IF(ISERROR(X53-W53),"-",X53-W53)</f>
        <v>9</v>
      </c>
      <c r="AW53" s="3">
        <f>IF(ISERROR(AA53-Z53),"-",AA53-Z53)</f>
        <v>5</v>
      </c>
      <c r="AX53" s="3">
        <f>IF(ISERROR(AD53-AC53),"-",AD53-AC53)</f>
        <v>129</v>
      </c>
      <c r="AY53" s="3">
        <f>IF(ISERROR(AG53-AF53),"-",AG53-AF53)</f>
        <v>5</v>
      </c>
      <c r="AZ53" s="3">
        <f>IF(ISERROR(AJ53-AI53),"-",AJ53-AI53)</f>
        <v>1</v>
      </c>
      <c r="BA53" s="3">
        <f>IF(ISERROR(LEN(VLOOKUP(A53,Seqs!A:E,2,FALSE))-AL53),"-",LEN(VLOOKUP(A53,Seqs!A:E,2,FALSE))-AL53)</f>
        <v>26</v>
      </c>
      <c r="BB53" s="16">
        <f>J53-D53</f>
        <v>28</v>
      </c>
      <c r="BC53" s="9">
        <f>IF(ISERROR(V53-S53),"-",V53-S53)</f>
        <v>20</v>
      </c>
      <c r="BD53" s="3">
        <f>J53-D53</f>
        <v>28</v>
      </c>
      <c r="BE53" s="3">
        <f>AE53-AB53</f>
        <v>180</v>
      </c>
      <c r="BF53" s="3">
        <f>AH53-AE53</f>
        <v>35</v>
      </c>
    </row>
    <row r="54" spans="1:58" s="3" customFormat="1" x14ac:dyDescent="0.2">
      <c r="A54" s="3" t="s">
        <v>147</v>
      </c>
      <c r="B54" s="3" t="str">
        <f>LOWER(VLOOKUP(A54,Xtal_Templ!A:B,2,FALSE))</f>
        <v>acm2_human</v>
      </c>
      <c r="C54" s="3">
        <f>VLOOKUP($A54,'SegEnds_NonXtal_BW#'!$A:$Z,3,FALSE)+D54-50</f>
        <v>19</v>
      </c>
      <c r="D54" s="3">
        <v>41</v>
      </c>
      <c r="E54" s="3">
        <f>IF(ISERROR(VLOOKUP($A54,'SegEnds_NonXtal_BW#'!$A:$Z,4,FALSE)+VLOOKUP($A54,A:AL,4,FALSE)-50),"-",(VLOOKUP($A54,'SegEnds_NonXtal_BW#'!$A:$Z,4,FALSE)+VLOOKUP($A54,A:AL,4,FALSE)-50))</f>
        <v>51</v>
      </c>
      <c r="F54" s="3">
        <f>G54-2</f>
        <v>52</v>
      </c>
      <c r="G54" s="3">
        <v>54</v>
      </c>
      <c r="H54" s="3">
        <f>G54+1</f>
        <v>55</v>
      </c>
      <c r="I54" s="3">
        <f>H54+1</f>
        <v>56</v>
      </c>
      <c r="J54" s="3">
        <v>69</v>
      </c>
      <c r="K54" s="3">
        <f>VLOOKUP($A54,'SegEnds_NonXtal_BW#'!$A:$Z,8,FALSE)+VLOOKUP($A54,A:AL,10,FALSE)-50</f>
        <v>86</v>
      </c>
      <c r="L54" s="3">
        <f>M54-1</f>
        <v>88</v>
      </c>
      <c r="M54" s="3">
        <v>89</v>
      </c>
      <c r="N54" s="3">
        <f>M54+2</f>
        <v>91</v>
      </c>
      <c r="O54" s="3">
        <f>N54+1</f>
        <v>92</v>
      </c>
      <c r="P54" s="3">
        <v>121</v>
      </c>
      <c r="Q54" s="3">
        <f>VLOOKUP($A54,'SegEnds_NonXtal_BW#'!$A:$Z,12,FALSE)+VLOOKUP($A54,A:AL,16,FALSE)-50</f>
        <v>127</v>
      </c>
      <c r="R54" s="3">
        <f>IF(ISERROR(VLOOKUP($A54,'SegEnds_NonXtal_BW#'!$A:$Z,13,FALSE)+VLOOKUP($A54,A:AL,19,FALSE)-50),"-",VLOOKUP($A54,'SegEnds_NonXtal_BW#'!$A:$Z,13,FALSE)+VLOOKUP($A54,A:AL,19,FALSE)-50)</f>
        <v>128</v>
      </c>
      <c r="S54" s="3">
        <v>128</v>
      </c>
      <c r="T54" s="103">
        <f>IF(ISERROR(VLOOKUP($A54,'SegEnds_NonXtal_BW#'!$A:$Z,14,FALSE)+VLOOKUP($A54,A:AL,19,FALSE)-50),"-",(VLOOKUP($A54,'SegEnds_NonXtal_BW#'!$A:$Z,14,FALSE)+VLOOKUP($A54,A:AL,19,FALSE)-50))</f>
        <v>135</v>
      </c>
      <c r="U54" s="9">
        <f>IF(ISERROR(VLOOKUP($A54,'SegEnds_NonXtal_BW#'!$A:$Z,15,FALSE)+VLOOKUP($A54,A:AL,22,FALSE)-50),"-",VLOOKUP($A54,'SegEnds_NonXtal_BW#'!$A:$Z,15,FALSE)+VLOOKUP($A54,A:AL,22,FALSE)-50)</f>
        <v>136</v>
      </c>
      <c r="V54" s="3">
        <v>148</v>
      </c>
      <c r="W54" s="3">
        <f>IF(ISERROR(VLOOKUP($A54,'SegEnds_NonXtal_BW#'!$A:$Z,16,FALSE)+VLOOKUP($A54,A:AL,22,FALSE)-50),"-",(VLOOKUP($A54,'SegEnds_NonXtal_BW#'!$A:$Z,16,FALSE)+VLOOKUP($A54,A:AL,22,FALSE)-50))</f>
        <v>167</v>
      </c>
      <c r="X54" s="3">
        <f>IF(ISERROR(VLOOKUP($A54,'SegEnds_NonXtal_BW#'!$A:$Z,17,FALSE)+VLOOKUP($A54,A:AL,25,FALSE)-50),"-",(VLOOKUP($A54,'SegEnds_NonXtal_BW#'!$A:$Z,17,FALSE)+VLOOKUP($A54,A:AL,25,FALSE)-50))</f>
        <v>176</v>
      </c>
      <c r="Y54" s="3">
        <v>176</v>
      </c>
      <c r="Z54" s="3">
        <f>Y54+2</f>
        <v>178</v>
      </c>
      <c r="AA54" s="3">
        <f>IF(ISERROR(VLOOKUP($A54,'SegEnds_NonXtal_BW#'!$A:$Z,19,FALSE)+VLOOKUP($A54,A:AL,28,FALSE)-50),"-",(VLOOKUP($A54,'SegEnds_NonXtal_BW#'!$A:$Z,19,FALSE)+VLOOKUP($A54,A:AL,28,FALSE)-50))</f>
        <v>183</v>
      </c>
      <c r="AB54" s="3">
        <v>198</v>
      </c>
      <c r="AC54" s="3">
        <f>IF(ISERROR((VLOOKUP($A54,'SegEnds_NonXtal_BW#'!$A:$Z,20,FALSE)+VLOOKUP($A54,A:AL,28,FALSE)-50)),"-",(VLOOKUP($A54,'SegEnds_NonXtal_BW#'!$A:$Z,20,FALSE)+VLOOKUP($A54,A:AL,28,FALSE)-50))</f>
        <v>223</v>
      </c>
      <c r="AD54" s="3">
        <f>IF(ISERROR(VLOOKUP($A54,'SegEnds_NonXtal_BW#'!$A:$Z,21,FALSE)+VLOOKUP($A54,A:AL,31,FALSE)-50),"-",(VLOOKUP($A54,'SegEnds_NonXtal_BW#'!$A:$Z,21,FALSE)+VLOOKUP($A54,A:AL,31,FALSE)-50))</f>
        <v>376</v>
      </c>
      <c r="AE54" s="3">
        <v>402</v>
      </c>
      <c r="AF54" s="3">
        <f>IF(ISERROR((VLOOKUP($A54,'SegEnds_NonXtal_BW#'!$A:$Z,22,FALSE)+VLOOKUP($A54,A:AL,31,FALSE)-50)),"-",(VLOOKUP($A54,'SegEnds_NonXtal_BW#'!$A:$Z,22,FALSE)+VLOOKUP($A54,A:AL,31,FALSE)-50))</f>
        <v>413</v>
      </c>
      <c r="AG54" s="3">
        <f>IF(ISERROR(VLOOKUP($A54,'SegEnds_NonXtal_BW#'!$A:$Z,23,FALSE)+VLOOKUP($A54,A:AL,34,FALSE)-50),"-",(VLOOKUP($A54,'SegEnds_NonXtal_BW#'!$A:$Z,23,FALSE)+VLOOKUP($A54,A:AL,34,FALSE)-50))</f>
        <v>418</v>
      </c>
      <c r="AH54" s="3">
        <v>437</v>
      </c>
      <c r="AI54" s="3">
        <f>IF(ISERROR((VLOOKUP($A54,'SegEnds_NonXtal_BW#'!$A:$Z,24,FALSE)+VLOOKUP($A54,A:AL,34,FALSE)-50)),"-",(VLOOKUP($A54,'SegEnds_NonXtal_BW#'!$A:$Z,24,FALSE)+VLOOKUP($A54,A:AL,34,FALSE)-50))</f>
        <v>443</v>
      </c>
      <c r="AJ54" s="3">
        <f>IF(ISERROR(VLOOKUP($A54,'SegEnds_NonXtal_BW#'!$A:$Z,25,FALSE)+VLOOKUP($A54,A:AL,37,FALSE)-50),"-",(VLOOKUP($A54,'SegEnds_NonXtal_BW#'!$A:$Z,25,FALSE)+VLOOKUP($A54,A:AL,37,FALSE)-50))</f>
        <v>444</v>
      </c>
      <c r="AK54" s="3">
        <v>447</v>
      </c>
      <c r="AL54" s="3">
        <f>IF(ISERROR((VLOOKUP($A54,'SegEnds_NonXtal_BW#'!$A:$Z,26,FALSE)+VLOOKUP($A54,A:AL,37,FALSE)-50)),"-",(VLOOKUP($A54,'SegEnds_NonXtal_BW#'!$A:$Z,26,FALSE)+VLOOKUP($A54,A:AL,37,FALSE)-50))</f>
        <v>456</v>
      </c>
      <c r="AM54" s="28" t="str">
        <f>VLOOKUP(A54,Classification!A:B,2,FALSE)</f>
        <v>A</v>
      </c>
      <c r="AN54" s="28" t="b">
        <f>AND(IF(Y54="-",IF(AA54-W54&gt;3,TRUE,FALSE),TRUE),IF(M54="-",IF(O54-K54&gt;3,TRUE,FALSE),TRUE),C54&lt;E54,OR(E54&lt;F54,F54="-"),OR(F54&lt;H54,F54="-"),OR(H54&lt;I54,H54="-"),I54&lt;K54,OR(K54&lt;L54,L54="-"),OR(L54&lt;N54,L54="-"),OR(N54&lt;O54,N54="-"),O54&lt;Q54,OR(Q54&lt;R54,R54="-"),OR(R54&lt;T54,R54="-"),OR(T54&lt;U54,T54="-"),U54&lt;W54,OR(W54&lt;X54,X54="-"),OR(X54&lt;Z54,X54="-"),OR(Z54&lt;AA54,Z54="-"),AA54&lt;AC54,AC54&lt;AD54,AD54&lt;AF54,AF54&lt;AG54,AG54&lt;AI54,OR(AI54&lt;AJ54,AJ54="-"),OR(AJ54&lt;AL54,AJ54="-"))</f>
        <v>1</v>
      </c>
      <c r="AO54" s="3" t="str">
        <f>IF(ISERROR(MATCH(A54,'SegEnds_Xtal_Prot#'!B:B, 0)), "NoXtal", "Xtal")</f>
        <v>Xtal</v>
      </c>
      <c r="AP54" s="3">
        <f>IF(ISERROR(F54-E54),"-",F54-E54)</f>
        <v>1</v>
      </c>
      <c r="AQ54" s="3">
        <f>IF(ISERROR(I54-H54),"-",I54-H54)</f>
        <v>1</v>
      </c>
      <c r="AR54" s="3">
        <f>IF(ISERROR(L54-K54),"-",L54-K54)</f>
        <v>2</v>
      </c>
      <c r="AS54" s="3">
        <f>IF(ISERROR(O54-N54),"-",O54-N54)</f>
        <v>1</v>
      </c>
      <c r="AT54" s="3">
        <f>IF(ISERROR(R54-Q54),"-",R54-Q54)</f>
        <v>1</v>
      </c>
      <c r="AU54" s="3">
        <f>IF(ISERROR(U54-T54),"-",U54-T54)</f>
        <v>1</v>
      </c>
      <c r="AV54" s="3">
        <f>IF(ISERROR(X54-W54),"-",X54-W54)</f>
        <v>9</v>
      </c>
      <c r="AW54" s="3">
        <f>IF(ISERROR(AA54-Z54),"-",AA54-Z54)</f>
        <v>5</v>
      </c>
      <c r="AX54" s="3">
        <f>IF(ISERROR(AD54-AC54),"-",AD54-AC54)</f>
        <v>153</v>
      </c>
      <c r="AY54" s="3">
        <f>IF(ISERROR(AG54-AF54),"-",AG54-AF54)</f>
        <v>5</v>
      </c>
      <c r="AZ54" s="3">
        <f>IF(ISERROR(AJ54-AI54),"-",AJ54-AI54)</f>
        <v>1</v>
      </c>
      <c r="BA54" s="3">
        <f>IF(ISERROR(LEN(VLOOKUP(A54,Seqs!A:E,2,FALSE))-AL54),"-",LEN(VLOOKUP(A54,Seqs!A:E,2,FALSE))-AL54)</f>
        <v>10</v>
      </c>
      <c r="BB54" s="16">
        <f>J54-D54</f>
        <v>28</v>
      </c>
      <c r="BC54" s="9">
        <f>IF(ISERROR(V54-S54),"-",V54-S54)</f>
        <v>20</v>
      </c>
      <c r="BD54" s="3">
        <f>J54-D54</f>
        <v>28</v>
      </c>
      <c r="BE54" s="3">
        <f>AE54-AB54</f>
        <v>204</v>
      </c>
      <c r="BF54" s="3">
        <f>AH54-AE54</f>
        <v>35</v>
      </c>
    </row>
    <row r="55" spans="1:58" s="3" customFormat="1" x14ac:dyDescent="0.2">
      <c r="A55" s="3" t="s">
        <v>148</v>
      </c>
      <c r="B55" s="3" t="str">
        <f>LOWER(VLOOKUP(A55,Xtal_Templ!A:B,2,FALSE))</f>
        <v>acm3_rat</v>
      </c>
      <c r="C55" s="3">
        <f>VLOOKUP($A55,'SegEnds_NonXtal_BW#'!$A:$Z,3,FALSE)+D55-50</f>
        <v>65</v>
      </c>
      <c r="D55" s="3">
        <v>86</v>
      </c>
      <c r="E55" s="3">
        <f>IF(ISERROR(VLOOKUP($A55,'SegEnds_NonXtal_BW#'!$A:$Z,4,FALSE)+VLOOKUP($A55,A:AL,4,FALSE)-50),"-",(VLOOKUP($A55,'SegEnds_NonXtal_BW#'!$A:$Z,4,FALSE)+VLOOKUP($A55,A:AL,4,FALSE)-50))</f>
        <v>96</v>
      </c>
      <c r="F55" s="3">
        <f>G55-2</f>
        <v>97</v>
      </c>
      <c r="G55" s="3">
        <v>99</v>
      </c>
      <c r="H55" s="3">
        <f>G55+1</f>
        <v>100</v>
      </c>
      <c r="I55" s="3">
        <f>H55+1</f>
        <v>101</v>
      </c>
      <c r="J55" s="3">
        <v>114</v>
      </c>
      <c r="K55" s="3">
        <f>VLOOKUP($A55,'SegEnds_NonXtal_BW#'!$A:$Z,8,FALSE)+VLOOKUP($A55,A:AL,10,FALSE)-50</f>
        <v>131</v>
      </c>
      <c r="L55" s="3">
        <f>M55-1</f>
        <v>133</v>
      </c>
      <c r="M55" s="3">
        <v>134</v>
      </c>
      <c r="N55" s="3">
        <f>M55+2</f>
        <v>136</v>
      </c>
      <c r="O55" s="3">
        <f>N55+1</f>
        <v>137</v>
      </c>
      <c r="P55" s="3">
        <v>166</v>
      </c>
      <c r="Q55" s="3">
        <f>VLOOKUP($A55,'SegEnds_NonXtal_BW#'!$A:$Z,12,FALSE)+VLOOKUP($A55,A:AL,16,FALSE)-50</f>
        <v>172</v>
      </c>
      <c r="R55" s="3">
        <f>IF(ISERROR(VLOOKUP($A55,'SegEnds_NonXtal_BW#'!$A:$Z,13,FALSE)+VLOOKUP($A55,A:AL,19,FALSE)-50),"-",VLOOKUP($A55,'SegEnds_NonXtal_BW#'!$A:$Z,13,FALSE)+VLOOKUP($A55,A:AL,19,FALSE)-50)</f>
        <v>173</v>
      </c>
      <c r="S55" s="3">
        <v>173</v>
      </c>
      <c r="T55" s="103">
        <f>IF(ISERROR(VLOOKUP($A55,'SegEnds_NonXtal_BW#'!$A:$Z,14,FALSE)+VLOOKUP($A55,A:AL,19,FALSE)-50),"-",(VLOOKUP($A55,'SegEnds_NonXtal_BW#'!$A:$Z,14,FALSE)+VLOOKUP($A55,A:AL,19,FALSE)-50))</f>
        <v>180</v>
      </c>
      <c r="U55" s="9">
        <f>IF(ISERROR(VLOOKUP($A55,'SegEnds_NonXtal_BW#'!$A:$Z,15,FALSE)+VLOOKUP($A55,A:AL,22,FALSE)-50),"-",VLOOKUP($A55,'SegEnds_NonXtal_BW#'!$A:$Z,15,FALSE)+VLOOKUP($A55,A:AL,22,FALSE)-50)</f>
        <v>181</v>
      </c>
      <c r="V55" s="3">
        <v>193</v>
      </c>
      <c r="W55" s="3">
        <f>IF(ISERROR(VLOOKUP($A55,'SegEnds_NonXtal_BW#'!$A:$Z,16,FALSE)+VLOOKUP($A55,A:AL,22,FALSE)-50),"-",(VLOOKUP($A55,'SegEnds_NonXtal_BW#'!$A:$Z,16,FALSE)+VLOOKUP($A55,A:AL,22,FALSE)-50))</f>
        <v>212</v>
      </c>
      <c r="X55" s="3">
        <f>IF(ISERROR(VLOOKUP($A55,'SegEnds_NonXtal_BW#'!$A:$Z,17,FALSE)+VLOOKUP($A55,A:AL,25,FALSE)-50),"-",(VLOOKUP($A55,'SegEnds_NonXtal_BW#'!$A:$Z,17,FALSE)+VLOOKUP($A55,A:AL,25,FALSE)-50))</f>
        <v>221</v>
      </c>
      <c r="Y55" s="3">
        <v>221</v>
      </c>
      <c r="Z55" s="3">
        <f>Y55+2</f>
        <v>223</v>
      </c>
      <c r="AA55" s="3">
        <f>IF(ISERROR(VLOOKUP($A55,'SegEnds_NonXtal_BW#'!$A:$Z,19,FALSE)+VLOOKUP($A55,A:AL,28,FALSE)-50),"-",(VLOOKUP($A55,'SegEnds_NonXtal_BW#'!$A:$Z,19,FALSE)+VLOOKUP($A55,A:AL,28,FALSE)-50))</f>
        <v>228</v>
      </c>
      <c r="AB55" s="3">
        <v>243</v>
      </c>
      <c r="AC55" s="3">
        <f>IF(ISERROR((VLOOKUP($A55,'SegEnds_NonXtal_BW#'!$A:$Z,20,FALSE)+VLOOKUP($A55,A:AL,28,FALSE)-50)),"-",(VLOOKUP($A55,'SegEnds_NonXtal_BW#'!$A:$Z,20,FALSE)+VLOOKUP($A55,A:AL,28,FALSE)-50))</f>
        <v>268</v>
      </c>
      <c r="AD55" s="3">
        <f>IF(ISERROR(VLOOKUP($A55,'SegEnds_NonXtal_BW#'!$A:$Z,21,FALSE)+VLOOKUP($A55,A:AL,31,FALSE)-50),"-",(VLOOKUP($A55,'SegEnds_NonXtal_BW#'!$A:$Z,21,FALSE)+VLOOKUP($A55,A:AL,31,FALSE)-50))</f>
        <v>480</v>
      </c>
      <c r="AE55" s="3">
        <v>506</v>
      </c>
      <c r="AF55" s="3">
        <f>IF(ISERROR((VLOOKUP($A55,'SegEnds_NonXtal_BW#'!$A:$Z,22,FALSE)+VLOOKUP($A55,A:AL,31,FALSE)-50)),"-",(VLOOKUP($A55,'SegEnds_NonXtal_BW#'!$A:$Z,22,FALSE)+VLOOKUP($A55,A:AL,31,FALSE)-50))</f>
        <v>517</v>
      </c>
      <c r="AG55" s="3">
        <f>IF(ISERROR(VLOOKUP($A55,'SegEnds_NonXtal_BW#'!$A:$Z,23,FALSE)+VLOOKUP($A55,A:AL,34,FALSE)-50),"-",(VLOOKUP($A55,'SegEnds_NonXtal_BW#'!$A:$Z,23,FALSE)+VLOOKUP($A55,A:AL,34,FALSE)-50))</f>
        <v>522</v>
      </c>
      <c r="AH55" s="3">
        <v>541</v>
      </c>
      <c r="AI55" s="3">
        <f>IF(ISERROR((VLOOKUP($A55,'SegEnds_NonXtal_BW#'!$A:$Z,24,FALSE)+VLOOKUP($A55,A:AL,34,FALSE)-50)),"-",(VLOOKUP($A55,'SegEnds_NonXtal_BW#'!$A:$Z,24,FALSE)+VLOOKUP($A55,A:AL,34,FALSE)-50))</f>
        <v>547</v>
      </c>
      <c r="AJ55" s="3">
        <f>IF(ISERROR(VLOOKUP($A55,'SegEnds_NonXtal_BW#'!$A:$Z,25,FALSE)+VLOOKUP($A55,A:AL,37,FALSE)-50),"-",(VLOOKUP($A55,'SegEnds_NonXtal_BW#'!$A:$Z,25,FALSE)+VLOOKUP($A55,A:AL,37,FALSE)-50))</f>
        <v>548</v>
      </c>
      <c r="AK55" s="3">
        <v>551</v>
      </c>
      <c r="AL55" s="3">
        <f>IF(ISERROR((VLOOKUP($A55,'SegEnds_NonXtal_BW#'!$A:$Z,26,FALSE)+VLOOKUP($A55,A:AL,37,FALSE)-50)),"-",(VLOOKUP($A55,'SegEnds_NonXtal_BW#'!$A:$Z,26,FALSE)+VLOOKUP($A55,A:AL,37,FALSE)-50))</f>
        <v>559</v>
      </c>
      <c r="AM55" s="28" t="str">
        <f>VLOOKUP(A55,Classification!A:B,2,FALSE)</f>
        <v>A</v>
      </c>
      <c r="AN55" s="28" t="b">
        <f>AND(IF(Y55="-",IF(AA55-W55&gt;3,TRUE,FALSE),TRUE),IF(M55="-",IF(O55-K55&gt;3,TRUE,FALSE),TRUE),C55&lt;E55,OR(E55&lt;F55,F55="-"),OR(F55&lt;H55,F55="-"),OR(H55&lt;I55,H55="-"),I55&lt;K55,OR(K55&lt;L55,L55="-"),OR(L55&lt;N55,L55="-"),OR(N55&lt;O55,N55="-"),O55&lt;Q55,OR(Q55&lt;R55,R55="-"),OR(R55&lt;T55,R55="-"),OR(T55&lt;U55,T55="-"),U55&lt;W55,OR(W55&lt;X55,X55="-"),OR(X55&lt;Z55,X55="-"),OR(Z55&lt;AA55,Z55="-"),AA55&lt;AC55,AC55&lt;AD55,AD55&lt;AF55,AF55&lt;AG55,AG55&lt;AI55,OR(AI55&lt;AJ55,AJ55="-"),OR(AJ55&lt;AL55,AJ55="-"))</f>
        <v>1</v>
      </c>
      <c r="AO55" s="3" t="str">
        <f>IF(ISERROR(MATCH(A55,'SegEnds_Xtal_Prot#'!B:B, 0)), "NoXtal", "Xtal")</f>
        <v>NoXtal</v>
      </c>
      <c r="AP55" s="3">
        <f>IF(ISERROR(F55-E55),"-",F55-E55)</f>
        <v>1</v>
      </c>
      <c r="AQ55" s="3">
        <f>IF(ISERROR(I55-H55),"-",I55-H55)</f>
        <v>1</v>
      </c>
      <c r="AR55" s="3">
        <f>IF(ISERROR(L55-K55),"-",L55-K55)</f>
        <v>2</v>
      </c>
      <c r="AS55" s="3">
        <f>IF(ISERROR(O55-N55),"-",O55-N55)</f>
        <v>1</v>
      </c>
      <c r="AT55" s="3">
        <f>IF(ISERROR(R55-Q55),"-",R55-Q55)</f>
        <v>1</v>
      </c>
      <c r="AU55" s="3">
        <f>IF(ISERROR(U55-T55),"-",U55-T55)</f>
        <v>1</v>
      </c>
      <c r="AV55" s="3">
        <f>IF(ISERROR(X55-W55),"-",X55-W55)</f>
        <v>9</v>
      </c>
      <c r="AW55" s="3">
        <f>IF(ISERROR(AA55-Z55),"-",AA55-Z55)</f>
        <v>5</v>
      </c>
      <c r="AX55" s="3">
        <f>IF(ISERROR(AD55-AC55),"-",AD55-AC55)</f>
        <v>212</v>
      </c>
      <c r="AY55" s="3">
        <f>IF(ISERROR(AG55-AF55),"-",AG55-AF55)</f>
        <v>5</v>
      </c>
      <c r="AZ55" s="3">
        <f>IF(ISERROR(AJ55-AI55),"-",AJ55-AI55)</f>
        <v>1</v>
      </c>
      <c r="BA55" s="3">
        <f>IF(ISERROR(LEN(VLOOKUP(A55,Seqs!A:E,2,FALSE))-AL55),"-",LEN(VLOOKUP(A55,Seqs!A:E,2,FALSE))-AL55)</f>
        <v>31</v>
      </c>
      <c r="BB55" s="16">
        <f>J55-D55</f>
        <v>28</v>
      </c>
      <c r="BC55" s="9">
        <f>IF(ISERROR(V55-S55),"-",V55-S55)</f>
        <v>20</v>
      </c>
      <c r="BD55" s="3">
        <f>J55-D55</f>
        <v>28</v>
      </c>
      <c r="BE55" s="3">
        <f>AE55-AB55</f>
        <v>263</v>
      </c>
    </row>
    <row r="56" spans="1:58" s="3" customFormat="1" x14ac:dyDescent="0.2">
      <c r="A56" s="3" t="s">
        <v>910</v>
      </c>
      <c r="B56" s="3" t="str">
        <f>LOWER(VLOOKUP(A56,Xtal_Templ!A:B,2,FALSE))</f>
        <v>acm3_rat</v>
      </c>
      <c r="C56" s="3">
        <f>VLOOKUP($A56,'SegEnds_NonXtal_BW#'!$A:$Z,3,FALSE)+D56-50</f>
        <v>64</v>
      </c>
      <c r="D56" s="3">
        <v>85</v>
      </c>
      <c r="E56" s="3">
        <f>IF(ISERROR(VLOOKUP($A56,'SegEnds_NonXtal_BW#'!$A:$Z,4,FALSE)+VLOOKUP($A56,A:AL,4,FALSE)-50),"-",(VLOOKUP($A56,'SegEnds_NonXtal_BW#'!$A:$Z,4,FALSE)+VLOOKUP($A56,A:AL,4,FALSE)-50))</f>
        <v>95</v>
      </c>
      <c r="F56" s="3">
        <f>G56-2</f>
        <v>96</v>
      </c>
      <c r="G56" s="3">
        <v>98</v>
      </c>
      <c r="H56" s="3">
        <f>G56+1</f>
        <v>99</v>
      </c>
      <c r="I56" s="3">
        <f>H56+1</f>
        <v>100</v>
      </c>
      <c r="J56" s="3">
        <v>113</v>
      </c>
      <c r="K56" s="3">
        <f>VLOOKUP($A56,'SegEnds_NonXtal_BW#'!$A:$Z,8,FALSE)+VLOOKUP($A56,A:AL,10,FALSE)-50</f>
        <v>130</v>
      </c>
      <c r="L56" s="3">
        <f>IF(ISERROR(VLOOKUP($A56,'SegEnds_NonXtal_BW#'!$A:$Z,9,FALSE)+VLOOKUP($A56,A:AL,13,FALSE)-50),"-",(VLOOKUP($A56,'SegEnds_NonXtal_BW#'!$A:$Z,9,FALSE)+VLOOKUP($A56,A:AL,13,FALSE)-50))</f>
        <v>132</v>
      </c>
      <c r="M56" s="3">
        <v>133</v>
      </c>
      <c r="N56" s="3">
        <f>IF(ISERROR(VLOOKUP($A56,'SegEnds_NonXtal_BW#'!$A:$Z,10,FALSE)+VLOOKUP($A56,A:AL,13,FALSE)-50),"-",(VLOOKUP($A56,'SegEnds_NonXtal_BW#'!$A:$Z,10,FALSE)+VLOOKUP($A56,A:AL,13,FALSE)-50))</f>
        <v>135</v>
      </c>
      <c r="O56" s="3">
        <f>N56+1</f>
        <v>136</v>
      </c>
      <c r="P56" s="3">
        <v>165</v>
      </c>
      <c r="Q56" s="3">
        <f>VLOOKUP($A56,'SegEnds_NonXtal_BW#'!$A:$Z,12,FALSE)+VLOOKUP($A56,A:AL,16,FALSE)-50</f>
        <v>171</v>
      </c>
      <c r="R56" s="3">
        <f>IF(ISERROR(VLOOKUP($A56,'SegEnds_NonXtal_BW#'!$A:$Z,13,FALSE)+VLOOKUP($A56,A:AL,19,FALSE)-50),"-",VLOOKUP($A56,'SegEnds_NonXtal_BW#'!$A:$Z,13,FALSE)+VLOOKUP($A56,A:AL,19,FALSE)-50)</f>
        <v>172</v>
      </c>
      <c r="S56" s="3">
        <v>172</v>
      </c>
      <c r="T56" s="103">
        <f>IF(ISERROR(VLOOKUP($A56,'SegEnds_NonXtal_BW#'!$A:$Z,14,FALSE)+VLOOKUP($A56,A:AL,19,FALSE)-50),"-",(VLOOKUP($A56,'SegEnds_NonXtal_BW#'!$A:$Z,14,FALSE)+VLOOKUP($A56,A:AL,19,FALSE)-50))</f>
        <v>179</v>
      </c>
      <c r="U56" s="9">
        <f>IF(ISERROR(VLOOKUP($A56,'SegEnds_NonXtal_BW#'!$A:$Z,15,FALSE)+VLOOKUP($A56,A:AL,22,FALSE)-50),"-",VLOOKUP($A56,'SegEnds_NonXtal_BW#'!$A:$Z,15,FALSE)+VLOOKUP($A56,A:AL,22,FALSE)-50)</f>
        <v>180</v>
      </c>
      <c r="V56" s="3">
        <v>192</v>
      </c>
      <c r="W56" s="3">
        <f>IF(ISERROR(VLOOKUP($A56,'SegEnds_NonXtal_BW#'!$A:$Z,16,FALSE)+VLOOKUP($A56,A:AL,22,FALSE)-50),"-",(VLOOKUP($A56,'SegEnds_NonXtal_BW#'!$A:$Z,16,FALSE)+VLOOKUP($A56,A:AL,22,FALSE)-50))</f>
        <v>211</v>
      </c>
      <c r="X56" s="3">
        <f>IF(ISERROR(VLOOKUP($A56,'SegEnds_NonXtal_BW#'!$A:$Z,17,FALSE)+VLOOKUP($A56,A:AL,25,FALSE)-50),"-",(VLOOKUP($A56,'SegEnds_NonXtal_BW#'!$A:$Z,17,FALSE)+VLOOKUP($A56,A:AL,25,FALSE)-50))</f>
        <v>220</v>
      </c>
      <c r="Y56" s="3">
        <v>220</v>
      </c>
      <c r="Z56" s="3">
        <f>Y56+2</f>
        <v>222</v>
      </c>
      <c r="AA56" s="3">
        <f>IF(ISERROR(VLOOKUP($A56,'SegEnds_NonXtal_BW#'!$A:$Z,19,FALSE)+VLOOKUP($A56,A:AL,28,FALSE)-50),"-",(VLOOKUP($A56,'SegEnds_NonXtal_BW#'!$A:$Z,19,FALSE)+VLOOKUP($A56,A:AL,28,FALSE)-50))</f>
        <v>227</v>
      </c>
      <c r="AB56" s="3">
        <v>242</v>
      </c>
      <c r="AC56" s="3">
        <f>IF(ISERROR((VLOOKUP($A56,'SegEnds_NonXtal_BW#'!$A:$Z,20,FALSE)+VLOOKUP($A56,A:AL,28,FALSE)-50)),"-",(VLOOKUP($A56,'SegEnds_NonXtal_BW#'!$A:$Z,20,FALSE)+VLOOKUP($A56,A:AL,28,FALSE)-50))</f>
        <v>267</v>
      </c>
      <c r="AD56" s="3">
        <f>IF(ISERROR(VLOOKUP($A56,'SegEnds_NonXtal_BW#'!$A:$Z,21,FALSE)+VLOOKUP($A56,A:AL,31,FALSE)-50),"-",(VLOOKUP($A56,'SegEnds_NonXtal_BW#'!$A:$Z,21,FALSE)+VLOOKUP($A56,A:AL,31,FALSE)-50))</f>
        <v>479</v>
      </c>
      <c r="AE56" s="3">
        <v>505</v>
      </c>
      <c r="AF56" s="3">
        <f>IF(ISERROR((VLOOKUP($A56,'SegEnds_NonXtal_BW#'!$A:$Z,22,FALSE)+VLOOKUP($A56,A:AL,31,FALSE)-50)),"-",(VLOOKUP($A56,'SegEnds_NonXtal_BW#'!$A:$Z,22,FALSE)+VLOOKUP($A56,A:AL,31,FALSE)-50))</f>
        <v>516</v>
      </c>
      <c r="AG56" s="3">
        <f>IF(ISERROR(VLOOKUP($A56,'SegEnds_NonXtal_BW#'!$A:$Z,23,FALSE)+VLOOKUP($A56,A:AL,34,FALSE)-50),"-",(VLOOKUP($A56,'SegEnds_NonXtal_BW#'!$A:$Z,23,FALSE)+VLOOKUP($A56,A:AL,34,FALSE)-50))</f>
        <v>521</v>
      </c>
      <c r="AH56" s="3">
        <v>540</v>
      </c>
      <c r="AI56" s="3">
        <f>IF(ISERROR((VLOOKUP($A56,'SegEnds_NonXtal_BW#'!$A:$Z,24,FALSE)+VLOOKUP($A56,A:AL,34,FALSE)-50)),"-",(VLOOKUP($A56,'SegEnds_NonXtal_BW#'!$A:$Z,24,FALSE)+VLOOKUP($A56,A:AL,34,FALSE)-50))</f>
        <v>546</v>
      </c>
      <c r="AJ56" s="3">
        <f>IF(ISERROR(VLOOKUP($A56,'SegEnds_NonXtal_BW#'!$A:$Z,25,FALSE)+VLOOKUP($A56,A:AL,37,FALSE)-50),"-",(VLOOKUP($A56,'SegEnds_NonXtal_BW#'!$A:$Z,25,FALSE)+VLOOKUP($A56,A:AL,37,FALSE)-50))</f>
        <v>547</v>
      </c>
      <c r="AK56" s="3">
        <v>550</v>
      </c>
      <c r="AL56" s="3">
        <f>IF(ISERROR((VLOOKUP($A56,'SegEnds_NonXtal_BW#'!$A:$Z,26,FALSE)+VLOOKUP($A56,A:AL,37,FALSE)-50)),"-",(VLOOKUP($A56,'SegEnds_NonXtal_BW#'!$A:$Z,26,FALSE)+VLOOKUP($A56,A:AL,37,FALSE)-50))</f>
        <v>558</v>
      </c>
      <c r="AM56" s="28" t="str">
        <f>VLOOKUP(A56,Classification!A:B,2,FALSE)</f>
        <v>A</v>
      </c>
      <c r="AN56" s="28" t="b">
        <f>AND(IF(Y56="-",IF(AA56-W56&gt;3,TRUE,FALSE),TRUE),IF(M56="-",IF(O56-K56&gt;3,TRUE,FALSE),TRUE),C56&lt;E56,OR(E56&lt;F56,F56="-"),OR(F56&lt;H56,F56="-"),OR(H56&lt;I56,H56="-"),I56&lt;K56,OR(K56&lt;L56,L56="-"),OR(L56&lt;N56,L56="-"),OR(N56&lt;O56,N56="-"),O56&lt;Q56,OR(Q56&lt;R56,R56="-"),OR(R56&lt;T56,R56="-"),OR(T56&lt;U56,T56="-"),U56&lt;W56,OR(W56&lt;X56,X56="-"),OR(X56&lt;Z56,X56="-"),OR(Z56&lt;AA56,Z56="-"),AA56&lt;AC56,AC56&lt;AD56,AD56&lt;AF56,AF56&lt;AG56,AG56&lt;AI56,OR(AI56&lt;AJ56,AJ56="-"),OR(AJ56&lt;AL56,AJ56="-"))</f>
        <v>1</v>
      </c>
      <c r="AO56" s="3" t="str">
        <f>IF(ISERROR(MATCH(A56,'SegEnds_Xtal_Prot#'!B:B, 0)), "NoXtal", "Xtal")</f>
        <v>Xtal</v>
      </c>
      <c r="AP56" s="3">
        <f>IF(ISERROR(F56-E56),"-",F56-E56)</f>
        <v>1</v>
      </c>
      <c r="AQ56" s="3">
        <f>IF(ISERROR(I56-H56),"-",I56-H56)</f>
        <v>1</v>
      </c>
      <c r="AR56" s="3">
        <f>IF(ISERROR(L56-K56),"-",L56-K56)</f>
        <v>2</v>
      </c>
      <c r="AS56" s="3">
        <f>IF(ISERROR(O56-N56),"-",O56-N56)</f>
        <v>1</v>
      </c>
      <c r="AT56" s="3">
        <f>IF(ISERROR(R56-Q56),"-",R56-Q56)</f>
        <v>1</v>
      </c>
      <c r="AU56" s="3">
        <f>IF(ISERROR(U56-T56),"-",U56-T56)</f>
        <v>1</v>
      </c>
      <c r="AV56" s="3">
        <f>IF(ISERROR(X56-W56),"-",X56-W56)</f>
        <v>9</v>
      </c>
      <c r="AW56" s="3">
        <f>IF(ISERROR(AA56-Z56),"-",AA56-Z56)</f>
        <v>5</v>
      </c>
      <c r="AX56" s="3">
        <f>IF(ISERROR(AD56-AC56),"-",AD56-AC56)</f>
        <v>212</v>
      </c>
      <c r="AY56" s="3">
        <f>IF(ISERROR(AG56-AF56),"-",AG56-AF56)</f>
        <v>5</v>
      </c>
      <c r="AZ56" s="3">
        <f>IF(ISERROR(AJ56-AI56),"-",AJ56-AI56)</f>
        <v>1</v>
      </c>
      <c r="BA56" s="3">
        <f>IF(ISERROR(LEN(VLOOKUP(A56,Seqs!A:E,2,FALSE))-AL56),"-",LEN(VLOOKUP(A56,Seqs!A:E,2,FALSE))-AL56)</f>
        <v>31</v>
      </c>
      <c r="BB56" s="16">
        <f>J56-D56</f>
        <v>28</v>
      </c>
      <c r="BC56" s="9">
        <f>IF(ISERROR(V56-S56),"-",V56-S56)</f>
        <v>20</v>
      </c>
      <c r="BD56" s="3">
        <f>J56-D56</f>
        <v>28</v>
      </c>
      <c r="BE56" s="3">
        <f>AE56-AB56</f>
        <v>263</v>
      </c>
    </row>
    <row r="57" spans="1:58" s="3" customFormat="1" x14ac:dyDescent="0.2">
      <c r="A57" s="3" t="s">
        <v>149</v>
      </c>
      <c r="B57" s="3" t="str">
        <f>LOWER(VLOOKUP(A57,Xtal_Templ!A:B,2,FALSE))</f>
        <v>acm4_human</v>
      </c>
      <c r="C57" s="3">
        <f>VLOOKUP($A57,'SegEnds_NonXtal_BW#'!$A:$Z,3,FALSE)+D57-50</f>
        <v>26</v>
      </c>
      <c r="D57" s="3">
        <v>50</v>
      </c>
      <c r="E57" s="3">
        <f>IF(ISERROR(VLOOKUP($A57,'SegEnds_NonXtal_BW#'!$A:$Z,4,FALSE)+VLOOKUP($A57,A:AL,4,FALSE)-50),"-",(VLOOKUP($A57,'SegEnds_NonXtal_BW#'!$A:$Z,4,FALSE)+VLOOKUP($A57,A:AL,4,FALSE)-50))</f>
        <v>60</v>
      </c>
      <c r="F57" s="3">
        <f>G57-2</f>
        <v>61</v>
      </c>
      <c r="G57" s="3">
        <v>63</v>
      </c>
      <c r="H57" s="3">
        <f>G57+1</f>
        <v>64</v>
      </c>
      <c r="I57" s="3">
        <f>H57+1</f>
        <v>65</v>
      </c>
      <c r="J57" s="3">
        <v>78</v>
      </c>
      <c r="K57" s="3">
        <f>VLOOKUP($A57,'SegEnds_NonXtal_BW#'!$A:$Z,8,FALSE)+VLOOKUP($A57,A:AL,10,FALSE)-50</f>
        <v>95</v>
      </c>
      <c r="L57" s="3">
        <f>M57-1</f>
        <v>97</v>
      </c>
      <c r="M57" s="3">
        <v>98</v>
      </c>
      <c r="N57" s="3">
        <f>M57+2</f>
        <v>100</v>
      </c>
      <c r="O57" s="3">
        <f>N57+1</f>
        <v>101</v>
      </c>
      <c r="P57" s="3">
        <v>130</v>
      </c>
      <c r="Q57" s="3">
        <f>VLOOKUP($A57,'SegEnds_NonXtal_BW#'!$A:$Z,12,FALSE)+VLOOKUP($A57,A:AL,16,FALSE)-50</f>
        <v>136</v>
      </c>
      <c r="R57" s="3">
        <f>IF(ISERROR(VLOOKUP($A57,'SegEnds_NonXtal_BW#'!$A:$Z,13,FALSE)+VLOOKUP($A57,A:AL,19,FALSE)-50),"-",VLOOKUP($A57,'SegEnds_NonXtal_BW#'!$A:$Z,13,FALSE)+VLOOKUP($A57,A:AL,19,FALSE)-50)</f>
        <v>137</v>
      </c>
      <c r="S57" s="3">
        <v>137</v>
      </c>
      <c r="T57" s="103">
        <f>IF(ISERROR(VLOOKUP($A57,'SegEnds_NonXtal_BW#'!$A:$Z,14,FALSE)+VLOOKUP($A57,A:AL,19,FALSE)-50),"-",(VLOOKUP($A57,'SegEnds_NonXtal_BW#'!$A:$Z,14,FALSE)+VLOOKUP($A57,A:AL,19,FALSE)-50))</f>
        <v>144</v>
      </c>
      <c r="U57" s="9">
        <f>IF(ISERROR(VLOOKUP($A57,'SegEnds_NonXtal_BW#'!$A:$Z,15,FALSE)+VLOOKUP($A57,A:AL,22,FALSE)-50),"-",VLOOKUP($A57,'SegEnds_NonXtal_BW#'!$A:$Z,15,FALSE)+VLOOKUP($A57,A:AL,22,FALSE)-50)</f>
        <v>145</v>
      </c>
      <c r="V57" s="3">
        <v>157</v>
      </c>
      <c r="W57" s="3">
        <f>IF(ISERROR(VLOOKUP($A57,'SegEnds_NonXtal_BW#'!$A:$Z,16,FALSE)+VLOOKUP($A57,A:AL,22,FALSE)-50),"-",(VLOOKUP($A57,'SegEnds_NonXtal_BW#'!$A:$Z,16,FALSE)+VLOOKUP($A57,A:AL,22,FALSE)-50))</f>
        <v>176</v>
      </c>
      <c r="X57" s="3">
        <f>IF(ISERROR(VLOOKUP($A57,'SegEnds_NonXtal_BW#'!$A:$Z,17,FALSE)+VLOOKUP($A57,A:AL,25,FALSE)-50),"-",(VLOOKUP($A57,'SegEnds_NonXtal_BW#'!$A:$Z,17,FALSE)+VLOOKUP($A57,A:AL,25,FALSE)-50))</f>
        <v>185</v>
      </c>
      <c r="Y57" s="3">
        <v>185</v>
      </c>
      <c r="Z57" s="3">
        <f>Y57+2</f>
        <v>187</v>
      </c>
      <c r="AA57" s="3">
        <f>IF(ISERROR(VLOOKUP($A57,'SegEnds_NonXtal_BW#'!$A:$Z,19,FALSE)+VLOOKUP($A57,A:AL,28,FALSE)-50),"-",(VLOOKUP($A57,'SegEnds_NonXtal_BW#'!$A:$Z,19,FALSE)+VLOOKUP($A57,A:AL,28,FALSE)-50))</f>
        <v>192</v>
      </c>
      <c r="AB57" s="3">
        <v>207</v>
      </c>
      <c r="AC57" s="3">
        <f>IF(ISERROR((VLOOKUP($A57,'SegEnds_NonXtal_BW#'!$A:$Z,20,FALSE)+VLOOKUP($A57,A:AL,28,FALSE)-50)),"-",(VLOOKUP($A57,'SegEnds_NonXtal_BW#'!$A:$Z,20,FALSE)+VLOOKUP($A57,A:AL,28,FALSE)-50))</f>
        <v>232</v>
      </c>
      <c r="AD57" s="3">
        <f>IF(ISERROR(VLOOKUP($A57,'SegEnds_NonXtal_BW#'!$A:$Z,21,FALSE)+VLOOKUP($A57,A:AL,31,FALSE)-50),"-",(VLOOKUP($A57,'SegEnds_NonXtal_BW#'!$A:$Z,21,FALSE)+VLOOKUP($A57,A:AL,31,FALSE)-50))</f>
        <v>389</v>
      </c>
      <c r="AE57" s="3">
        <v>415</v>
      </c>
      <c r="AF57" s="3">
        <f>IF(ISERROR((VLOOKUP($A57,'SegEnds_NonXtal_BW#'!$A:$Z,22,FALSE)+VLOOKUP($A57,A:AL,31,FALSE)-50)),"-",(VLOOKUP($A57,'SegEnds_NonXtal_BW#'!$A:$Z,22,FALSE)+VLOOKUP($A57,A:AL,31,FALSE)-50))</f>
        <v>426</v>
      </c>
      <c r="AG57" s="3">
        <f>IF(ISERROR(VLOOKUP($A57,'SegEnds_NonXtal_BW#'!$A:$Z,23,FALSE)+VLOOKUP($A57,A:AL,34,FALSE)-50),"-",(VLOOKUP($A57,'SegEnds_NonXtal_BW#'!$A:$Z,23,FALSE)+VLOOKUP($A57,A:AL,34,FALSE)-50))</f>
        <v>431</v>
      </c>
      <c r="AH57" s="3">
        <v>450</v>
      </c>
      <c r="AI57" s="3">
        <f>IF(ISERROR((VLOOKUP($A57,'SegEnds_NonXtal_BW#'!$A:$Z,24,FALSE)+VLOOKUP($A57,A:AL,34,FALSE)-50)),"-",(VLOOKUP($A57,'SegEnds_NonXtal_BW#'!$A:$Z,24,FALSE)+VLOOKUP($A57,A:AL,34,FALSE)-50))</f>
        <v>456</v>
      </c>
      <c r="AJ57" s="3">
        <f>IF(ISERROR(VLOOKUP($A57,'SegEnds_NonXtal_BW#'!$A:$Z,25,FALSE)+VLOOKUP($A57,A:AL,37,FALSE)-50),"-",(VLOOKUP($A57,'SegEnds_NonXtal_BW#'!$A:$Z,25,FALSE)+VLOOKUP($A57,A:AL,37,FALSE)-50))</f>
        <v>457</v>
      </c>
      <c r="AK57" s="3">
        <v>460</v>
      </c>
      <c r="AL57" s="3">
        <f>IF(ISERROR((VLOOKUP($A57,'SegEnds_NonXtal_BW#'!$A:$Z,26,FALSE)+VLOOKUP($A57,A:AL,37,FALSE)-50)),"-",(VLOOKUP($A57,'SegEnds_NonXtal_BW#'!$A:$Z,26,FALSE)+VLOOKUP($A57,A:AL,37,FALSE)-50))</f>
        <v>469</v>
      </c>
      <c r="AM57" s="28" t="str">
        <f>VLOOKUP(A57,Classification!A:B,2,FALSE)</f>
        <v>A</v>
      </c>
      <c r="AN57" s="28" t="b">
        <f>AND(IF(Y57="-",IF(AA57-W57&gt;3,TRUE,FALSE),TRUE),IF(M57="-",IF(O57-K57&gt;3,TRUE,FALSE),TRUE),C57&lt;E57,OR(E57&lt;F57,F57="-"),OR(F57&lt;H57,F57="-"),OR(H57&lt;I57,H57="-"),I57&lt;K57,OR(K57&lt;L57,L57="-"),OR(L57&lt;N57,L57="-"),OR(N57&lt;O57,N57="-"),O57&lt;Q57,OR(Q57&lt;R57,R57="-"),OR(R57&lt;T57,R57="-"),OR(T57&lt;U57,T57="-"),U57&lt;W57,OR(W57&lt;X57,X57="-"),OR(X57&lt;Z57,X57="-"),OR(Z57&lt;AA57,Z57="-"),AA57&lt;AC57,AC57&lt;AD57,AD57&lt;AF57,AF57&lt;AG57,AG57&lt;AI57,OR(AI57&lt;AJ57,AJ57="-"),OR(AJ57&lt;AL57,AJ57="-"))</f>
        <v>1</v>
      </c>
      <c r="AO57" s="3" t="str">
        <f>IF(ISERROR(MATCH(A57,'SegEnds_Xtal_Prot#'!B:B, 0)), "NoXtal", "Xtal")</f>
        <v>Xtal</v>
      </c>
      <c r="AP57" s="3">
        <f>IF(ISERROR(F57-E57),"-",F57-E57)</f>
        <v>1</v>
      </c>
      <c r="AQ57" s="3">
        <f>IF(ISERROR(I57-H57),"-",I57-H57)</f>
        <v>1</v>
      </c>
      <c r="AR57" s="3">
        <f>IF(ISERROR(L57-K57),"-",L57-K57)</f>
        <v>2</v>
      </c>
      <c r="AS57" s="3">
        <f>IF(ISERROR(O57-N57),"-",O57-N57)</f>
        <v>1</v>
      </c>
      <c r="AT57" s="3">
        <f>IF(ISERROR(R57-Q57),"-",R57-Q57)</f>
        <v>1</v>
      </c>
      <c r="AU57" s="3">
        <f>IF(ISERROR(U57-T57),"-",U57-T57)</f>
        <v>1</v>
      </c>
      <c r="AV57" s="3">
        <f>IF(ISERROR(X57-W57),"-",X57-W57)</f>
        <v>9</v>
      </c>
      <c r="AW57" s="3">
        <f>IF(ISERROR(AA57-Z57),"-",AA57-Z57)</f>
        <v>5</v>
      </c>
      <c r="AX57" s="3">
        <f>IF(ISERROR(AD57-AC57),"-",AD57-AC57)</f>
        <v>157</v>
      </c>
      <c r="AY57" s="3">
        <f>IF(ISERROR(AG57-AF57),"-",AG57-AF57)</f>
        <v>5</v>
      </c>
      <c r="AZ57" s="3">
        <f>IF(ISERROR(AJ57-AI57),"-",AJ57-AI57)</f>
        <v>1</v>
      </c>
      <c r="BA57" s="3">
        <f>IF(ISERROR(LEN(VLOOKUP(A57,Seqs!A:E,2,FALSE))-AL57),"-",LEN(VLOOKUP(A57,Seqs!A:E,2,FALSE))-AL57)</f>
        <v>10</v>
      </c>
      <c r="BB57" s="16">
        <f>J57-D57</f>
        <v>28</v>
      </c>
      <c r="BC57" s="9">
        <f>IF(ISERROR(V57-S57),"-",V57-S57)</f>
        <v>20</v>
      </c>
      <c r="BD57" s="3">
        <f>J57-D57</f>
        <v>28</v>
      </c>
      <c r="BE57" s="3">
        <f>AE57-AB57</f>
        <v>208</v>
      </c>
      <c r="BF57" s="3">
        <f>AH57-AE57</f>
        <v>35</v>
      </c>
    </row>
    <row r="58" spans="1:58" s="3" customFormat="1" x14ac:dyDescent="0.2">
      <c r="A58" s="3" t="s">
        <v>150</v>
      </c>
      <c r="B58" s="3" t="str">
        <f>LOWER(VLOOKUP(A58,Xtal_Templ!A:B,2,FALSE))</f>
        <v>acm3_rat</v>
      </c>
      <c r="C58" s="3">
        <f>VLOOKUP($A58,'SegEnds_NonXtal_BW#'!$A:$Z,3,FALSE)+D58-50</f>
        <v>27</v>
      </c>
      <c r="D58" s="3">
        <v>48</v>
      </c>
      <c r="E58" s="3">
        <f>IF(ISERROR(VLOOKUP($A58,'SegEnds_NonXtal_BW#'!$A:$Z,4,FALSE)+VLOOKUP($A58,A:AL,4,FALSE)-50),"-",(VLOOKUP($A58,'SegEnds_NonXtal_BW#'!$A:$Z,4,FALSE)+VLOOKUP($A58,A:AL,4,FALSE)-50))</f>
        <v>58</v>
      </c>
      <c r="F58" s="3">
        <f>G58-2</f>
        <v>59</v>
      </c>
      <c r="G58" s="3">
        <v>61</v>
      </c>
      <c r="H58" s="3">
        <f>G58+1</f>
        <v>62</v>
      </c>
      <c r="I58" s="3">
        <f>H58+1</f>
        <v>63</v>
      </c>
      <c r="J58" s="3">
        <v>76</v>
      </c>
      <c r="K58" s="3">
        <f>VLOOKUP($A58,'SegEnds_NonXtal_BW#'!$A:$Z,8,FALSE)+VLOOKUP($A58,A:AL,10,FALSE)-50</f>
        <v>93</v>
      </c>
      <c r="L58" s="3">
        <f>M58-1</f>
        <v>95</v>
      </c>
      <c r="M58" s="3">
        <v>96</v>
      </c>
      <c r="N58" s="3">
        <f>M58+2</f>
        <v>98</v>
      </c>
      <c r="O58" s="3">
        <f>N58+1</f>
        <v>99</v>
      </c>
      <c r="P58" s="3">
        <v>128</v>
      </c>
      <c r="Q58" s="3">
        <f>VLOOKUP($A58,'SegEnds_NonXtal_BW#'!$A:$Z,12,FALSE)+VLOOKUP($A58,A:AL,16,FALSE)-50</f>
        <v>134</v>
      </c>
      <c r="R58" s="3">
        <f>IF(ISERROR(VLOOKUP($A58,'SegEnds_NonXtal_BW#'!$A:$Z,13,FALSE)+VLOOKUP($A58,A:AL,19,FALSE)-50),"-",VLOOKUP($A58,'SegEnds_NonXtal_BW#'!$A:$Z,13,FALSE)+VLOOKUP($A58,A:AL,19,FALSE)-50)</f>
        <v>135</v>
      </c>
      <c r="S58" s="3">
        <v>135</v>
      </c>
      <c r="T58" s="103">
        <f>IF(ISERROR(VLOOKUP($A58,'SegEnds_NonXtal_BW#'!$A:$Z,14,FALSE)+VLOOKUP($A58,A:AL,19,FALSE)-50),"-",(VLOOKUP($A58,'SegEnds_NonXtal_BW#'!$A:$Z,14,FALSE)+VLOOKUP($A58,A:AL,19,FALSE)-50))</f>
        <v>142</v>
      </c>
      <c r="U58" s="9">
        <f>IF(ISERROR(VLOOKUP($A58,'SegEnds_NonXtal_BW#'!$A:$Z,15,FALSE)+VLOOKUP($A58,A:AL,22,FALSE)-50),"-",VLOOKUP($A58,'SegEnds_NonXtal_BW#'!$A:$Z,15,FALSE)+VLOOKUP($A58,A:AL,22,FALSE)-50)</f>
        <v>143</v>
      </c>
      <c r="V58" s="3">
        <v>155</v>
      </c>
      <c r="W58" s="3">
        <f>IF(ISERROR(VLOOKUP($A58,'SegEnds_NonXtal_BW#'!$A:$Z,16,FALSE)+VLOOKUP($A58,A:AL,22,FALSE)-50),"-",(VLOOKUP($A58,'SegEnds_NonXtal_BW#'!$A:$Z,16,FALSE)+VLOOKUP($A58,A:AL,22,FALSE)-50))</f>
        <v>174</v>
      </c>
      <c r="X58" s="3">
        <f>IF(ISERROR(VLOOKUP($A58,'SegEnds_NonXtal_BW#'!$A:$Z,17,FALSE)+VLOOKUP($A58,A:AL,25,FALSE)-50),"-",(VLOOKUP($A58,'SegEnds_NonXtal_BW#'!$A:$Z,17,FALSE)+VLOOKUP($A58,A:AL,25,FALSE)-50))</f>
        <v>183</v>
      </c>
      <c r="Y58" s="3">
        <v>183</v>
      </c>
      <c r="Z58" s="3">
        <f>Y58+2</f>
        <v>185</v>
      </c>
      <c r="AA58" s="3">
        <f>IF(ISERROR(VLOOKUP($A58,'SegEnds_NonXtal_BW#'!$A:$Z,19,FALSE)+VLOOKUP($A58,A:AL,28,FALSE)-50),"-",(VLOOKUP($A58,'SegEnds_NonXtal_BW#'!$A:$Z,19,FALSE)+VLOOKUP($A58,A:AL,28,FALSE)-50))</f>
        <v>190</v>
      </c>
      <c r="AB58" s="3">
        <v>205</v>
      </c>
      <c r="AC58" s="3">
        <f>IF(ISERROR((VLOOKUP($A58,'SegEnds_NonXtal_BW#'!$A:$Z,20,FALSE)+VLOOKUP($A58,A:AL,28,FALSE)-50)),"-",(VLOOKUP($A58,'SegEnds_NonXtal_BW#'!$A:$Z,20,FALSE)+VLOOKUP($A58,A:AL,28,FALSE)-50))</f>
        <v>230</v>
      </c>
      <c r="AD58" s="3">
        <f>IF(ISERROR(VLOOKUP($A58,'SegEnds_NonXtal_BW#'!$A:$Z,21,FALSE)+VLOOKUP($A58,A:AL,31,FALSE)-50),"-",(VLOOKUP($A58,'SegEnds_NonXtal_BW#'!$A:$Z,21,FALSE)+VLOOKUP($A58,A:AL,31,FALSE)-50))</f>
        <v>431</v>
      </c>
      <c r="AE58" s="3">
        <v>457</v>
      </c>
      <c r="AF58" s="3">
        <f>IF(ISERROR((VLOOKUP($A58,'SegEnds_NonXtal_BW#'!$A:$Z,22,FALSE)+VLOOKUP($A58,A:AL,31,FALSE)-50)),"-",(VLOOKUP($A58,'SegEnds_NonXtal_BW#'!$A:$Z,22,FALSE)+VLOOKUP($A58,A:AL,31,FALSE)-50))</f>
        <v>468</v>
      </c>
      <c r="AG58" s="3">
        <f>IF(ISERROR(VLOOKUP($A58,'SegEnds_NonXtal_BW#'!$A:$Z,23,FALSE)+VLOOKUP($A58,A:AL,34,FALSE)-50),"-",(VLOOKUP($A58,'SegEnds_NonXtal_BW#'!$A:$Z,23,FALSE)+VLOOKUP($A58,A:AL,34,FALSE)-50))</f>
        <v>473</v>
      </c>
      <c r="AH58" s="3">
        <v>492</v>
      </c>
      <c r="AI58" s="3">
        <f>IF(ISERROR((VLOOKUP($A58,'SegEnds_NonXtal_BW#'!$A:$Z,24,FALSE)+VLOOKUP($A58,A:AL,34,FALSE)-50)),"-",(VLOOKUP($A58,'SegEnds_NonXtal_BW#'!$A:$Z,24,FALSE)+VLOOKUP($A58,A:AL,34,FALSE)-50))</f>
        <v>498</v>
      </c>
      <c r="AJ58" s="3">
        <f>IF(ISERROR(VLOOKUP($A58,'SegEnds_NonXtal_BW#'!$A:$Z,25,FALSE)+VLOOKUP($A58,A:AL,37,FALSE)-50),"-",(VLOOKUP($A58,'SegEnds_NonXtal_BW#'!$A:$Z,25,FALSE)+VLOOKUP($A58,A:AL,37,FALSE)-50))</f>
        <v>499</v>
      </c>
      <c r="AK58" s="3">
        <v>502</v>
      </c>
      <c r="AL58" s="3">
        <f>IF(ISERROR((VLOOKUP($A58,'SegEnds_NonXtal_BW#'!$A:$Z,26,FALSE)+VLOOKUP($A58,A:AL,37,FALSE)-50)),"-",(VLOOKUP($A58,'SegEnds_NonXtal_BW#'!$A:$Z,26,FALSE)+VLOOKUP($A58,A:AL,37,FALSE)-50))</f>
        <v>510</v>
      </c>
      <c r="AM58" s="28" t="str">
        <f>VLOOKUP(A58,Classification!A:B,2,FALSE)</f>
        <v>A</v>
      </c>
      <c r="AN58" s="28" t="b">
        <f>AND(IF(Y58="-",IF(AA58-W58&gt;3,TRUE,FALSE),TRUE),IF(M58="-",IF(O58-K58&gt;3,TRUE,FALSE),TRUE),C58&lt;E58,OR(E58&lt;F58,F58="-"),OR(F58&lt;H58,F58="-"),OR(H58&lt;I58,H58="-"),I58&lt;K58,OR(K58&lt;L58,L58="-"),OR(L58&lt;N58,L58="-"),OR(N58&lt;O58,N58="-"),O58&lt;Q58,OR(Q58&lt;R58,R58="-"),OR(R58&lt;T58,R58="-"),OR(T58&lt;U58,T58="-"),U58&lt;W58,OR(W58&lt;X58,X58="-"),OR(X58&lt;Z58,X58="-"),OR(Z58&lt;AA58,Z58="-"),AA58&lt;AC58,AC58&lt;AD58,AD58&lt;AF58,AF58&lt;AG58,AG58&lt;AI58,OR(AI58&lt;AJ58,AJ58="-"),OR(AJ58&lt;AL58,AJ58="-"))</f>
        <v>1</v>
      </c>
      <c r="AO58" s="3" t="str">
        <f>IF(ISERROR(MATCH(A58,'SegEnds_Xtal_Prot#'!B:B, 0)), "NoXtal", "Xtal")</f>
        <v>NoXtal</v>
      </c>
      <c r="AP58" s="3">
        <f>IF(ISERROR(F58-E58),"-",F58-E58)</f>
        <v>1</v>
      </c>
      <c r="AQ58" s="3">
        <f>IF(ISERROR(I58-H58),"-",I58-H58)</f>
        <v>1</v>
      </c>
      <c r="AR58" s="3">
        <f>IF(ISERROR(L58-K58),"-",L58-K58)</f>
        <v>2</v>
      </c>
      <c r="AS58" s="3">
        <f>IF(ISERROR(O58-N58),"-",O58-N58)</f>
        <v>1</v>
      </c>
      <c r="AT58" s="3">
        <f>IF(ISERROR(R58-Q58),"-",R58-Q58)</f>
        <v>1</v>
      </c>
      <c r="AU58" s="3">
        <f>IF(ISERROR(U58-T58),"-",U58-T58)</f>
        <v>1</v>
      </c>
      <c r="AV58" s="3">
        <f>IF(ISERROR(X58-W58),"-",X58-W58)</f>
        <v>9</v>
      </c>
      <c r="AW58" s="3">
        <f>IF(ISERROR(AA58-Z58),"-",AA58-Z58)</f>
        <v>5</v>
      </c>
      <c r="AX58" s="3">
        <f>IF(ISERROR(AD58-AC58),"-",AD58-AC58)</f>
        <v>201</v>
      </c>
      <c r="AY58" s="3">
        <f>IF(ISERROR(AG58-AF58),"-",AG58-AF58)</f>
        <v>5</v>
      </c>
      <c r="AZ58" s="3">
        <f>IF(ISERROR(AJ58-AI58),"-",AJ58-AI58)</f>
        <v>1</v>
      </c>
      <c r="BA58" s="3">
        <f>IF(ISERROR(LEN(VLOOKUP(A58,Seqs!A:E,2,FALSE))-AL58),"-",LEN(VLOOKUP(A58,Seqs!A:E,2,FALSE))-AL58)</f>
        <v>22</v>
      </c>
      <c r="BB58" s="16">
        <f>J58-D58</f>
        <v>28</v>
      </c>
      <c r="BC58" s="9">
        <f>IF(ISERROR(V58-S58),"-",V58-S58)</f>
        <v>20</v>
      </c>
      <c r="BD58" s="3">
        <f>J58-D58</f>
        <v>28</v>
      </c>
      <c r="BE58" s="3">
        <f>AE58-AB58</f>
        <v>252</v>
      </c>
      <c r="BF58" s="3">
        <f>AH58-AE58</f>
        <v>35</v>
      </c>
    </row>
    <row r="59" spans="1:58" s="3" customFormat="1" x14ac:dyDescent="0.2">
      <c r="A59" s="3" t="s">
        <v>151</v>
      </c>
      <c r="B59" s="3" t="str">
        <f>LOWER(VLOOKUP(A59,Xtal_Templ!A:B,2,FALSE))</f>
        <v>s1pr1_human</v>
      </c>
      <c r="C59" s="3">
        <f>VLOOKUP($A59,'SegEnds_NonXtal_BW#'!$A:$Z,3,FALSE)+D59-50</f>
        <v>21</v>
      </c>
      <c r="D59" s="3">
        <v>42</v>
      </c>
      <c r="E59" s="3">
        <f>IF(ISERROR(VLOOKUP($A59,'SegEnds_NonXtal_BW#'!$A:$Z,4,FALSE)+VLOOKUP($A59,A:AL,4,FALSE)-50),"-",(VLOOKUP($A59,'SegEnds_NonXtal_BW#'!$A:$Z,4,FALSE)+VLOOKUP($A59,A:AL,4,FALSE)-50))</f>
        <v>52</v>
      </c>
      <c r="F59" s="3">
        <f>G59-2</f>
        <v>53</v>
      </c>
      <c r="G59" s="3">
        <v>55</v>
      </c>
      <c r="H59" s="3">
        <f>G59+1</f>
        <v>56</v>
      </c>
      <c r="I59" s="3">
        <f>H59+1</f>
        <v>57</v>
      </c>
      <c r="J59" s="3">
        <v>70</v>
      </c>
      <c r="K59" s="3">
        <f>VLOOKUP($A59,'SegEnds_NonXtal_BW#'!$A:$Z,8,FALSE)+VLOOKUP($A59,A:AL,10,FALSE)-50</f>
        <v>87</v>
      </c>
      <c r="L59" s="3" t="str">
        <f>IF(ISERROR(VLOOKUP($A59,'SegEnds_NonXtal_BW#'!$A:$Z,9,FALSE)+VLOOKUP($A59,A:AL,13,FALSE)-50),"-",(VLOOKUP($A59,'SegEnds_NonXtal_BW#'!$A:$Z,9,FALSE)+VLOOKUP($A59,A:AL,13,FALSE)-50))</f>
        <v>-</v>
      </c>
      <c r="M59" s="3" t="s">
        <v>23</v>
      </c>
      <c r="N59" s="3" t="str">
        <f>IF(ISERROR(VLOOKUP($A59,'SegEnds_NonXtal_BW#'!$A:$Z,10,FALSE)+VLOOKUP($A59,A:AL,13,FALSE)-50),"-",(VLOOKUP($A59,'SegEnds_NonXtal_BW#'!$A:$Z,10,FALSE)+VLOOKUP($A59,A:AL,13,FALSE)-50))</f>
        <v>-</v>
      </c>
      <c r="O59" s="3">
        <f>VLOOKUP($A59,'SegEnds_NonXtal_BW#'!$A:$Z,11,FALSE)+VLOOKUP($A59,A:AL,16,FALSE)-50</f>
        <v>96</v>
      </c>
      <c r="P59" s="3">
        <v>128</v>
      </c>
      <c r="Q59" s="3">
        <f>VLOOKUP($A59,'SegEnds_NonXtal_BW#'!$A:$Z,12,FALSE)+VLOOKUP($A59,A:AL,16,FALSE)-50</f>
        <v>134</v>
      </c>
      <c r="R59" s="3">
        <f>S59</f>
        <v>135</v>
      </c>
      <c r="S59" s="3">
        <v>135</v>
      </c>
      <c r="T59" s="103">
        <f>S59+7</f>
        <v>142</v>
      </c>
      <c r="U59" s="9">
        <f>IF(ISERROR(VLOOKUP($A59,'SegEnds_NonXtal_BW#'!$A:$Z,15,FALSE)+VLOOKUP($A59,A:AL,22,FALSE)-50),"-",VLOOKUP($A59,'SegEnds_NonXtal_BW#'!$A:$Z,15,FALSE)+VLOOKUP($A59,A:AL,22,FALSE)-50)</f>
        <v>143</v>
      </c>
      <c r="V59" s="3">
        <v>155</v>
      </c>
      <c r="W59" s="3">
        <f>IF(ISERROR(VLOOKUP($A59,'SegEnds_NonXtal_BW#'!$A:$Z,16,FALSE)+VLOOKUP($A59,A:AL,22,FALSE)-50),"-",(VLOOKUP($A59,'SegEnds_NonXtal_BW#'!$A:$Z,16,FALSE)+VLOOKUP($A59,A:AL,22,FALSE)-50))</f>
        <v>168</v>
      </c>
      <c r="X59" s="3" t="str">
        <f>IF(ISERROR(VLOOKUP($A59,'SegEnds_NonXtal_BW#'!$A:$Z,17,FALSE)+VLOOKUP($A59,A:AL,25,FALSE)-50),"-",(VLOOKUP($A59,'SegEnds_NonXtal_BW#'!$A:$Z,17,FALSE)+VLOOKUP($A59,A:AL,25,FALSE)-50))</f>
        <v>-</v>
      </c>
      <c r="Y59" s="3" t="s">
        <v>23</v>
      </c>
      <c r="Z59" s="3" t="str">
        <f>IF(ISERROR(VLOOKUP($A59,'SegEnds_NonXtal_BW#'!$A:$Z,18,FALSE)+VLOOKUP($A59,A:AL,25,FALSE)-50),"-",(VLOOKUP($A59,'SegEnds_NonXtal_BW#'!$A:$Z,18,FALSE)+VLOOKUP($A59,A:AL,25,FALSE)-50))</f>
        <v>-</v>
      </c>
      <c r="AA59" s="3">
        <f>IF(ISERROR(VLOOKUP($A59,'SegEnds_NonXtal_BW#'!$A:$Z,19,FALSE)+VLOOKUP($A59,A:AL,28,FALSE)-50),"-",(VLOOKUP($A59,'SegEnds_NonXtal_BW#'!$A:$Z,19,FALSE)+VLOOKUP($A59,A:AL,28,FALSE)-50))</f>
        <v>178</v>
      </c>
      <c r="AB59" s="9">
        <v>195</v>
      </c>
      <c r="AC59" s="3">
        <f>IF(ISERROR((VLOOKUP($A59,'SegEnds_NonXtal_BW#'!$A:$Z,20,FALSE)+VLOOKUP($A59,A:AL,28,FALSE)-50)),"-",(VLOOKUP($A59,'SegEnds_NonXtal_BW#'!$A:$Z,20,FALSE)+VLOOKUP($A59,A:AL,28,FALSE)-50))</f>
        <v>211</v>
      </c>
      <c r="AD59" s="3">
        <f>IF(ISERROR(VLOOKUP($A59,'SegEnds_NonXtal_BW#'!$A:$Z,21,FALSE)+VLOOKUP($A59,A:AL,31,FALSE)-50),"-",(VLOOKUP($A59,'SegEnds_NonXtal_BW#'!$A:$Z,21,FALSE)+VLOOKUP($A59,A:AL,31,FALSE)-50))</f>
        <v>214</v>
      </c>
      <c r="AE59" s="3">
        <v>234</v>
      </c>
      <c r="AF59" s="3">
        <f>IF(ISERROR((VLOOKUP($A59,'SegEnds_NonXtal_BW#'!$A:$Z,22,FALSE)+VLOOKUP($A59,A:AL,31,FALSE)-50)),"-",(VLOOKUP($A59,'SegEnds_NonXtal_BW#'!$A:$Z,22,FALSE)+VLOOKUP($A59,A:AL,31,FALSE)-50))</f>
        <v>245</v>
      </c>
      <c r="AG59" s="3">
        <f>IF(ISERROR(VLOOKUP($A59,'SegEnds_NonXtal_BW#'!$A:$Z,23,FALSE)+VLOOKUP($A59,A:AL,34,FALSE)-50),"-",(VLOOKUP($A59,'SegEnds_NonXtal_BW#'!$A:$Z,23,FALSE)+VLOOKUP($A59,A:AL,34,FALSE)-50))</f>
        <v>251</v>
      </c>
      <c r="AH59" s="3">
        <v>273</v>
      </c>
      <c r="AI59" s="3">
        <f>IF(ISERROR((VLOOKUP($A59,'SegEnds_NonXtal_BW#'!$A:$Z,24,FALSE)+VLOOKUP($A59,A:AL,34,FALSE)-50)),"-",(VLOOKUP($A59,'SegEnds_NonXtal_BW#'!$A:$Z,24,FALSE)+VLOOKUP($A59,A:AL,34,FALSE)-50))</f>
        <v>279</v>
      </c>
      <c r="AJ59" s="3">
        <f>IF(ISERROR(VLOOKUP($A59,'SegEnds_NonXtal_BW#'!$A:$Z,25,FALSE)+VLOOKUP($A59,A:AL,37,FALSE)-50),"-",(VLOOKUP($A59,'SegEnds_NonXtal_BW#'!$A:$Z,25,FALSE)+VLOOKUP($A59,A:AL,37,FALSE)-50))</f>
        <v>280</v>
      </c>
      <c r="AK59" s="3">
        <v>283</v>
      </c>
      <c r="AL59" s="3">
        <f>IF(ISERROR((VLOOKUP($A59,'SegEnds_NonXtal_BW#'!$A:$Z,26,FALSE)+VLOOKUP($A59,A:AL,37,FALSE)-50)),"-",(VLOOKUP($A59,'SegEnds_NonXtal_BW#'!$A:$Z,26,FALSE)+VLOOKUP($A59,A:AL,37,FALSE)-50))</f>
        <v>292</v>
      </c>
      <c r="AM59" s="28" t="str">
        <f>VLOOKUP(A59,Classification!A:B,2,FALSE)</f>
        <v>A</v>
      </c>
      <c r="AN59" s="28" t="b">
        <f>AND(IF(Y59="-",IF(AA59-W59&gt;3,TRUE,FALSE),TRUE),IF(M59="-",IF(O59-K59&gt;3,TRUE,FALSE),TRUE),C59&lt;E59,OR(E59&lt;F59,F59="-"),OR(F59&lt;H59,F59="-"),OR(H59&lt;I59,H59="-"),I59&lt;K59,OR(K59&lt;L59,L59="-"),OR(L59&lt;N59,L59="-"),OR(N59&lt;O59,N59="-"),O59&lt;Q59,OR(Q59&lt;R59,R59="-"),OR(R59&lt;T59,R59="-"),OR(T59&lt;U59,T59="-"),U59&lt;W59,OR(W59&lt;X59,X59="-"),OR(X59&lt;Z59,X59="-"),OR(Z59&lt;AA59,Z59="-"),AA59&lt;AC59,AC59&lt;AD59,AD59&lt;AF59,AF59&lt;AG59,AG59&lt;AI59,OR(AI59&lt;AJ59,AJ59="-"),OR(AJ59&lt;AL59,AJ59="-"))</f>
        <v>1</v>
      </c>
      <c r="AO59" s="3" t="str">
        <f>IF(ISERROR(MATCH(A59,'SegEnds_Xtal_Prot#'!B:B, 0)), "NoXtal", "Xtal")</f>
        <v>NoXtal</v>
      </c>
      <c r="AP59" s="3">
        <f>IF(ISERROR(F59-E59),"-",F59-E59)</f>
        <v>1</v>
      </c>
      <c r="AQ59" s="3">
        <f>IF(ISERROR(I59-H59),"-",I59-H59)</f>
        <v>1</v>
      </c>
      <c r="AR59" s="3" t="str">
        <f>IF(ISERROR(L59-K59),"-",L59-K59)</f>
        <v>-</v>
      </c>
      <c r="AS59" s="3" t="str">
        <f>IF(ISERROR(O59-N59),"-",O59-N59)</f>
        <v>-</v>
      </c>
      <c r="AT59" s="3">
        <f>IF(ISERROR(R59-Q59),"-",R59-Q59)</f>
        <v>1</v>
      </c>
      <c r="AU59" s="3">
        <f>IF(ISERROR(U59-T59),"-",U59-T59)</f>
        <v>1</v>
      </c>
      <c r="AV59" s="3" t="str">
        <f>IF(ISERROR(X59-W59),"-",X59-W59)</f>
        <v>-</v>
      </c>
      <c r="AW59" s="3" t="str">
        <f>IF(ISERROR(AA59-Z59),"-",AA59-Z59)</f>
        <v>-</v>
      </c>
      <c r="AX59" s="3">
        <f>IF(ISERROR(AD59-AC59),"-",AD59-AC59)</f>
        <v>3</v>
      </c>
      <c r="AY59" s="3">
        <f>IF(ISERROR(AG59-AF59),"-",AG59-AF59)</f>
        <v>6</v>
      </c>
      <c r="AZ59" s="3">
        <f>IF(ISERROR(AJ59-AI59),"-",AJ59-AI59)</f>
        <v>1</v>
      </c>
      <c r="BA59" s="3">
        <f>IF(ISERROR(LEN(VLOOKUP(A59,Seqs!A:E,2,FALSE))-AL59),"-",LEN(VLOOKUP(A59,Seqs!A:E,2,FALSE))-AL59)</f>
        <v>5</v>
      </c>
      <c r="BB59" s="16">
        <f>J59-D59</f>
        <v>28</v>
      </c>
      <c r="BC59" s="9">
        <f>IF(ISERROR(V59-S59),"-",V59-S59)</f>
        <v>20</v>
      </c>
      <c r="BD59" s="3">
        <f>J59-D59</f>
        <v>28</v>
      </c>
      <c r="BE59" s="3">
        <f>AE59-AB59</f>
        <v>39</v>
      </c>
      <c r="BF59" s="3">
        <f>AH59-AE59</f>
        <v>39</v>
      </c>
    </row>
    <row r="60" spans="1:58" s="3" customFormat="1" x14ac:dyDescent="0.2">
      <c r="A60" s="3" t="s">
        <v>152</v>
      </c>
      <c r="B60" s="3" t="str">
        <f>LOWER(VLOOKUP(A60,Xtal_Templ!A:B,2,FALSE))</f>
        <v>5ht1b_human</v>
      </c>
      <c r="C60" s="3">
        <f>VLOOKUP($A60,'SegEnds_NonXtal_BW#'!$A:$Z,3,FALSE)+D60-50</f>
        <v>23</v>
      </c>
      <c r="D60" s="3">
        <v>44</v>
      </c>
      <c r="E60" s="3">
        <f>IF(ISERROR(VLOOKUP($A60,'SegEnds_NonXtal_BW#'!$A:$Z,4,FALSE)+VLOOKUP($A60,A:AL,4,FALSE)-50),"-",(VLOOKUP($A60,'SegEnds_NonXtal_BW#'!$A:$Z,4,FALSE)+VLOOKUP($A60,A:AL,4,FALSE)-50))</f>
        <v>54</v>
      </c>
      <c r="F60" s="3">
        <f>G60-2</f>
        <v>55</v>
      </c>
      <c r="G60" s="3">
        <v>57</v>
      </c>
      <c r="H60" s="3">
        <f>G60+1</f>
        <v>58</v>
      </c>
      <c r="I60" s="3">
        <f>H60+1</f>
        <v>59</v>
      </c>
      <c r="J60" s="3">
        <v>72</v>
      </c>
      <c r="K60" s="3">
        <f>VLOOKUP($A60,'SegEnds_NonXtal_BW#'!$A:$Z,8,FALSE)+VLOOKUP($A60,A:AL,10,FALSE)-50</f>
        <v>89</v>
      </c>
      <c r="L60" s="3">
        <f>M60-1</f>
        <v>91</v>
      </c>
      <c r="M60" s="3">
        <v>92</v>
      </c>
      <c r="N60" s="3">
        <f>M60+2</f>
        <v>94</v>
      </c>
      <c r="O60" s="3">
        <f>N60+1</f>
        <v>95</v>
      </c>
      <c r="P60" s="3">
        <v>124</v>
      </c>
      <c r="Q60" s="3">
        <f>VLOOKUP($A60,'SegEnds_NonXtal_BW#'!$A:$Z,12,FALSE)+VLOOKUP($A60,A:AL,16,FALSE)-50</f>
        <v>130</v>
      </c>
      <c r="R60" s="3">
        <f>IF(ISERROR(VLOOKUP($A60,'SegEnds_NonXtal_BW#'!$A:$Z,13,FALSE)+VLOOKUP($A60,A:AL,19,FALSE)-50),"-",VLOOKUP($A60,'SegEnds_NonXtal_BW#'!$A:$Z,13,FALSE)+VLOOKUP($A60,A:AL,19,FALSE)-50)</f>
        <v>131</v>
      </c>
      <c r="S60" s="3">
        <v>131</v>
      </c>
      <c r="T60" s="103">
        <f>IF(ISERROR(VLOOKUP($A60,'SegEnds_NonXtal_BW#'!$A:$Z,14,FALSE)+VLOOKUP($A60,A:AL,19,FALSE)-50),"-",(VLOOKUP($A60,'SegEnds_NonXtal_BW#'!$A:$Z,14,FALSE)+VLOOKUP($A60,A:AL,19,FALSE)-50))</f>
        <v>138</v>
      </c>
      <c r="U60" s="9">
        <f>IF(ISERROR(VLOOKUP($A60,'SegEnds_NonXtal_BW#'!$A:$Z,15,FALSE)+VLOOKUP($A60,A:AL,22,FALSE)-50),"-",VLOOKUP($A60,'SegEnds_NonXtal_BW#'!$A:$Z,15,FALSE)+VLOOKUP($A60,A:AL,22,FALSE)-50)</f>
        <v>139</v>
      </c>
      <c r="V60" s="3">
        <v>151</v>
      </c>
      <c r="W60" s="3">
        <f>IF(ISERROR(VLOOKUP($A60,'SegEnds_NonXtal_BW#'!$A:$Z,16,FALSE)+VLOOKUP($A60,A:AL,22,FALSE)-50),"-",(VLOOKUP($A60,'SegEnds_NonXtal_BW#'!$A:$Z,16,FALSE)+VLOOKUP($A60,A:AL,22,FALSE)-50))</f>
        <v>164</v>
      </c>
      <c r="X60" s="3">
        <f>IF(ISERROR(VLOOKUP($A60,'SegEnds_NonXtal_BW#'!$A:$Z,17,FALSE)+VLOOKUP($A60,A:AL,25,FALSE)-50),"-",(VLOOKUP($A60,'SegEnds_NonXtal_BW#'!$A:$Z,17,FALSE)+VLOOKUP($A60,A:AL,25,FALSE)-50))</f>
        <v>176</v>
      </c>
      <c r="Y60" s="3">
        <v>176</v>
      </c>
      <c r="Z60" s="3">
        <f>Y60+2</f>
        <v>178</v>
      </c>
      <c r="AA60" s="3">
        <f>IF(ISERROR(VLOOKUP($A60,'SegEnds_NonXtal_BW#'!$A:$Z,19,FALSE)+VLOOKUP($A60,A:AL,28,FALSE)-50),"-",(VLOOKUP($A60,'SegEnds_NonXtal_BW#'!$A:$Z,19,FALSE)+VLOOKUP($A60,A:AL,28,FALSE)-50))</f>
        <v>181</v>
      </c>
      <c r="AB60" s="3">
        <v>196</v>
      </c>
      <c r="AC60" s="3">
        <f>IF(ISERROR((VLOOKUP($A60,'SegEnds_NonXtal_BW#'!$A:$Z,20,FALSE)+VLOOKUP($A60,A:AL,28,FALSE)-50)),"-",(VLOOKUP($A60,'SegEnds_NonXtal_BW#'!$A:$Z,20,FALSE)+VLOOKUP($A60,A:AL,28,FALSE)-50))</f>
        <v>222</v>
      </c>
      <c r="AD60" s="3">
        <f>IF(ISERROR(VLOOKUP($A60,'SegEnds_NonXtal_BW#'!$A:$Z,21,FALSE)+VLOOKUP($A60,A:AL,31,FALSE)-50),"-",(VLOOKUP($A60,'SegEnds_NonXtal_BW#'!$A:$Z,21,FALSE)+VLOOKUP($A60,A:AL,31,FALSE)-50))</f>
        <v>261</v>
      </c>
      <c r="AE60" s="3">
        <v>287</v>
      </c>
      <c r="AF60" s="3">
        <f>IF(ISERROR((VLOOKUP($A60,'SegEnds_NonXtal_BW#'!$A:$Z,22,FALSE)+VLOOKUP($A60,A:AL,31,FALSE)-50)),"-",(VLOOKUP($A60,'SegEnds_NonXtal_BW#'!$A:$Z,22,FALSE)+VLOOKUP($A60,A:AL,31,FALSE)-50))</f>
        <v>298</v>
      </c>
      <c r="AG60" s="3">
        <f>IF(ISERROR(VLOOKUP($A60,'SegEnds_NonXtal_BW#'!$A:$Z,23,FALSE)+VLOOKUP($A60,A:AL,34,FALSE)-50),"-",(VLOOKUP($A60,'SegEnds_NonXtal_BW#'!$A:$Z,23,FALSE)+VLOOKUP($A60,A:AL,34,FALSE)-50))</f>
        <v>304</v>
      </c>
      <c r="AH60" s="3">
        <v>323</v>
      </c>
      <c r="AI60" s="3">
        <f>IF(ISERROR((VLOOKUP($A60,'SegEnds_NonXtal_BW#'!$A:$Z,24,FALSE)+VLOOKUP($A60,A:AL,34,FALSE)-50)),"-",(VLOOKUP($A60,'SegEnds_NonXtal_BW#'!$A:$Z,24,FALSE)+VLOOKUP($A60,A:AL,34,FALSE)-50))</f>
        <v>329</v>
      </c>
      <c r="AJ60" s="3">
        <f>IF(ISERROR(VLOOKUP($A60,'SegEnds_NonXtal_BW#'!$A:$Z,25,FALSE)+VLOOKUP($A60,A:AL,37,FALSE)-50),"-",(VLOOKUP($A60,'SegEnds_NonXtal_BW#'!$A:$Z,25,FALSE)+VLOOKUP($A60,A:AL,37,FALSE)-50))</f>
        <v>330</v>
      </c>
      <c r="AK60" s="3">
        <v>333</v>
      </c>
      <c r="AL60" s="3">
        <f>IF(ISERROR((VLOOKUP($A60,'SegEnds_NonXtal_BW#'!$A:$Z,26,FALSE)+VLOOKUP($A60,A:AL,37,FALSE)-50)),"-",(VLOOKUP($A60,'SegEnds_NonXtal_BW#'!$A:$Z,26,FALSE)+VLOOKUP($A60,A:AL,37,FALSE)-50))</f>
        <v>341</v>
      </c>
      <c r="AM60" s="28" t="str">
        <f>VLOOKUP(A60,Classification!A:B,2,FALSE)</f>
        <v>A</v>
      </c>
      <c r="AN60" s="28" t="b">
        <f>AND(IF(Y60="-",IF(AA60-W60&gt;3,TRUE,FALSE),TRUE),IF(M60="-",IF(O60-K60&gt;3,TRUE,FALSE),TRUE),C60&lt;E60,OR(E60&lt;F60,F60="-"),OR(F60&lt;H60,F60="-"),OR(H60&lt;I60,H60="-"),I60&lt;K60,OR(K60&lt;L60,L60="-"),OR(L60&lt;N60,L60="-"),OR(N60&lt;O60,N60="-"),O60&lt;Q60,OR(Q60&lt;R60,R60="-"),OR(R60&lt;T60,R60="-"),OR(T60&lt;U60,T60="-"),U60&lt;W60,OR(W60&lt;X60,X60="-"),OR(X60&lt;Z60,X60="-"),OR(Z60&lt;AA60,Z60="-"),AA60&lt;AC60,AC60&lt;AD60,AD60&lt;AF60,AF60&lt;AG60,AG60&lt;AI60,OR(AI60&lt;AJ60,AJ60="-"),OR(AJ60&lt;AL60,AJ60="-"))</f>
        <v>1</v>
      </c>
      <c r="AO60" s="3" t="str">
        <f>IF(ISERROR(MATCH(A60,'SegEnds_Xtal_Prot#'!B:B, 0)), "NoXtal", "Xtal")</f>
        <v>NoXtal</v>
      </c>
      <c r="AP60" s="3">
        <f>IF(ISERROR(F60-E60),"-",F60-E60)</f>
        <v>1</v>
      </c>
      <c r="AQ60" s="3">
        <f>IF(ISERROR(I60-H60),"-",I60-H60)</f>
        <v>1</v>
      </c>
      <c r="AR60" s="3">
        <f>IF(ISERROR(L60-K60),"-",L60-K60)</f>
        <v>2</v>
      </c>
      <c r="AS60" s="3">
        <f>IF(ISERROR(O60-N60),"-",O60-N60)</f>
        <v>1</v>
      </c>
      <c r="AT60" s="3">
        <f>IF(ISERROR(R60-Q60),"-",R60-Q60)</f>
        <v>1</v>
      </c>
      <c r="AU60" s="3">
        <f>IF(ISERROR(U60-T60),"-",U60-T60)</f>
        <v>1</v>
      </c>
      <c r="AV60" s="3">
        <f>IF(ISERROR(X60-W60),"-",X60-W60)</f>
        <v>12</v>
      </c>
      <c r="AW60" s="3">
        <f>IF(ISERROR(AA60-Z60),"-",AA60-Z60)</f>
        <v>3</v>
      </c>
      <c r="AX60" s="3">
        <f>IF(ISERROR(AD60-AC60),"-",AD60-AC60)</f>
        <v>39</v>
      </c>
      <c r="AY60" s="3">
        <f>IF(ISERROR(AG60-AF60),"-",AG60-AF60)</f>
        <v>6</v>
      </c>
      <c r="AZ60" s="3">
        <f>IF(ISERROR(AJ60-AI60),"-",AJ60-AI60)</f>
        <v>1</v>
      </c>
      <c r="BA60" s="3">
        <f>IF(ISERROR(LEN(VLOOKUP(A60,Seqs!A:E,2,FALSE))-AL60),"-",LEN(VLOOKUP(A60,Seqs!A:E,2,FALSE))-AL60)</f>
        <v>125</v>
      </c>
      <c r="BB60" s="16">
        <f>J60-D60</f>
        <v>28</v>
      </c>
      <c r="BC60" s="9">
        <f>IF(ISERROR(V60-S60),"-",V60-S60)</f>
        <v>20</v>
      </c>
      <c r="BD60" s="3">
        <f>J60-D60</f>
        <v>28</v>
      </c>
      <c r="BE60" s="3">
        <f>AE60-AB60</f>
        <v>91</v>
      </c>
    </row>
    <row r="61" spans="1:58" s="3" customFormat="1" x14ac:dyDescent="0.2">
      <c r="A61" s="3" t="s">
        <v>153</v>
      </c>
      <c r="B61" s="3" t="str">
        <f>LOWER(VLOOKUP(A61,Xtal_Templ!A:B,2,FALSE))</f>
        <v>drd3_human</v>
      </c>
      <c r="C61" s="3">
        <f>VLOOKUP($A61,'SegEnds_NonXtal_BW#'!$A:$Z,3,FALSE)+D61-50</f>
        <v>42</v>
      </c>
      <c r="D61" s="3">
        <v>63</v>
      </c>
      <c r="E61" s="3">
        <f>IF(ISERROR(VLOOKUP($A61,'SegEnds_NonXtal_BW#'!$A:$Z,4,FALSE)+VLOOKUP($A61,A:AL,4,FALSE)-50),"-",(VLOOKUP($A61,'SegEnds_NonXtal_BW#'!$A:$Z,4,FALSE)+VLOOKUP($A61,A:AL,4,FALSE)-50))</f>
        <v>73</v>
      </c>
      <c r="F61" s="3">
        <f>G61-2</f>
        <v>74</v>
      </c>
      <c r="G61" s="3">
        <v>76</v>
      </c>
      <c r="H61" s="3">
        <f>G61+1</f>
        <v>77</v>
      </c>
      <c r="I61" s="3">
        <f>H61+1</f>
        <v>78</v>
      </c>
      <c r="J61" s="3">
        <v>91</v>
      </c>
      <c r="K61" s="3">
        <f>VLOOKUP($A61,'SegEnds_NonXtal_BW#'!$A:$Z,8,FALSE)+VLOOKUP($A61,A:AL,10,FALSE)-50</f>
        <v>108</v>
      </c>
      <c r="L61" s="3">
        <f>M61-1</f>
        <v>110</v>
      </c>
      <c r="M61" s="3">
        <v>111</v>
      </c>
      <c r="N61" s="3">
        <f>M61+2</f>
        <v>113</v>
      </c>
      <c r="O61" s="3">
        <f>N61+1</f>
        <v>114</v>
      </c>
      <c r="P61" s="3">
        <v>143</v>
      </c>
      <c r="Q61" s="3">
        <f>VLOOKUP($A61,'SegEnds_NonXtal_BW#'!$A:$Z,12,FALSE)+VLOOKUP($A61,A:AL,16,FALSE)-50</f>
        <v>149</v>
      </c>
      <c r="R61" s="3">
        <f>IF(ISERROR(VLOOKUP($A61,'SegEnds_NonXtal_BW#'!$A:$Z,13,FALSE)+VLOOKUP($A61,A:AL,19,FALSE)-50),"-",VLOOKUP($A61,'SegEnds_NonXtal_BW#'!$A:$Z,13,FALSE)+VLOOKUP($A61,A:AL,19,FALSE)-50)</f>
        <v>150</v>
      </c>
      <c r="S61" s="3">
        <v>150</v>
      </c>
      <c r="T61" s="103">
        <f>IF(ISERROR(VLOOKUP($A61,'SegEnds_NonXtal_BW#'!$A:$Z,14,FALSE)+VLOOKUP($A61,A:AL,19,FALSE)-50),"-",(VLOOKUP($A61,'SegEnds_NonXtal_BW#'!$A:$Z,14,FALSE)+VLOOKUP($A61,A:AL,19,FALSE)-50))</f>
        <v>157</v>
      </c>
      <c r="U61" s="9">
        <f>IF(ISERROR(VLOOKUP($A61,'SegEnds_NonXtal_BW#'!$A:$Z,15,FALSE)+VLOOKUP($A61,A:AL,22,FALSE)-50),"-",VLOOKUP($A61,'SegEnds_NonXtal_BW#'!$A:$Z,15,FALSE)+VLOOKUP($A61,A:AL,22,FALSE)-50)</f>
        <v>158</v>
      </c>
      <c r="V61" s="3">
        <v>170</v>
      </c>
      <c r="W61" s="3">
        <f>IF(ISERROR(VLOOKUP($A61,'SegEnds_NonXtal_BW#'!$A:$Z,16,FALSE)+VLOOKUP($A61,A:AL,22,FALSE)-50),"-",(VLOOKUP($A61,'SegEnds_NonXtal_BW#'!$A:$Z,16,FALSE)+VLOOKUP($A61,A:AL,22,FALSE)-50))</f>
        <v>183</v>
      </c>
      <c r="X61" s="3">
        <f>IF(ISERROR(VLOOKUP($A61,'SegEnds_NonXtal_BW#'!$A:$Z,17,FALSE)+VLOOKUP($A61,A:AL,25,FALSE)-50),"-",(VLOOKUP($A61,'SegEnds_NonXtal_BW#'!$A:$Z,17,FALSE)+VLOOKUP($A61,A:AL,25,FALSE)-50))</f>
        <v>195</v>
      </c>
      <c r="Y61" s="3">
        <v>195</v>
      </c>
      <c r="Z61" s="3">
        <f>Y61+2</f>
        <v>197</v>
      </c>
      <c r="AA61" s="3">
        <f>IF(ISERROR(VLOOKUP($A61,'SegEnds_NonXtal_BW#'!$A:$Z,19,FALSE)+VLOOKUP($A61,A:AL,28,FALSE)-50),"-",(VLOOKUP($A61,'SegEnds_NonXtal_BW#'!$A:$Z,19,FALSE)+VLOOKUP($A61,A:AL,28,FALSE)-50))</f>
        <v>200</v>
      </c>
      <c r="AB61" s="3">
        <v>215</v>
      </c>
      <c r="AC61" s="3">
        <f>IF(ISERROR((VLOOKUP($A61,'SegEnds_NonXtal_BW#'!$A:$Z,20,FALSE)+VLOOKUP($A61,A:AL,28,FALSE)-50)),"-",(VLOOKUP($A61,'SegEnds_NonXtal_BW#'!$A:$Z,20,FALSE)+VLOOKUP($A61,A:AL,28,FALSE)-50))</f>
        <v>239</v>
      </c>
      <c r="AD61" s="3">
        <f>IF(ISERROR(VLOOKUP($A61,'SegEnds_NonXtal_BW#'!$A:$Z,21,FALSE)+VLOOKUP($A61,A:AL,31,FALSE)-50),"-",(VLOOKUP($A61,'SegEnds_NonXtal_BW#'!$A:$Z,21,FALSE)+VLOOKUP($A61,A:AL,31,FALSE)-50))</f>
        <v>283</v>
      </c>
      <c r="AE61" s="3">
        <v>309</v>
      </c>
      <c r="AF61" s="3">
        <f>IF(ISERROR((VLOOKUP($A61,'SegEnds_NonXtal_BW#'!$A:$Z,22,FALSE)+VLOOKUP($A61,A:AL,31,FALSE)-50)),"-",(VLOOKUP($A61,'SegEnds_NonXtal_BW#'!$A:$Z,22,FALSE)+VLOOKUP($A61,A:AL,31,FALSE)-50))</f>
        <v>320</v>
      </c>
      <c r="AG61" s="3">
        <f>IF(ISERROR(VLOOKUP($A61,'SegEnds_NonXtal_BW#'!$A:$Z,23,FALSE)+VLOOKUP($A61,A:AL,34,FALSE)-50),"-",(VLOOKUP($A61,'SegEnds_NonXtal_BW#'!$A:$Z,23,FALSE)+VLOOKUP($A61,A:AL,34,FALSE)-50))</f>
        <v>326</v>
      </c>
      <c r="AH61" s="3">
        <v>345</v>
      </c>
      <c r="AI61" s="3">
        <v>351</v>
      </c>
      <c r="AJ61" s="3">
        <f>IF(ISERROR(VLOOKUP($A61,'SegEnds_NonXtal_BW#'!$A:$Z,25,FALSE)+VLOOKUP($A61,A:AL,37,FALSE)-50),"-",(VLOOKUP($A61,'SegEnds_NonXtal_BW#'!$A:$Z,25,FALSE)+VLOOKUP($A61,A:AL,37,FALSE)-50))</f>
        <v>352</v>
      </c>
      <c r="AK61" s="3">
        <v>355</v>
      </c>
      <c r="AL61" s="3">
        <f>IF(ISERROR((VLOOKUP($A61,'SegEnds_NonXtal_BW#'!$A:$Z,26,FALSE)+VLOOKUP($A61,A:AL,37,FALSE)-50)),"-",(VLOOKUP($A61,'SegEnds_NonXtal_BW#'!$A:$Z,26,FALSE)+VLOOKUP($A61,A:AL,37,FALSE)-50))</f>
        <v>364</v>
      </c>
      <c r="AM61" s="28" t="str">
        <f>VLOOKUP(A61,Classification!A:B,2,FALSE)</f>
        <v>A</v>
      </c>
      <c r="AN61" s="28" t="b">
        <f>AND(IF(Y61="-",IF(AA61-W61&gt;3,TRUE,FALSE),TRUE),IF(M61="-",IF(O61-K61&gt;3,TRUE,FALSE),TRU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>IF(ISERROR(F61-E61),"-",F61-E61)</f>
        <v>1</v>
      </c>
      <c r="AQ61" s="3">
        <f>IF(ISERROR(I61-H61),"-",I61-H61)</f>
        <v>1</v>
      </c>
      <c r="AR61" s="3">
        <f>IF(ISERROR(L61-K61),"-",L61-K61)</f>
        <v>2</v>
      </c>
      <c r="AS61" s="3">
        <f>IF(ISERROR(O61-N61),"-",O61-N61)</f>
        <v>1</v>
      </c>
      <c r="AT61" s="3">
        <f>IF(ISERROR(R61-Q61),"-",R61-Q61)</f>
        <v>1</v>
      </c>
      <c r="AU61" s="3">
        <f>IF(ISERROR(U61-T61),"-",U61-T61)</f>
        <v>1</v>
      </c>
      <c r="AV61" s="3">
        <f>IF(ISERROR(X61-W61),"-",X61-W61)</f>
        <v>12</v>
      </c>
      <c r="AW61" s="3">
        <f>IF(ISERROR(AA61-Z61),"-",AA61-Z61)</f>
        <v>3</v>
      </c>
      <c r="AX61" s="3">
        <f>IF(ISERROR(AD61-AC61),"-",AD61-AC61)</f>
        <v>44</v>
      </c>
      <c r="AY61" s="3">
        <f>IF(ISERROR(AG61-AF61),"-",AG61-AF61)</f>
        <v>6</v>
      </c>
      <c r="AZ61" s="3">
        <f>IF(ISERROR(AJ61-AI61),"-",AJ61-AI61)</f>
        <v>1</v>
      </c>
      <c r="BA61" s="3">
        <f>IF(ISERROR(LEN(VLOOKUP(A61,Seqs!A:E,2,FALSE))-AL61),"-",LEN(VLOOKUP(A61,Seqs!A:E,2,FALSE))-AL61)</f>
        <v>156</v>
      </c>
      <c r="BB61" s="16">
        <f>J61-D61</f>
        <v>28</v>
      </c>
      <c r="BC61" s="9">
        <f>IF(ISERROR(V61-S61),"-",V61-S61)</f>
        <v>20</v>
      </c>
      <c r="BD61" s="3">
        <f>J61-D61</f>
        <v>28</v>
      </c>
      <c r="BE61" s="3">
        <f>AE61-AB61</f>
        <v>94</v>
      </c>
    </row>
    <row r="62" spans="1:58" s="3" customFormat="1" x14ac:dyDescent="0.2">
      <c r="A62" s="3" t="s">
        <v>154</v>
      </c>
      <c r="B62" s="3" t="str">
        <f>LOWER(VLOOKUP(A62,Xtal_Templ!A:B,2,FALSE))</f>
        <v>adrb2_human</v>
      </c>
      <c r="C62" s="3">
        <f>VLOOKUP($A62,'SegEnds_NonXtal_BW#'!$A:$Z,3,FALSE)+D62-50</f>
        <v>89</v>
      </c>
      <c r="D62" s="3">
        <v>114</v>
      </c>
      <c r="E62" s="3">
        <f>IF(ISERROR(VLOOKUP($A62,'SegEnds_NonXtal_BW#'!$A:$Z,4,FALSE)+VLOOKUP($A62,A:AL,4,FALSE)-50),"-",(VLOOKUP($A62,'SegEnds_NonXtal_BW#'!$A:$Z,4,FALSE)+VLOOKUP($A62,A:AL,4,FALSE)-50))</f>
        <v>124</v>
      </c>
      <c r="F62" s="3">
        <f>G62-2</f>
        <v>125</v>
      </c>
      <c r="G62" s="3">
        <v>127</v>
      </c>
      <c r="H62" s="3">
        <f>G62+1</f>
        <v>128</v>
      </c>
      <c r="I62" s="3">
        <f>H62+1</f>
        <v>129</v>
      </c>
      <c r="J62" s="3">
        <v>142</v>
      </c>
      <c r="K62" s="3">
        <f>VLOOKUP($A62,'SegEnds_NonXtal_BW#'!$A:$Z,8,FALSE)+VLOOKUP($A62,A:AL,10,FALSE)-50</f>
        <v>159</v>
      </c>
      <c r="L62" s="3">
        <f>M62-1</f>
        <v>161</v>
      </c>
      <c r="M62" s="3">
        <v>162</v>
      </c>
      <c r="N62" s="3">
        <f>M62+2</f>
        <v>164</v>
      </c>
      <c r="O62" s="3">
        <f>N62+1</f>
        <v>165</v>
      </c>
      <c r="P62" s="3">
        <v>194</v>
      </c>
      <c r="Q62" s="3">
        <f>VLOOKUP($A62,'SegEnds_NonXtal_BW#'!$A:$Z,12,FALSE)+VLOOKUP($A62,A:AL,16,FALSE)-50</f>
        <v>200</v>
      </c>
      <c r="R62" s="3">
        <f>IF(ISERROR(VLOOKUP($A62,'SegEnds_NonXtal_BW#'!$A:$Z,13,FALSE)+VLOOKUP($A62,A:AL,19,FALSE)-50),"-",VLOOKUP($A62,'SegEnds_NonXtal_BW#'!$A:$Z,13,FALSE)+VLOOKUP($A62,A:AL,19,FALSE)-50)</f>
        <v>201</v>
      </c>
      <c r="S62" s="3">
        <v>201</v>
      </c>
      <c r="T62" s="103">
        <f>IF(ISERROR(VLOOKUP($A62,'SegEnds_NonXtal_BW#'!$A:$Z,14,FALSE)+VLOOKUP($A62,A:AL,19,FALSE)-50),"-",(VLOOKUP($A62,'SegEnds_NonXtal_BW#'!$A:$Z,14,FALSE)+VLOOKUP($A62,A:AL,19,FALSE)-50))</f>
        <v>208</v>
      </c>
      <c r="U62" s="9">
        <f>IF(ISERROR(VLOOKUP($A62,'SegEnds_NonXtal_BW#'!$A:$Z,15,FALSE)+VLOOKUP($A62,A:AL,22,FALSE)-50),"-",VLOOKUP($A62,'SegEnds_NonXtal_BW#'!$A:$Z,15,FALSE)+VLOOKUP($A62,A:AL,22,FALSE)-50)</f>
        <v>209</v>
      </c>
      <c r="V62" s="3">
        <v>221</v>
      </c>
      <c r="W62" s="3">
        <f>IF(ISERROR(VLOOKUP($A62,'SegEnds_NonXtal_BW#'!$A:$Z,16,FALSE)+VLOOKUP($A62,A:AL,22,FALSE)-50),"-",(VLOOKUP($A62,'SegEnds_NonXtal_BW#'!$A:$Z,16,FALSE)+VLOOKUP($A62,A:AL,22,FALSE)-50))</f>
        <v>235</v>
      </c>
      <c r="X62" s="3">
        <f>IF(ISERROR(VLOOKUP($A62,'SegEnds_NonXtal_BW#'!$A:$Z,17,FALSE)+VLOOKUP($A62,A:AL,25,FALSE)-50),"-",(VLOOKUP($A62,'SegEnds_NonXtal_BW#'!$A:$Z,17,FALSE)+VLOOKUP($A62,A:AL,25,FALSE)-50))</f>
        <v>246</v>
      </c>
      <c r="Y62" s="3">
        <v>246</v>
      </c>
      <c r="Z62" s="3">
        <f>Y62+2</f>
        <v>248</v>
      </c>
      <c r="AA62" s="3">
        <f>IF(ISERROR(VLOOKUP($A62,'SegEnds_NonXtal_BW#'!$A:$Z,19,FALSE)+VLOOKUP($A62,A:AL,28,FALSE)-50),"-",(VLOOKUP($A62,'SegEnds_NonXtal_BW#'!$A:$Z,19,FALSE)+VLOOKUP($A62,A:AL,28,FALSE)-50))</f>
        <v>251</v>
      </c>
      <c r="AB62" s="3">
        <v>266</v>
      </c>
      <c r="AC62" s="3">
        <f>IF(ISERROR((VLOOKUP($A62,'SegEnds_NonXtal_BW#'!$A:$Z,20,FALSE)+VLOOKUP($A62,A:AL,28,FALSE)-50)),"-",(VLOOKUP($A62,'SegEnds_NonXtal_BW#'!$A:$Z,20,FALSE)+VLOOKUP($A62,A:AL,28,FALSE)-50))</f>
        <v>290</v>
      </c>
      <c r="AD62" s="3">
        <f>IF(ISERROR(VLOOKUP($A62,'SegEnds_NonXtal_BW#'!$A:$Z,21,FALSE)+VLOOKUP($A62,A:AL,31,FALSE)-50),"-",(VLOOKUP($A62,'SegEnds_NonXtal_BW#'!$A:$Z,21,FALSE)+VLOOKUP($A62,A:AL,31,FALSE)-50))</f>
        <v>337</v>
      </c>
      <c r="AE62" s="3">
        <v>363</v>
      </c>
      <c r="AF62" s="3">
        <f>IF(ISERROR((VLOOKUP($A62,'SegEnds_NonXtal_BW#'!$A:$Z,22,FALSE)+VLOOKUP($A62,A:AL,31,FALSE)-50)),"-",(VLOOKUP($A62,'SegEnds_NonXtal_BW#'!$A:$Z,22,FALSE)+VLOOKUP($A62,A:AL,31,FALSE)-50))</f>
        <v>374</v>
      </c>
      <c r="AG62" s="3">
        <f>IF(ISERROR(VLOOKUP($A62,'SegEnds_NonXtal_BW#'!$A:$Z,23,FALSE)+VLOOKUP($A62,A:AL,34,FALSE)-50),"-",(VLOOKUP($A62,'SegEnds_NonXtal_BW#'!$A:$Z,23,FALSE)+VLOOKUP($A62,A:AL,34,FALSE)-50))</f>
        <v>380</v>
      </c>
      <c r="AH62" s="3">
        <v>399</v>
      </c>
      <c r="AI62" s="3">
        <v>405</v>
      </c>
      <c r="AJ62" s="3">
        <f>IF(ISERROR(VLOOKUP($A62,'SegEnds_NonXtal_BW#'!$A:$Z,25,FALSE)+VLOOKUP($A62,A:AL,37,FALSE)-50),"-",(VLOOKUP($A62,'SegEnds_NonXtal_BW#'!$A:$Z,25,FALSE)+VLOOKUP($A62,A:AL,37,FALSE)-50))</f>
        <v>406</v>
      </c>
      <c r="AK62" s="3">
        <v>409</v>
      </c>
      <c r="AL62" s="3">
        <f>IF(ISERROR((VLOOKUP($A62,'SegEnds_NonXtal_BW#'!$A:$Z,26,FALSE)+VLOOKUP($A62,A:AL,37,FALSE)-50)),"-",(VLOOKUP($A62,'SegEnds_NonXtal_BW#'!$A:$Z,26,FALSE)+VLOOKUP($A62,A:AL,37,FALSE)-50))</f>
        <v>418</v>
      </c>
      <c r="AM62" s="28" t="str">
        <f>VLOOKUP(A62,Classification!A:B,2,FALSE)</f>
        <v>A</v>
      </c>
      <c r="AN62" s="28" t="b">
        <f>AND(IF(Y62="-",IF(AA62-W62&gt;3,TRUE,FALSE),TRUE),IF(M62="-",IF(O62-K62&gt;3,TRUE,FALSE),TRUE),C62&lt;E62,OR(E62&lt;F62,F62="-"),OR(F62&lt;H62,F62="-"),OR(H62&lt;I62,H62="-"),I62&lt;K62,OR(K62&lt;L62,L62="-"),OR(L62&lt;N62,L62="-"),OR(N62&lt;O62,N62="-"),O62&lt;Q62,OR(Q62&lt;R62,R62="-"),OR(R62&lt;T62,R62="-"),OR(T62&lt;U62,T62="-"),U62&lt;W62,OR(W62&lt;X62,X62="-"),OR(X62&lt;Z62,X62="-"),OR(Z62&lt;AA62,Z62="-"),AA62&lt;AC62,AC62&lt;AD62,AD62&lt;AF62,AF62&lt;AG62,AG62&lt;AI62,OR(AI62&lt;AJ62,AJ62="-"),OR(AJ62&lt;AL62,AJ62="-"))</f>
        <v>1</v>
      </c>
      <c r="AO62" s="3" t="str">
        <f>IF(ISERROR(MATCH(A62,'SegEnds_Xtal_Prot#'!B:B, 0)), "NoXtal", "Xtal")</f>
        <v>NoXtal</v>
      </c>
      <c r="AP62" s="3">
        <f>IF(ISERROR(F62-E62),"-",F62-E62)</f>
        <v>1</v>
      </c>
      <c r="AQ62" s="3">
        <f>IF(ISERROR(I62-H62),"-",I62-H62)</f>
        <v>1</v>
      </c>
      <c r="AR62" s="3">
        <f>IF(ISERROR(L62-K62),"-",L62-K62)</f>
        <v>2</v>
      </c>
      <c r="AS62" s="3">
        <f>IF(ISERROR(O62-N62),"-",O62-N62)</f>
        <v>1</v>
      </c>
      <c r="AT62" s="3">
        <f>IF(ISERROR(R62-Q62),"-",R62-Q62)</f>
        <v>1</v>
      </c>
      <c r="AU62" s="3">
        <f>IF(ISERROR(U62-T62),"-",U62-T62)</f>
        <v>1</v>
      </c>
      <c r="AV62" s="3">
        <f>IF(ISERROR(X62-W62),"-",X62-W62)</f>
        <v>11</v>
      </c>
      <c r="AW62" s="3">
        <f>IF(ISERROR(AA62-Z62),"-",AA62-Z62)</f>
        <v>3</v>
      </c>
      <c r="AX62" s="3">
        <f>IF(ISERROR(AD62-AC62),"-",AD62-AC62)</f>
        <v>47</v>
      </c>
      <c r="AY62" s="3">
        <f>IF(ISERROR(AG62-AF62),"-",AG62-AF62)</f>
        <v>6</v>
      </c>
      <c r="AZ62" s="3">
        <f>IF(ISERROR(AJ62-AI62),"-",AJ62-AI62)</f>
        <v>1</v>
      </c>
      <c r="BA62" s="3">
        <f>IF(ISERROR(LEN(VLOOKUP(A62,Seqs!A:E,2,FALSE))-AL62),"-",LEN(VLOOKUP(A62,Seqs!A:E,2,FALSE))-AL62)</f>
        <v>154</v>
      </c>
      <c r="BB62" s="16">
        <f>J62-D62</f>
        <v>28</v>
      </c>
      <c r="BC62" s="9">
        <f>IF(ISERROR(V62-S62),"-",V62-S62)</f>
        <v>20</v>
      </c>
      <c r="BD62" s="3">
        <f>J62-D62</f>
        <v>28</v>
      </c>
      <c r="BE62" s="3">
        <f>AE62-AB62</f>
        <v>97</v>
      </c>
    </row>
    <row r="63" spans="1:58" s="3" customFormat="1" x14ac:dyDescent="0.2">
      <c r="A63" s="3" t="s">
        <v>155</v>
      </c>
      <c r="B63" s="3" t="str">
        <f>LOWER(VLOOKUP(A63,Xtal_Templ!A:B,2,FALSE))</f>
        <v>drd3_human</v>
      </c>
      <c r="C63" s="3">
        <f>VLOOKUP($A63,'SegEnds_NonXtal_BW#'!$A:$Z,3,FALSE)+D63-50</f>
        <v>30</v>
      </c>
      <c r="D63" s="3">
        <v>51</v>
      </c>
      <c r="E63" s="3">
        <f>IF(ISERROR(VLOOKUP($A63,'SegEnds_NonXtal_BW#'!$A:$Z,4,FALSE)+VLOOKUP($A63,A:AL,4,FALSE)-50),"-",(VLOOKUP($A63,'SegEnds_NonXtal_BW#'!$A:$Z,4,FALSE)+VLOOKUP($A63,A:AL,4,FALSE)-50))</f>
        <v>61</v>
      </c>
      <c r="F63" s="3">
        <f>G63-2</f>
        <v>62</v>
      </c>
      <c r="G63" s="3">
        <v>64</v>
      </c>
      <c r="H63" s="3">
        <f>G63+1</f>
        <v>65</v>
      </c>
      <c r="I63" s="3">
        <f>H63+1</f>
        <v>66</v>
      </c>
      <c r="J63" s="3">
        <v>79</v>
      </c>
      <c r="K63" s="3">
        <f>VLOOKUP($A63,'SegEnds_NonXtal_BW#'!$A:$Z,8,FALSE)+VLOOKUP($A63,A:AL,10,FALSE)-50</f>
        <v>96</v>
      </c>
      <c r="L63" s="3">
        <f>M63-1</f>
        <v>98</v>
      </c>
      <c r="M63" s="3">
        <v>99</v>
      </c>
      <c r="N63" s="3">
        <f>M63+2</f>
        <v>101</v>
      </c>
      <c r="O63" s="3">
        <f>N63+1</f>
        <v>102</v>
      </c>
      <c r="P63" s="3">
        <v>131</v>
      </c>
      <c r="Q63" s="3">
        <f>VLOOKUP($A63,'SegEnds_NonXtal_BW#'!$A:$Z,12,FALSE)+VLOOKUP($A63,A:AL,16,FALSE)-50</f>
        <v>137</v>
      </c>
      <c r="R63" s="3">
        <f>IF(ISERROR(VLOOKUP($A63,'SegEnds_NonXtal_BW#'!$A:$Z,13,FALSE)+VLOOKUP($A63,A:AL,19,FALSE)-50),"-",VLOOKUP($A63,'SegEnds_NonXtal_BW#'!$A:$Z,13,FALSE)+VLOOKUP($A63,A:AL,19,FALSE)-50)</f>
        <v>138</v>
      </c>
      <c r="S63" s="3">
        <v>138</v>
      </c>
      <c r="T63" s="103">
        <f>IF(ISERROR(VLOOKUP($A63,'SegEnds_NonXtal_BW#'!$A:$Z,14,FALSE)+VLOOKUP($A63,A:AL,19,FALSE)-50),"-",(VLOOKUP($A63,'SegEnds_NonXtal_BW#'!$A:$Z,14,FALSE)+VLOOKUP($A63,A:AL,19,FALSE)-50))</f>
        <v>145</v>
      </c>
      <c r="U63" s="9">
        <f>IF(ISERROR(VLOOKUP($A63,'SegEnds_NonXtal_BW#'!$A:$Z,15,FALSE)+VLOOKUP($A63,A:AL,22,FALSE)-50),"-",VLOOKUP($A63,'SegEnds_NonXtal_BW#'!$A:$Z,15,FALSE)+VLOOKUP($A63,A:AL,22,FALSE)-50)</f>
        <v>146</v>
      </c>
      <c r="V63" s="3">
        <v>158</v>
      </c>
      <c r="W63" s="3">
        <f>IF(ISERROR(VLOOKUP($A63,'SegEnds_NonXtal_BW#'!$A:$Z,16,FALSE)+VLOOKUP($A63,A:AL,22,FALSE)-50),"-",(VLOOKUP($A63,'SegEnds_NonXtal_BW#'!$A:$Z,16,FALSE)+VLOOKUP($A63,A:AL,22,FALSE)-50))</f>
        <v>171</v>
      </c>
      <c r="X63" s="3">
        <f>IF(ISERROR(VLOOKUP($A63,'SegEnds_NonXtal_BW#'!$A:$Z,17,FALSE)+VLOOKUP($A63,A:AL,25,FALSE)-50),"-",(VLOOKUP($A63,'SegEnds_NonXtal_BW#'!$A:$Z,17,FALSE)+VLOOKUP($A63,A:AL,25,FALSE)-50))</f>
        <v>188</v>
      </c>
      <c r="Y63" s="3">
        <v>188</v>
      </c>
      <c r="Z63" s="3">
        <f>Y63+2</f>
        <v>190</v>
      </c>
      <c r="AA63" s="3">
        <f>IF(ISERROR(VLOOKUP($A63,'SegEnds_NonXtal_BW#'!$A:$Z,19,FALSE)+VLOOKUP($A63,A:AL,28,FALSE)-50),"-",(VLOOKUP($A63,'SegEnds_NonXtal_BW#'!$A:$Z,19,FALSE)+VLOOKUP($A63,A:AL,28,FALSE)-50))</f>
        <v>193</v>
      </c>
      <c r="AB63" s="3">
        <v>208</v>
      </c>
      <c r="AC63" s="3">
        <f>IF(ISERROR((VLOOKUP($A63,'SegEnds_NonXtal_BW#'!$A:$Z,20,FALSE)+VLOOKUP($A63,A:AL,28,FALSE)-50)),"-",(VLOOKUP($A63,'SegEnds_NonXtal_BW#'!$A:$Z,20,FALSE)+VLOOKUP($A63,A:AL,28,FALSE)-50))</f>
        <v>233</v>
      </c>
      <c r="AD63" s="3">
        <f>IF(ISERROR(VLOOKUP($A63,'SegEnds_NonXtal_BW#'!$A:$Z,21,FALSE)+VLOOKUP($A63,A:AL,31,FALSE)-50),"-",(VLOOKUP($A63,'SegEnds_NonXtal_BW#'!$A:$Z,21,FALSE)+VLOOKUP($A63,A:AL,31,FALSE)-50))</f>
        <v>363</v>
      </c>
      <c r="AE63" s="3">
        <v>389</v>
      </c>
      <c r="AF63" s="3">
        <f>IF(ISERROR((VLOOKUP($A63,'SegEnds_NonXtal_BW#'!$A:$Z,22,FALSE)+VLOOKUP($A63,A:AL,31,FALSE)-50)),"-",(VLOOKUP($A63,'SegEnds_NonXtal_BW#'!$A:$Z,22,FALSE)+VLOOKUP($A63,A:AL,31,FALSE)-50))</f>
        <v>400</v>
      </c>
      <c r="AG63" s="3">
        <f>IF(ISERROR(VLOOKUP($A63,'SegEnds_NonXtal_BW#'!$A:$Z,23,FALSE)+VLOOKUP($A63,A:AL,34,FALSE)-50),"-",(VLOOKUP($A63,'SegEnds_NonXtal_BW#'!$A:$Z,23,FALSE)+VLOOKUP($A63,A:AL,34,FALSE)-50))</f>
        <v>405</v>
      </c>
      <c r="AH63" s="3">
        <v>423</v>
      </c>
      <c r="AI63" s="3">
        <f>IF(ISERROR((VLOOKUP($A63,'SegEnds_NonXtal_BW#'!$A:$Z,24,FALSE)+VLOOKUP($A63,A:AL,34,FALSE)-50)),"-",(VLOOKUP($A63,'SegEnds_NonXtal_BW#'!$A:$Z,24,FALSE)+VLOOKUP($A63,A:AL,34,FALSE)-50))</f>
        <v>429</v>
      </c>
      <c r="AJ63" s="3">
        <f>IF(ISERROR(VLOOKUP($A63,'SegEnds_NonXtal_BW#'!$A:$Z,25,FALSE)+VLOOKUP($A63,A:AL,37,FALSE)-50),"-",(VLOOKUP($A63,'SegEnds_NonXtal_BW#'!$A:$Z,25,FALSE)+VLOOKUP($A63,A:AL,37,FALSE)-50))</f>
        <v>430</v>
      </c>
      <c r="AK63" s="3">
        <v>433</v>
      </c>
      <c r="AL63" s="3">
        <f>IF(ISERROR((VLOOKUP($A63,'SegEnds_NonXtal_BW#'!$A:$Z,26,FALSE)+VLOOKUP($A63,A:AL,37,FALSE)-50)),"-",(VLOOKUP($A63,'SegEnds_NonXtal_BW#'!$A:$Z,26,FALSE)+VLOOKUP($A63,A:AL,37,FALSE)-50))</f>
        <v>442</v>
      </c>
      <c r="AM63" s="28" t="str">
        <f>VLOOKUP(A63,Classification!A:B,2,FALSE)</f>
        <v>A</v>
      </c>
      <c r="AN63" s="28" t="b">
        <f>AND(IF(Y63="-",IF(AA63-W63&gt;3,TRUE,FALSE),TRUE),IF(M63="-",IF(O63-K63&gt;3,TRUE,FALSE),TRUE),C63&lt;E63,OR(E63&lt;F63,F63="-"),OR(F63&lt;H63,F63="-"),OR(H63&lt;I63,H63="-"),I63&lt;K63,OR(K63&lt;L63,L63="-"),OR(L63&lt;N63,L63="-"),OR(N63&lt;O63,N63="-"),O63&lt;Q63,OR(Q63&lt;R63,R63="-"),OR(R63&lt;T63,R63="-"),OR(T63&lt;U63,T63="-"),U63&lt;W63,OR(W63&lt;X63,X63="-"),OR(X63&lt;Z63,X63="-"),OR(Z63&lt;AA63,Z63="-"),AA63&lt;AC63,AC63&lt;AD63,AD63&lt;AF63,AF63&lt;AG63,AG63&lt;AI63,OR(AI63&lt;AJ63,AJ63="-"),OR(AJ63&lt;AL63,AJ63="-"))</f>
        <v>1</v>
      </c>
      <c r="AO63" s="3" t="str">
        <f>IF(ISERROR(MATCH(A63,'SegEnds_Xtal_Prot#'!B:B, 0)), "NoXtal", "Xtal")</f>
        <v>NoXtal</v>
      </c>
      <c r="AP63" s="3">
        <f>IF(ISERROR(F63-E63),"-",F63-E63)</f>
        <v>1</v>
      </c>
      <c r="AQ63" s="3">
        <f>IF(ISERROR(I63-H63),"-",I63-H63)</f>
        <v>1</v>
      </c>
      <c r="AR63" s="3">
        <f>IF(ISERROR(L63-K63),"-",L63-K63)</f>
        <v>2</v>
      </c>
      <c r="AS63" s="3">
        <f>IF(ISERROR(O63-N63),"-",O63-N63)</f>
        <v>1</v>
      </c>
      <c r="AT63" s="3">
        <f>IF(ISERROR(R63-Q63),"-",R63-Q63)</f>
        <v>1</v>
      </c>
      <c r="AU63" s="3">
        <f>IF(ISERROR(U63-T63),"-",U63-T63)</f>
        <v>1</v>
      </c>
      <c r="AV63" s="3">
        <f>IF(ISERROR(X63-W63),"-",X63-W63)</f>
        <v>17</v>
      </c>
      <c r="AW63" s="3">
        <f>IF(ISERROR(AA63-Z63),"-",AA63-Z63)</f>
        <v>3</v>
      </c>
      <c r="AX63" s="3">
        <f>IF(ISERROR(AD63-AC63),"-",AD63-AC63)</f>
        <v>130</v>
      </c>
      <c r="AY63" s="3">
        <f>IF(ISERROR(AG63-AF63),"-",AG63-AF63)</f>
        <v>5</v>
      </c>
      <c r="AZ63" s="3">
        <f>IF(ISERROR(AJ63-AI63),"-",AJ63-AI63)</f>
        <v>1</v>
      </c>
      <c r="BA63" s="3">
        <f>IF(ISERROR(LEN(VLOOKUP(A63,Seqs!A:E,2,FALSE))-AL63),"-",LEN(VLOOKUP(A63,Seqs!A:E,2,FALSE))-AL63)</f>
        <v>8</v>
      </c>
      <c r="BB63" s="16">
        <f>J63-D63</f>
        <v>28</v>
      </c>
      <c r="BC63" s="9">
        <f>IF(ISERROR(V63-S63),"-",V63-S63)</f>
        <v>20</v>
      </c>
      <c r="BD63" s="3">
        <f>J63-D63</f>
        <v>28</v>
      </c>
      <c r="BE63" s="3">
        <f>AE63-AB63</f>
        <v>181</v>
      </c>
      <c r="BF63" s="3">
        <f>AH63-AE63</f>
        <v>34</v>
      </c>
    </row>
    <row r="64" spans="1:58" s="3" customFormat="1" x14ac:dyDescent="0.2">
      <c r="A64" s="3" t="s">
        <v>156</v>
      </c>
      <c r="B64" s="3" t="str">
        <f>LOWER(VLOOKUP(A64,Xtal_Templ!A:B,2,FALSE))</f>
        <v>drd3_human</v>
      </c>
      <c r="C64" s="3">
        <f>VLOOKUP($A64,'SegEnds_NonXtal_BW#'!$A:$Z,3,FALSE)+D64-50</f>
        <v>9</v>
      </c>
      <c r="D64" s="3">
        <v>30</v>
      </c>
      <c r="E64" s="3">
        <f>IF(ISERROR(VLOOKUP($A64,'SegEnds_NonXtal_BW#'!$A:$Z,4,FALSE)+VLOOKUP($A64,A:AL,4,FALSE)-50),"-",(VLOOKUP($A64,'SegEnds_NonXtal_BW#'!$A:$Z,4,FALSE)+VLOOKUP($A64,A:AL,4,FALSE)-50))</f>
        <v>40</v>
      </c>
      <c r="F64" s="3">
        <f>G64-2</f>
        <v>41</v>
      </c>
      <c r="G64" s="3">
        <v>43</v>
      </c>
      <c r="H64" s="3">
        <f>G64+1</f>
        <v>44</v>
      </c>
      <c r="I64" s="3">
        <f>H64+1</f>
        <v>45</v>
      </c>
      <c r="J64" s="3">
        <v>58</v>
      </c>
      <c r="K64" s="3">
        <f>VLOOKUP($A64,'SegEnds_NonXtal_BW#'!$A:$Z,8,FALSE)+VLOOKUP($A64,A:AL,10,FALSE)-50</f>
        <v>75</v>
      </c>
      <c r="L64" s="3">
        <f>M64-1</f>
        <v>77</v>
      </c>
      <c r="M64" s="3">
        <v>78</v>
      </c>
      <c r="N64" s="3">
        <f>M64+2</f>
        <v>80</v>
      </c>
      <c r="O64" s="3">
        <f>N64+1</f>
        <v>81</v>
      </c>
      <c r="P64" s="3">
        <v>110</v>
      </c>
      <c r="Q64" s="3">
        <f>VLOOKUP($A64,'SegEnds_NonXtal_BW#'!$A:$Z,12,FALSE)+VLOOKUP($A64,A:AL,16,FALSE)-50</f>
        <v>116</v>
      </c>
      <c r="R64" s="3">
        <f>IF(ISERROR(VLOOKUP($A64,'SegEnds_NonXtal_BW#'!$A:$Z,13,FALSE)+VLOOKUP($A64,A:AL,19,FALSE)-50),"-",VLOOKUP($A64,'SegEnds_NonXtal_BW#'!$A:$Z,13,FALSE)+VLOOKUP($A64,A:AL,19,FALSE)-50)</f>
        <v>117</v>
      </c>
      <c r="S64" s="3">
        <v>117</v>
      </c>
      <c r="T64" s="103">
        <f>IF(ISERROR(VLOOKUP($A64,'SegEnds_NonXtal_BW#'!$A:$Z,14,FALSE)+VLOOKUP($A64,A:AL,19,FALSE)-50),"-",(VLOOKUP($A64,'SegEnds_NonXtal_BW#'!$A:$Z,14,FALSE)+VLOOKUP($A64,A:AL,19,FALSE)-50))</f>
        <v>124</v>
      </c>
      <c r="U64" s="9">
        <f>IF(ISERROR(VLOOKUP($A64,'SegEnds_NonXtal_BW#'!$A:$Z,15,FALSE)+VLOOKUP($A64,A:AL,22,FALSE)-50),"-",VLOOKUP($A64,'SegEnds_NonXtal_BW#'!$A:$Z,15,FALSE)+VLOOKUP($A64,A:AL,22,FALSE)-50)</f>
        <v>125</v>
      </c>
      <c r="V64" s="3">
        <v>137</v>
      </c>
      <c r="W64" s="3">
        <f>IF(ISERROR(VLOOKUP($A64,'SegEnds_NonXtal_BW#'!$A:$Z,16,FALSE)+VLOOKUP($A64,A:AL,22,FALSE)-50),"-",(VLOOKUP($A64,'SegEnds_NonXtal_BW#'!$A:$Z,16,FALSE)+VLOOKUP($A64,A:AL,22,FALSE)-50))</f>
        <v>150</v>
      </c>
      <c r="X64" s="3">
        <f>IF(ISERROR(VLOOKUP($A64,'SegEnds_NonXtal_BW#'!$A:$Z,17,FALSE)+VLOOKUP($A64,A:AL,25,FALSE)-50),"-",(VLOOKUP($A64,'SegEnds_NonXtal_BW#'!$A:$Z,17,FALSE)+VLOOKUP($A64,A:AL,25,FALSE)-50))</f>
        <v>164</v>
      </c>
      <c r="Y64" s="3">
        <v>164</v>
      </c>
      <c r="Z64" s="3">
        <f>Y64+2</f>
        <v>166</v>
      </c>
      <c r="AA64" s="3">
        <f>IF(ISERROR(VLOOKUP($A64,'SegEnds_NonXtal_BW#'!$A:$Z,19,FALSE)+VLOOKUP($A64,A:AL,28,FALSE)-50),"-",(VLOOKUP($A64,'SegEnds_NonXtal_BW#'!$A:$Z,19,FALSE)+VLOOKUP($A64,A:AL,28,FALSE)-50))</f>
        <v>169</v>
      </c>
      <c r="AB64" s="3">
        <v>184</v>
      </c>
      <c r="AC64" s="3">
        <f>IF(ISERROR((VLOOKUP($A64,'SegEnds_NonXtal_BW#'!$A:$Z,20,FALSE)+VLOOKUP($A64,A:AL,28,FALSE)-50)),"-",(VLOOKUP($A64,'SegEnds_NonXtal_BW#'!$A:$Z,20,FALSE)+VLOOKUP($A64,A:AL,28,FALSE)-50))</f>
        <v>209</v>
      </c>
      <c r="AD64" s="3">
        <f>IF(ISERROR(VLOOKUP($A64,'SegEnds_NonXtal_BW#'!$A:$Z,21,FALSE)+VLOOKUP($A64,A:AL,31,FALSE)-50),"-",(VLOOKUP($A64,'SegEnds_NonXtal_BW#'!$A:$Z,21,FALSE)+VLOOKUP($A64,A:AL,31,FALSE)-50))</f>
        <v>357</v>
      </c>
      <c r="AE64" s="3">
        <v>383</v>
      </c>
      <c r="AF64" s="3">
        <f>IF(ISERROR((VLOOKUP($A64,'SegEnds_NonXtal_BW#'!$A:$Z,22,FALSE)+VLOOKUP($A64,A:AL,31,FALSE)-50)),"-",(VLOOKUP($A64,'SegEnds_NonXtal_BW#'!$A:$Z,22,FALSE)+VLOOKUP($A64,A:AL,31,FALSE)-50))</f>
        <v>394</v>
      </c>
      <c r="AG64" s="3">
        <f>IF(ISERROR(VLOOKUP($A64,'SegEnds_NonXtal_BW#'!$A:$Z,23,FALSE)+VLOOKUP($A64,A:AL,34,FALSE)-50),"-",(VLOOKUP($A64,'SegEnds_NonXtal_BW#'!$A:$Z,23,FALSE)+VLOOKUP($A64,A:AL,34,FALSE)-50))</f>
        <v>401</v>
      </c>
      <c r="AH64" s="3">
        <v>420</v>
      </c>
      <c r="AI64" s="3">
        <f>IF(ISERROR((VLOOKUP($A64,'SegEnds_NonXtal_BW#'!$A:$Z,24,FALSE)+VLOOKUP($A64,A:AL,34,FALSE)-50)),"-",(VLOOKUP($A64,'SegEnds_NonXtal_BW#'!$A:$Z,24,FALSE)+VLOOKUP($A64,A:AL,34,FALSE)-50))</f>
        <v>426</v>
      </c>
      <c r="AJ64" s="3">
        <f>IF(ISERROR(VLOOKUP($A64,'SegEnds_NonXtal_BW#'!$A:$Z,25,FALSE)+VLOOKUP($A64,A:AL,37,FALSE)-50),"-",(VLOOKUP($A64,'SegEnds_NonXtal_BW#'!$A:$Z,25,FALSE)+VLOOKUP($A64,A:AL,37,FALSE)-50))</f>
        <v>427</v>
      </c>
      <c r="AK64" s="3">
        <v>430</v>
      </c>
      <c r="AL64" s="3">
        <f>IF(ISERROR((VLOOKUP($A64,'SegEnds_NonXtal_BW#'!$A:$Z,26,FALSE)+VLOOKUP($A64,A:AL,37,FALSE)-50)),"-",(VLOOKUP($A64,'SegEnds_NonXtal_BW#'!$A:$Z,26,FALSE)+VLOOKUP($A64,A:AL,37,FALSE)-50))</f>
        <v>439</v>
      </c>
      <c r="AM64" s="28" t="str">
        <f>VLOOKUP(A64,Classification!A:B,2,FALSE)</f>
        <v>A</v>
      </c>
      <c r="AN64" s="28" t="b">
        <f>AND(IF(Y64="-",IF(AA64-W64&gt;3,TRUE,FALSE),TRUE),IF(M64="-",IF(O64-K64&gt;3,TRUE,FALSE),TRUE),C64&lt;E64,OR(E64&lt;F64,F64="-"),OR(F64&lt;H64,F64="-"),OR(H64&lt;I64,H64="-"),I64&lt;K64,OR(K64&lt;L64,L64="-"),OR(L64&lt;N64,L64="-"),OR(N64&lt;O64,N64="-"),O64&lt;Q64,OR(Q64&lt;R64,R64="-"),OR(R64&lt;T64,R64="-"),OR(T64&lt;U64,T64="-"),U64&lt;W64,OR(W64&lt;X64,X64="-"),OR(X64&lt;Z64,X64="-"),OR(Z64&lt;AA64,Z64="-"),AA64&lt;AC64,AC64&lt;AD64,AD64&lt;AF64,AF64&lt;AG64,AG64&lt;AI64,OR(AI64&lt;AJ64,AJ64="-"),OR(AJ64&lt;AL64,AJ64="-"))</f>
        <v>1</v>
      </c>
      <c r="AO64" s="3" t="str">
        <f>IF(ISERROR(MATCH(A64,'SegEnds_Xtal_Prot#'!B:B, 0)), "NoXtal", "Xtal")</f>
        <v>NoXtal</v>
      </c>
      <c r="AP64" s="3">
        <f>IF(ISERROR(F64-E64),"-",F64-E64)</f>
        <v>1</v>
      </c>
      <c r="AQ64" s="3">
        <f>IF(ISERROR(I64-H64),"-",I64-H64)</f>
        <v>1</v>
      </c>
      <c r="AR64" s="3">
        <f>IF(ISERROR(L64-K64),"-",L64-K64)</f>
        <v>2</v>
      </c>
      <c r="AS64" s="3">
        <f>IF(ISERROR(O64-N64),"-",O64-N64)</f>
        <v>1</v>
      </c>
      <c r="AT64" s="3">
        <f>IF(ISERROR(R64-Q64),"-",R64-Q64)</f>
        <v>1</v>
      </c>
      <c r="AU64" s="3">
        <f>IF(ISERROR(U64-T64),"-",U64-T64)</f>
        <v>1</v>
      </c>
      <c r="AV64" s="3">
        <f>IF(ISERROR(X64-W64),"-",X64-W64)</f>
        <v>14</v>
      </c>
      <c r="AW64" s="3">
        <f>IF(ISERROR(AA64-Z64),"-",AA64-Z64)</f>
        <v>3</v>
      </c>
      <c r="AX64" s="3">
        <f>IF(ISERROR(AD64-AC64),"-",AD64-AC64)</f>
        <v>148</v>
      </c>
      <c r="AY64" s="3">
        <f>IF(ISERROR(AG64-AF64),"-",AG64-AF64)</f>
        <v>7</v>
      </c>
      <c r="AZ64" s="3">
        <f>IF(ISERROR(AJ64-AI64),"-",AJ64-AI64)</f>
        <v>1</v>
      </c>
      <c r="BA64" s="3">
        <f>IF(ISERROR(LEN(VLOOKUP(A64,Seqs!A:E,2,FALSE))-AL64),"-",LEN(VLOOKUP(A64,Seqs!A:E,2,FALSE))-AL64)</f>
        <v>8</v>
      </c>
      <c r="BB64" s="16">
        <f>J64-D64</f>
        <v>28</v>
      </c>
      <c r="BC64" s="9">
        <f>IF(ISERROR(V64-S64),"-",V64-S64)</f>
        <v>20</v>
      </c>
      <c r="BD64" s="3">
        <f>J64-D64</f>
        <v>28</v>
      </c>
      <c r="BE64" s="3">
        <f>AE64-AB64</f>
        <v>199</v>
      </c>
      <c r="BF64" s="3">
        <f>AH64-AE64</f>
        <v>37</v>
      </c>
    </row>
    <row r="65" spans="1:58" s="3" customFormat="1" x14ac:dyDescent="0.2">
      <c r="A65" s="3" t="s">
        <v>157</v>
      </c>
      <c r="B65" s="3" t="str">
        <f>LOWER(VLOOKUP(A65,Xtal_Templ!A:B,2,FALSE))</f>
        <v>drd3_human</v>
      </c>
      <c r="C65" s="3">
        <f>VLOOKUP($A65,'SegEnds_NonXtal_BW#'!$A:$Z,3,FALSE)+D65-50</f>
        <v>48</v>
      </c>
      <c r="D65" s="3">
        <v>69</v>
      </c>
      <c r="E65" s="3">
        <f>IF(ISERROR(VLOOKUP($A65,'SegEnds_NonXtal_BW#'!$A:$Z,4,FALSE)+VLOOKUP($A65,A:AL,4,FALSE)-50),"-",(VLOOKUP($A65,'SegEnds_NonXtal_BW#'!$A:$Z,4,FALSE)+VLOOKUP($A65,A:AL,4,FALSE)-50))</f>
        <v>79</v>
      </c>
      <c r="F65" s="3">
        <f>G65-2</f>
        <v>80</v>
      </c>
      <c r="G65" s="3">
        <v>82</v>
      </c>
      <c r="H65" s="3">
        <f>G65+1</f>
        <v>83</v>
      </c>
      <c r="I65" s="3">
        <f>H65+1</f>
        <v>84</v>
      </c>
      <c r="J65" s="3">
        <v>97</v>
      </c>
      <c r="K65" s="3">
        <f>VLOOKUP($A65,'SegEnds_NonXtal_BW#'!$A:$Z,8,FALSE)+VLOOKUP($A65,A:AL,10,FALSE)-50</f>
        <v>114</v>
      </c>
      <c r="L65" s="3">
        <f>M65-1</f>
        <v>116</v>
      </c>
      <c r="M65" s="3">
        <v>117</v>
      </c>
      <c r="N65" s="3">
        <f>M65+2</f>
        <v>119</v>
      </c>
      <c r="O65" s="3">
        <f>N65+1</f>
        <v>120</v>
      </c>
      <c r="P65" s="3">
        <v>149</v>
      </c>
      <c r="Q65" s="3">
        <f>VLOOKUP($A65,'SegEnds_NonXtal_BW#'!$A:$Z,12,FALSE)+VLOOKUP($A65,A:AL,16,FALSE)-50</f>
        <v>155</v>
      </c>
      <c r="R65" s="3">
        <f>IF(ISERROR(VLOOKUP($A65,'SegEnds_NonXtal_BW#'!$A:$Z,13,FALSE)+VLOOKUP($A65,A:AL,19,FALSE)-50),"-",VLOOKUP($A65,'SegEnds_NonXtal_BW#'!$A:$Z,13,FALSE)+VLOOKUP($A65,A:AL,19,FALSE)-50)</f>
        <v>156</v>
      </c>
      <c r="S65" s="3">
        <v>156</v>
      </c>
      <c r="T65" s="103">
        <f>IF(ISERROR(VLOOKUP($A65,'SegEnds_NonXtal_BW#'!$A:$Z,14,FALSE)+VLOOKUP($A65,A:AL,19,FALSE)-50),"-",(VLOOKUP($A65,'SegEnds_NonXtal_BW#'!$A:$Z,14,FALSE)+VLOOKUP($A65,A:AL,19,FALSE)-50))</f>
        <v>163</v>
      </c>
      <c r="U65" s="9">
        <f>IF(ISERROR(VLOOKUP($A65,'SegEnds_NonXtal_BW#'!$A:$Z,15,FALSE)+VLOOKUP($A65,A:AL,22,FALSE)-50),"-",VLOOKUP($A65,'SegEnds_NonXtal_BW#'!$A:$Z,15,FALSE)+VLOOKUP($A65,A:AL,22,FALSE)-50)</f>
        <v>164</v>
      </c>
      <c r="V65" s="3">
        <v>176</v>
      </c>
      <c r="W65" s="3">
        <f>IF(ISERROR(VLOOKUP($A65,'SegEnds_NonXtal_BW#'!$A:$Z,16,FALSE)+VLOOKUP($A65,A:AL,22,FALSE)-50),"-",(VLOOKUP($A65,'SegEnds_NonXtal_BW#'!$A:$Z,16,FALSE)+VLOOKUP($A65,A:AL,22,FALSE)-50))</f>
        <v>189</v>
      </c>
      <c r="X65" s="3">
        <f>IF(ISERROR(VLOOKUP($A65,'SegEnds_NonXtal_BW#'!$A:$Z,17,FALSE)+VLOOKUP($A65,A:AL,25,FALSE)-50),"-",(VLOOKUP($A65,'SegEnds_NonXtal_BW#'!$A:$Z,17,FALSE)+VLOOKUP($A65,A:AL,25,FALSE)-50))</f>
        <v>202</v>
      </c>
      <c r="Y65" s="3">
        <v>202</v>
      </c>
      <c r="Z65" s="3">
        <f>Y65+2</f>
        <v>204</v>
      </c>
      <c r="AA65" s="3">
        <f>IF(ISERROR(VLOOKUP($A65,'SegEnds_NonXtal_BW#'!$A:$Z,19,FALSE)+VLOOKUP($A65,A:AL,28,FALSE)-50),"-",(VLOOKUP($A65,'SegEnds_NonXtal_BW#'!$A:$Z,19,FALSE)+VLOOKUP($A65,A:AL,28,FALSE)-50))</f>
        <v>207</v>
      </c>
      <c r="AB65" s="3">
        <v>222</v>
      </c>
      <c r="AC65" s="3">
        <f>IF(ISERROR((VLOOKUP($A65,'SegEnds_NonXtal_BW#'!$A:$Z,20,FALSE)+VLOOKUP($A65,A:AL,28,FALSE)-50)),"-",(VLOOKUP($A65,'SegEnds_NonXtal_BW#'!$A:$Z,20,FALSE)+VLOOKUP($A65,A:AL,28,FALSE)-50))</f>
        <v>247</v>
      </c>
      <c r="AD65" s="3">
        <f>IF(ISERROR(VLOOKUP($A65,'SegEnds_NonXtal_BW#'!$A:$Z,21,FALSE)+VLOOKUP($A65,A:AL,31,FALSE)-50),"-",(VLOOKUP($A65,'SegEnds_NonXtal_BW#'!$A:$Z,21,FALSE)+VLOOKUP($A65,A:AL,31,FALSE)-50))</f>
        <v>371</v>
      </c>
      <c r="AE65" s="3">
        <v>397</v>
      </c>
      <c r="AF65" s="3">
        <f>IF(ISERROR((VLOOKUP($A65,'SegEnds_NonXtal_BW#'!$A:$Z,22,FALSE)+VLOOKUP($A65,A:AL,31,FALSE)-50)),"-",(VLOOKUP($A65,'SegEnds_NonXtal_BW#'!$A:$Z,22,FALSE)+VLOOKUP($A65,A:AL,31,FALSE)-50))</f>
        <v>408</v>
      </c>
      <c r="AG65" s="3">
        <f>IF(ISERROR(VLOOKUP($A65,'SegEnds_NonXtal_BW#'!$A:$Z,23,FALSE)+VLOOKUP($A65,A:AL,34,FALSE)-50),"-",(VLOOKUP($A65,'SegEnds_NonXtal_BW#'!$A:$Z,23,FALSE)+VLOOKUP($A65,A:AL,34,FALSE)-50))</f>
        <v>415</v>
      </c>
      <c r="AH65" s="3">
        <v>434</v>
      </c>
      <c r="AI65" s="3">
        <f>IF(ISERROR((VLOOKUP($A65,'SegEnds_NonXtal_BW#'!$A:$Z,24,FALSE)+VLOOKUP($A65,A:AL,34,FALSE)-50)),"-",(VLOOKUP($A65,'SegEnds_NonXtal_BW#'!$A:$Z,24,FALSE)+VLOOKUP($A65,A:AL,34,FALSE)-50))</f>
        <v>440</v>
      </c>
      <c r="AJ65" s="3">
        <f>IF(ISERROR(VLOOKUP($A65,'SegEnds_NonXtal_BW#'!$A:$Z,25,FALSE)+VLOOKUP($A65,A:AL,37,FALSE)-50),"-",(VLOOKUP($A65,'SegEnds_NonXtal_BW#'!$A:$Z,25,FALSE)+VLOOKUP($A65,A:AL,37,FALSE)-50))</f>
        <v>441</v>
      </c>
      <c r="AK65" s="3">
        <v>444</v>
      </c>
      <c r="AL65" s="3">
        <f>IF(ISERROR((VLOOKUP($A65,'SegEnds_NonXtal_BW#'!$A:$Z,26,FALSE)+VLOOKUP($A65,A:AL,37,FALSE)-50)),"-",(VLOOKUP($A65,'SegEnds_NonXtal_BW#'!$A:$Z,26,FALSE)+VLOOKUP($A65,A:AL,37,FALSE)-50))</f>
        <v>453</v>
      </c>
      <c r="AM65" s="28" t="str">
        <f>VLOOKUP(A65,Classification!A:B,2,FALSE)</f>
        <v>A</v>
      </c>
      <c r="AN65" s="28" t="b">
        <f>AND(IF(Y65="-",IF(AA65-W65&gt;3,TRUE,FALSE),TRUE),IF(M65="-",IF(O65-K65&gt;3,TRUE,FALSE),TRUE),C65&lt;E65,OR(E65&lt;F65,F65="-"),OR(F65&lt;H65,F65="-"),OR(H65&lt;I65,H65="-"),I65&lt;K65,OR(K65&lt;L65,L65="-"),OR(L65&lt;N65,L65="-"),OR(N65&lt;O65,N65="-"),O65&lt;Q65,OR(Q65&lt;R65,R65="-"),OR(R65&lt;T65,R65="-"),OR(T65&lt;U65,T65="-"),U65&lt;W65,OR(W65&lt;X65,X65="-"),OR(X65&lt;Z65,X65="-"),OR(Z65&lt;AA65,Z65="-"),AA65&lt;AC65,AC65&lt;AD65,AD65&lt;AF65,AF65&lt;AG65,AG65&lt;AI65,OR(AI65&lt;AJ65,AJ65="-"),OR(AJ65&lt;AL65,AJ65="-"))</f>
        <v>1</v>
      </c>
      <c r="AO65" s="3" t="str">
        <f>IF(ISERROR(MATCH(A65,'SegEnds_Xtal_Prot#'!B:B, 0)), "NoXtal", "Xtal")</f>
        <v>NoXtal</v>
      </c>
      <c r="AP65" s="3">
        <f>IF(ISERROR(F65-E65),"-",F65-E65)</f>
        <v>1</v>
      </c>
      <c r="AQ65" s="3">
        <f>IF(ISERROR(I65-H65),"-",I65-H65)</f>
        <v>1</v>
      </c>
      <c r="AR65" s="3">
        <f>IF(ISERROR(L65-K65),"-",L65-K65)</f>
        <v>2</v>
      </c>
      <c r="AS65" s="3">
        <f>IF(ISERROR(O65-N65),"-",O65-N65)</f>
        <v>1</v>
      </c>
      <c r="AT65" s="3">
        <f>IF(ISERROR(R65-Q65),"-",R65-Q65)</f>
        <v>1</v>
      </c>
      <c r="AU65" s="3">
        <f>IF(ISERROR(U65-T65),"-",U65-T65)</f>
        <v>1</v>
      </c>
      <c r="AV65" s="3">
        <f>IF(ISERROR(X65-W65),"-",X65-W65)</f>
        <v>13</v>
      </c>
      <c r="AW65" s="3">
        <f>IF(ISERROR(AA65-Z65),"-",AA65-Z65)</f>
        <v>3</v>
      </c>
      <c r="AX65" s="3">
        <f>IF(ISERROR(AD65-AC65),"-",AD65-AC65)</f>
        <v>124</v>
      </c>
      <c r="AY65" s="3">
        <f>IF(ISERROR(AG65-AF65),"-",AG65-AF65)</f>
        <v>7</v>
      </c>
      <c r="AZ65" s="3">
        <f>IF(ISERROR(AJ65-AI65),"-",AJ65-AI65)</f>
        <v>1</v>
      </c>
      <c r="BA65" s="3">
        <f>IF(ISERROR(LEN(VLOOKUP(A65,Seqs!A:E,2,FALSE))-AL65),"-",LEN(VLOOKUP(A65,Seqs!A:E,2,FALSE))-AL65)</f>
        <v>9</v>
      </c>
      <c r="BB65" s="16">
        <f>J65-D65</f>
        <v>28</v>
      </c>
      <c r="BC65" s="9">
        <f>IF(ISERROR(V65-S65),"-",V65-S65)</f>
        <v>20</v>
      </c>
      <c r="BD65" s="3">
        <f>J65-D65</f>
        <v>28</v>
      </c>
      <c r="BE65" s="3">
        <f>AE65-AB65</f>
        <v>175</v>
      </c>
      <c r="BF65" s="3">
        <f>AH65-AE65</f>
        <v>37</v>
      </c>
    </row>
    <row r="66" spans="1:58" s="3" customFormat="1" x14ac:dyDescent="0.2">
      <c r="A66" s="3" t="s">
        <v>125</v>
      </c>
      <c r="B66" s="3" t="str">
        <f>LOWER(VLOOKUP(A66,Xtal_Templ!A:B,2,FALSE))</f>
        <v>adrb2_human</v>
      </c>
      <c r="C66" s="3">
        <f>VLOOKUP($A66,'SegEnds_NonXtal_BW#'!$A:$Z,3,FALSE)+D66-50</f>
        <v>51</v>
      </c>
      <c r="D66" s="3">
        <v>76</v>
      </c>
      <c r="E66" s="3">
        <f>IF(ISERROR(VLOOKUP($A66,'SegEnds_NonXtal_BW#'!$A:$Z,4,FALSE)+VLOOKUP($A66,A:AL,4,FALSE)-50),"-",(VLOOKUP($A66,'SegEnds_NonXtal_BW#'!$A:$Z,4,FALSE)+VLOOKUP($A66,A:AL,4,FALSE)-50))</f>
        <v>86</v>
      </c>
      <c r="F66" s="3">
        <f>G66-2</f>
        <v>87</v>
      </c>
      <c r="G66" s="3">
        <v>89</v>
      </c>
      <c r="H66" s="3">
        <f>G66+1</f>
        <v>90</v>
      </c>
      <c r="I66" s="3">
        <f>H66+1</f>
        <v>91</v>
      </c>
      <c r="J66" s="3">
        <v>104</v>
      </c>
      <c r="K66" s="3">
        <f>VLOOKUP($A66,'SegEnds_NonXtal_BW#'!$A:$Z,8,FALSE)+VLOOKUP($A66,A:AL,10,FALSE)-50</f>
        <v>121</v>
      </c>
      <c r="L66" s="3">
        <f>M66-1</f>
        <v>123</v>
      </c>
      <c r="M66" s="3">
        <v>124</v>
      </c>
      <c r="N66" s="3">
        <f>M66+2</f>
        <v>126</v>
      </c>
      <c r="O66" s="3">
        <f>N66+1</f>
        <v>127</v>
      </c>
      <c r="P66" s="3">
        <v>156</v>
      </c>
      <c r="Q66" s="3">
        <f>VLOOKUP($A66,'SegEnds_NonXtal_BW#'!$A:$Z,12,FALSE)+VLOOKUP($A66,A:AL,16,FALSE)-50</f>
        <v>162</v>
      </c>
      <c r="R66" s="3">
        <f>IF(ISERROR(VLOOKUP($A66,'SegEnds_NonXtal_BW#'!$A:$Z,13,FALSE)+VLOOKUP($A66,A:AL,19,FALSE)-50),"-",VLOOKUP($A66,'SegEnds_NonXtal_BW#'!$A:$Z,13,FALSE)+VLOOKUP($A66,A:AL,19,FALSE)-50)</f>
        <v>163</v>
      </c>
      <c r="S66" s="3">
        <v>163</v>
      </c>
      <c r="T66" s="103">
        <f>IF(ISERROR(VLOOKUP($A66,'SegEnds_NonXtal_BW#'!$A:$Z,14,FALSE)+VLOOKUP($A66,A:AL,19,FALSE)-50),"-",(VLOOKUP($A66,'SegEnds_NonXtal_BW#'!$A:$Z,14,FALSE)+VLOOKUP($A66,A:AL,19,FALSE)-50))</f>
        <v>170</v>
      </c>
      <c r="U66" s="9">
        <f>IF(ISERROR(VLOOKUP($A66,'SegEnds_NonXtal_BW#'!$A:$Z,15,FALSE)+VLOOKUP($A66,A:AL,22,FALSE)-50),"-",VLOOKUP($A66,'SegEnds_NonXtal_BW#'!$A:$Z,15,FALSE)+VLOOKUP($A66,A:AL,22,FALSE)-50)</f>
        <v>171</v>
      </c>
      <c r="V66" s="3">
        <v>183</v>
      </c>
      <c r="W66" s="3">
        <f>IF(ISERROR(VLOOKUP($A66,'SegEnds_NonXtal_BW#'!$A:$Z,16,FALSE)+VLOOKUP($A66,A:AL,22,FALSE)-50),"-",(VLOOKUP($A66,'SegEnds_NonXtal_BW#'!$A:$Z,16,FALSE)+VLOOKUP($A66,A:AL,22,FALSE)-50))</f>
        <v>197</v>
      </c>
      <c r="X66" s="3">
        <f>IF(ISERROR(VLOOKUP($A66,'SegEnds_NonXtal_BW#'!$A:$Z,17,FALSE)+VLOOKUP($A66,A:AL,25,FALSE)-50),"-",(VLOOKUP($A66,'SegEnds_NonXtal_BW#'!$A:$Z,17,FALSE)+VLOOKUP($A66,A:AL,25,FALSE)-50))</f>
        <v>216</v>
      </c>
      <c r="Y66" s="3">
        <v>216</v>
      </c>
      <c r="Z66" s="3">
        <f>Y66+2</f>
        <v>218</v>
      </c>
      <c r="AA66" s="3">
        <f>IF(ISERROR(VLOOKUP($A66,'SegEnds_NonXtal_BW#'!$A:$Z,19,FALSE)+VLOOKUP($A66,A:AL,28,FALSE)-50),"-",(VLOOKUP($A66,'SegEnds_NonXtal_BW#'!$A:$Z,19,FALSE)+VLOOKUP($A66,A:AL,28,FALSE)-50))</f>
        <v>221</v>
      </c>
      <c r="AB66" s="3">
        <v>236</v>
      </c>
      <c r="AC66" s="3">
        <f>IF(ISERROR((VLOOKUP($A66,'SegEnds_NonXtal_BW#'!$A:$Z,20,FALSE)+VLOOKUP($A66,A:AL,28,FALSE)-50)),"-",(VLOOKUP($A66,'SegEnds_NonXtal_BW#'!$A:$Z,20,FALSE)+VLOOKUP($A66,A:AL,28,FALSE)-50))</f>
        <v>260</v>
      </c>
      <c r="AD66" s="3">
        <f>IF(ISERROR(VLOOKUP($A66,'SegEnds_NonXtal_BW#'!$A:$Z,21,FALSE)+VLOOKUP($A66,A:AL,31,FALSE)-50),"-",(VLOOKUP($A66,'SegEnds_NonXtal_BW#'!$A:$Z,21,FALSE)+VLOOKUP($A66,A:AL,31,FALSE)-50))</f>
        <v>313</v>
      </c>
      <c r="AE66" s="3">
        <v>339</v>
      </c>
      <c r="AF66" s="3">
        <f>IF(ISERROR((VLOOKUP($A66,'SegEnds_NonXtal_BW#'!$A:$Z,22,FALSE)+VLOOKUP($A66,A:AL,31,FALSE)-50)),"-",(VLOOKUP($A66,'SegEnds_NonXtal_BW#'!$A:$Z,22,FALSE)+VLOOKUP($A66,A:AL,31,FALSE)-50))</f>
        <v>350</v>
      </c>
      <c r="AG66" s="3">
        <f>IF(ISERROR(VLOOKUP($A66,'SegEnds_NonXtal_BW#'!$A:$Z,23,FALSE)+VLOOKUP($A66,A:AL,34,FALSE)-50),"-",(VLOOKUP($A66,'SegEnds_NonXtal_BW#'!$A:$Z,23,FALSE)+VLOOKUP($A66,A:AL,34,FALSE)-50))</f>
        <v>355</v>
      </c>
      <c r="AH66" s="3">
        <v>374</v>
      </c>
      <c r="AI66" s="3">
        <v>379</v>
      </c>
      <c r="AJ66" s="3">
        <f>IF(ISERROR(VLOOKUP($A66,'SegEnds_NonXtal_BW#'!$A:$Z,25,FALSE)+VLOOKUP($A66,A:AL,37,FALSE)-50),"-",(VLOOKUP($A66,'SegEnds_NonXtal_BW#'!$A:$Z,25,FALSE)+VLOOKUP($A66,A:AL,37,FALSE)-50))</f>
        <v>380</v>
      </c>
      <c r="AK66" s="3">
        <v>383</v>
      </c>
      <c r="AL66" s="3">
        <f>IF(ISERROR((VLOOKUP($A66,'SegEnds_NonXtal_BW#'!$A:$Z,26,FALSE)+VLOOKUP($A66,A:AL,37,FALSE)-50)),"-",(VLOOKUP($A66,'SegEnds_NonXtal_BW#'!$A:$Z,26,FALSE)+VLOOKUP($A66,A:AL,37,FALSE)-50))</f>
        <v>392</v>
      </c>
      <c r="AM66" s="28" t="str">
        <f>VLOOKUP(A66,Classification!A:B,2,FALSE)</f>
        <v>A</v>
      </c>
      <c r="AN66" s="28" t="b">
        <f>AND(IF(Y66="-",IF(AA66-W66&gt;3,TRUE,FALSE),TRUE),IF(M66="-",IF(O66-K66&gt;3,TRUE,FALSE),TRUE),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 t="str">
        <f>IF(ISERROR(MATCH(A66,'SegEnds_Xtal_Prot#'!B:B, 0)), "NoXtal", "Xtal")</f>
        <v>NoXtal</v>
      </c>
      <c r="AP66" s="3">
        <f>IF(ISERROR(F66-E66),"-",F66-E66)</f>
        <v>1</v>
      </c>
      <c r="AQ66" s="3">
        <f>IF(ISERROR(I66-H66),"-",I66-H66)</f>
        <v>1</v>
      </c>
      <c r="AR66" s="3">
        <f>IF(ISERROR(L66-K66),"-",L66-K66)</f>
        <v>2</v>
      </c>
      <c r="AS66" s="3">
        <f>IF(ISERROR(O66-N66),"-",O66-N66)</f>
        <v>1</v>
      </c>
      <c r="AT66" s="3">
        <f>IF(ISERROR(R66-Q66),"-",R66-Q66)</f>
        <v>1</v>
      </c>
      <c r="AU66" s="3">
        <f>IF(ISERROR(U66-T66),"-",U66-T66)</f>
        <v>1</v>
      </c>
      <c r="AV66" s="3">
        <f>IF(ISERROR(X66-W66),"-",X66-W66)</f>
        <v>19</v>
      </c>
      <c r="AW66" s="3">
        <f>IF(ISERROR(AA66-Z66),"-",AA66-Z66)</f>
        <v>3</v>
      </c>
      <c r="AX66" s="3">
        <f>IF(ISERROR(AD66-AC66),"-",AD66-AC66)</f>
        <v>53</v>
      </c>
      <c r="AY66" s="3">
        <f>IF(ISERROR(AG66-AF66),"-",AG66-AF66)</f>
        <v>5</v>
      </c>
      <c r="AZ66" s="3">
        <f>IF(ISERROR(AJ66-AI66),"-",AJ66-AI66)</f>
        <v>1</v>
      </c>
      <c r="BA66" s="3">
        <f>IF(ISERROR(LEN(VLOOKUP(A66,Seqs!A:E,2,FALSE))-AL66),"-",LEN(VLOOKUP(A66,Seqs!A:E,2,FALSE))-AL66)</f>
        <v>85</v>
      </c>
      <c r="BB66" s="16">
        <f>J66-D66</f>
        <v>28</v>
      </c>
      <c r="BC66" s="9">
        <f>IF(ISERROR(V66-S66),"-",V66-S66)</f>
        <v>20</v>
      </c>
      <c r="BD66" s="3">
        <f>J66-D66</f>
        <v>28</v>
      </c>
      <c r="BE66" s="3">
        <f>AE66-AB66</f>
        <v>103</v>
      </c>
    </row>
    <row r="67" spans="1:58" s="3" customFormat="1" ht="17" customHeight="1" x14ac:dyDescent="0.2">
      <c r="A67" s="3" t="s">
        <v>912</v>
      </c>
      <c r="B67" s="3" t="str">
        <f>LOWER(VLOOKUP(A67,Xtal_Templ!A:B,2,FALSE))</f>
        <v>adrb1_melga</v>
      </c>
      <c r="C67" s="3">
        <f>VLOOKUP($A67,'SegEnds_NonXtal_BW#'!$A:$Z,3,FALSE)+D67-50</f>
        <v>33</v>
      </c>
      <c r="D67" s="3">
        <v>59</v>
      </c>
      <c r="E67" s="3">
        <f>IF(ISERROR(VLOOKUP($A67,'SegEnds_NonXtal_BW#'!$A:$Z,4,FALSE)+VLOOKUP($A67,A:AL,4,FALSE)-50),"-",(VLOOKUP($A67,'SegEnds_NonXtal_BW#'!$A:$Z,4,FALSE)+VLOOKUP($A67,A:AL,4,FALSE)-50))</f>
        <v>69</v>
      </c>
      <c r="F67" s="3">
        <f>G67-2</f>
        <v>70</v>
      </c>
      <c r="G67" s="3">
        <v>72</v>
      </c>
      <c r="H67" s="3">
        <f>G67+1</f>
        <v>73</v>
      </c>
      <c r="I67" s="3">
        <f>H67+1</f>
        <v>74</v>
      </c>
      <c r="J67" s="3">
        <v>87</v>
      </c>
      <c r="K67" s="3">
        <f>VLOOKUP($A67,'SegEnds_NonXtal_BW#'!$A:$Z,8,FALSE)+VLOOKUP($A67,A:AL,10,FALSE)-50</f>
        <v>104</v>
      </c>
      <c r="L67" s="3">
        <f>IF(ISERROR(VLOOKUP($A67,'SegEnds_NonXtal_BW#'!$A:$Z,9,FALSE)+VLOOKUP($A67,A:AL,13,FALSE)-50),"-",(VLOOKUP($A67,'SegEnds_NonXtal_BW#'!$A:$Z,9,FALSE)+VLOOKUP($A67,A:AL,13,FALSE)-50))</f>
        <v>106</v>
      </c>
      <c r="M67" s="3">
        <v>107</v>
      </c>
      <c r="N67" s="3">
        <f>IF(ISERROR(VLOOKUP($A67,'SegEnds_NonXtal_BW#'!$A:$Z,10,FALSE)+VLOOKUP($A67,A:AL,13,FALSE)-50),"-",(VLOOKUP($A67,'SegEnds_NonXtal_BW#'!$A:$Z,10,FALSE)+VLOOKUP($A67,A:AL,13,FALSE)-50))</f>
        <v>109</v>
      </c>
      <c r="O67" s="3">
        <f>N67+1</f>
        <v>110</v>
      </c>
      <c r="P67" s="3">
        <v>139</v>
      </c>
      <c r="Q67" s="3">
        <f>VLOOKUP($A67,'SegEnds_NonXtal_BW#'!$A:$Z,12,FALSE)+VLOOKUP($A67,A:AL,16,FALSE)-50</f>
        <v>145</v>
      </c>
      <c r="R67" s="3">
        <f>IF(ISERROR(VLOOKUP($A67,'SegEnds_NonXtal_BW#'!$A:$Z,13,FALSE)+VLOOKUP($A67,A:AL,19,FALSE)-50),"-",VLOOKUP($A67,'SegEnds_NonXtal_BW#'!$A:$Z,13,FALSE)+VLOOKUP($A67,A:AL,19,FALSE)-50)</f>
        <v>146</v>
      </c>
      <c r="S67" s="3">
        <v>146</v>
      </c>
      <c r="T67" s="103">
        <f>IF(ISERROR(VLOOKUP($A67,'SegEnds_NonXtal_BW#'!$A:$Z,14,FALSE)+VLOOKUP($A67,A:AL,19,FALSE)-50),"-",(VLOOKUP($A67,'SegEnds_NonXtal_BW#'!$A:$Z,14,FALSE)+VLOOKUP($A67,A:AL,19,FALSE)-50))</f>
        <v>153</v>
      </c>
      <c r="U67" s="9">
        <f>IF(ISERROR(VLOOKUP($A67,'SegEnds_NonXtal_BW#'!$A:$Z,15,FALSE)+VLOOKUP($A67,A:AL,22,FALSE)-50),"-",VLOOKUP($A67,'SegEnds_NonXtal_BW#'!$A:$Z,15,FALSE)+VLOOKUP($A67,A:AL,22,FALSE)-50)</f>
        <v>154</v>
      </c>
      <c r="V67" s="3">
        <v>166</v>
      </c>
      <c r="W67" s="3">
        <f>IF(ISERROR(VLOOKUP($A67,'SegEnds_NonXtal_BW#'!$A:$Z,16,FALSE)+VLOOKUP($A67,A:AL,22,FALSE)-50),"-",(VLOOKUP($A67,'SegEnds_NonXtal_BW#'!$A:$Z,16,FALSE)+VLOOKUP($A67,A:AL,22,FALSE)-50))</f>
        <v>180</v>
      </c>
      <c r="X67" s="3">
        <f>IF(ISERROR(VLOOKUP($A67,'SegEnds_NonXtal_BW#'!$A:$Z,17,FALSE)+VLOOKUP($A67,A:AL,25,FALSE)-50),"-",(VLOOKUP($A67,'SegEnds_NonXtal_BW#'!$A:$Z,17,FALSE)+VLOOKUP($A67,A:AL,25,FALSE)-50))</f>
        <v>199</v>
      </c>
      <c r="Y67" s="3">
        <v>199</v>
      </c>
      <c r="Z67" s="3">
        <f>Y67+2</f>
        <v>201</v>
      </c>
      <c r="AA67" s="3">
        <f>IF(ISERROR(VLOOKUP($A67,'SegEnds_NonXtal_BW#'!$A:$Z,19,FALSE)+VLOOKUP($A67,A:AL,28,FALSE)-50),"-",(VLOOKUP($A67,'SegEnds_NonXtal_BW#'!$A:$Z,19,FALSE)+VLOOKUP($A67,A:AL,28,FALSE)-50))</f>
        <v>204</v>
      </c>
      <c r="AB67" s="3">
        <v>219</v>
      </c>
      <c r="AC67" s="3">
        <f>IF(ISERROR((VLOOKUP($A67,'SegEnds_NonXtal_BW#'!$A:$Z,20,FALSE)+VLOOKUP($A67,A:AL,28,FALSE)-50)),"-",(VLOOKUP($A67,'SegEnds_NonXtal_BW#'!$A:$Z,20,FALSE)+VLOOKUP($A67,A:AL,28,FALSE)-50))</f>
        <v>245</v>
      </c>
      <c r="AD67" s="3">
        <f>IF(ISERROR(VLOOKUP($A67,'SegEnds_NonXtal_BW#'!$A:$Z,21,FALSE)+VLOOKUP($A67,A:AL,31,FALSE)-50),"-",(VLOOKUP($A67,'SegEnds_NonXtal_BW#'!$A:$Z,21,FALSE)+VLOOKUP($A67,A:AL,31,FALSE)-50))</f>
        <v>275</v>
      </c>
      <c r="AE67" s="3">
        <v>305</v>
      </c>
      <c r="AF67" s="3">
        <f>IF(ISERROR((VLOOKUP($A67,'SegEnds_NonXtal_BW#'!$A:$Z,22,FALSE)+VLOOKUP($A67,A:AL,31,FALSE)-50)),"-",(VLOOKUP($A67,'SegEnds_NonXtal_BW#'!$A:$Z,22,FALSE)+VLOOKUP($A67,A:AL,31,FALSE)-50))</f>
        <v>316</v>
      </c>
      <c r="AG67" s="3">
        <f>IF(ISERROR(VLOOKUP($A67,'SegEnds_NonXtal_BW#'!$A:$Z,23,FALSE)+VLOOKUP($A67,A:AL,34,FALSE)-50),"-",(VLOOKUP($A67,'SegEnds_NonXtal_BW#'!$A:$Z,23,FALSE)+VLOOKUP($A67,A:AL,34,FALSE)-50))</f>
        <v>321</v>
      </c>
      <c r="AH67" s="3">
        <v>340</v>
      </c>
      <c r="AI67" s="3">
        <f>IF(ISERROR((VLOOKUP($A67,'SegEnds_NonXtal_BW#'!$A:$Z,24,FALSE)+VLOOKUP($A67,A:AL,34,FALSE)-50)),"-",(VLOOKUP($A67,'SegEnds_NonXtal_BW#'!$A:$Z,24,FALSE)+VLOOKUP($A67,A:AL,34,FALSE)-50))</f>
        <v>345</v>
      </c>
      <c r="AJ67" s="3">
        <f>IF(ISERROR(VLOOKUP($A67,'SegEnds_NonXtal_BW#'!$A:$Z,25,FALSE)+VLOOKUP($A67,A:AL,37,FALSE)-50),"-",(VLOOKUP($A67,'SegEnds_NonXtal_BW#'!$A:$Z,25,FALSE)+VLOOKUP($A67,A:AL,37,FALSE)-50))</f>
        <v>346</v>
      </c>
      <c r="AK67" s="3">
        <v>349</v>
      </c>
      <c r="AL67" s="3">
        <f>IF(ISERROR((VLOOKUP($A67,'SegEnds_NonXtal_BW#'!$A:$Z,26,FALSE)+VLOOKUP($A67,A:AL,37,FALSE)-50)),"-",(VLOOKUP($A67,'SegEnds_NonXtal_BW#'!$A:$Z,26,FALSE)+VLOOKUP($A67,A:AL,37,FALSE)-50))</f>
        <v>358</v>
      </c>
      <c r="AM67" s="28" t="str">
        <f>VLOOKUP(A67,Classification!A:B,2,FALSE)</f>
        <v>A</v>
      </c>
      <c r="AN67" s="28" t="b">
        <f>AND(IF(Y67="-",IF(AA67-W67&gt;3,TRUE,FALSE),TRUE),IF(M67="-",IF(O67-K67&gt;3,TRUE,FALSE),TRUE),C67&lt;E67,OR(E67&lt;F67,F67="-"),OR(F67&lt;H67,F67="-"),OR(H67&lt;I67,H67="-"),I67&lt;K67,OR(K67&lt;L67,L67="-"),OR(L67&lt;N67,L67="-"),OR(N67&lt;O67,N67="-"),O67&lt;Q67,OR(Q67&lt;R67,R67="-"),OR(R67&lt;T67,R67="-"),OR(T67&lt;U67,T67="-"),U67&lt;W67,OR(W67&lt;X67,X67="-"),OR(X67&lt;Z67,X67="-"),OR(Z67&lt;AA67,Z67="-"),AA67&lt;AC67,AC67&lt;AD67,AD67&lt;AF67,AF67&lt;AG67,AG67&lt;AI67,OR(AI67&lt;AJ67,AJ67="-"),OR(AJ67&lt;AL67,AJ67="-"))</f>
        <v>1</v>
      </c>
      <c r="AO67" s="3" t="str">
        <f>IF(ISERROR(MATCH(A67,'SegEnds_Xtal_Prot#'!B:B, 0)), "NoXtal", "Xtal")</f>
        <v>Xtal</v>
      </c>
      <c r="AP67" s="3">
        <f>IF(ISERROR(F67-E67),"-",F67-E67)</f>
        <v>1</v>
      </c>
      <c r="AQ67" s="3">
        <f>IF(ISERROR(I67-H67),"-",I67-H67)</f>
        <v>1</v>
      </c>
      <c r="AR67" s="3">
        <f>IF(ISERROR(L67-K67),"-",L67-K67)</f>
        <v>2</v>
      </c>
      <c r="AS67" s="3">
        <f>IF(ISERROR(O67-N67),"-",O67-N67)</f>
        <v>1</v>
      </c>
      <c r="AT67" s="3">
        <f>IF(ISERROR(R67-Q67),"-",R67-Q67)</f>
        <v>1</v>
      </c>
      <c r="AU67" s="3">
        <f>IF(ISERROR(U67-T67),"-",U67-T67)</f>
        <v>1</v>
      </c>
      <c r="AV67" s="3">
        <f>IF(ISERROR(X67-W67),"-",X67-W67)</f>
        <v>19</v>
      </c>
      <c r="AW67" s="3">
        <f>IF(ISERROR(AA67-Z67),"-",AA67-Z67)</f>
        <v>3</v>
      </c>
      <c r="AX67" s="3">
        <f>IF(ISERROR(AD67-AC67),"-",AD67-AC67)</f>
        <v>30</v>
      </c>
      <c r="AY67" s="3">
        <f>IF(ISERROR(AG67-AF67),"-",AG67-AF67)</f>
        <v>5</v>
      </c>
      <c r="AZ67" s="3">
        <f>IF(ISERROR(AJ67-AI67),"-",AJ67-AI67)</f>
        <v>1</v>
      </c>
      <c r="BA67" s="3">
        <f>IF(ISERROR(LEN(VLOOKUP(A67,Seqs!A:E,2,FALSE))-AL67),"-",LEN(VLOOKUP(A67,Seqs!A:E,2,FALSE))-AL67)</f>
        <v>125</v>
      </c>
      <c r="BB67" s="16">
        <f>J67-D67</f>
        <v>28</v>
      </c>
      <c r="BC67" s="9">
        <f>IF(ISERROR(V67-S67),"-",V67-S67)</f>
        <v>20</v>
      </c>
      <c r="BD67" s="3">
        <f>J67-D67</f>
        <v>28</v>
      </c>
      <c r="BE67" s="3">
        <f>AE67-AB67</f>
        <v>86</v>
      </c>
    </row>
    <row r="68" spans="1:58" s="3" customFormat="1" x14ac:dyDescent="0.2">
      <c r="A68" s="3" t="s">
        <v>126</v>
      </c>
      <c r="B68" s="3" t="str">
        <f>LOWER(VLOOKUP(A68,Xtal_Templ!A:B,2,FALSE))</f>
        <v>adrb2_human</v>
      </c>
      <c r="C68" s="3">
        <f>VLOOKUP($A68,'SegEnds_NonXtal_BW#'!$A:$Z,3,FALSE)+D68-50</f>
        <v>26</v>
      </c>
      <c r="D68" s="3">
        <v>51</v>
      </c>
      <c r="E68" s="3">
        <f>IF(ISERROR(VLOOKUP($A68,'SegEnds_NonXtal_BW#'!$A:$Z,4,FALSE)+VLOOKUP($A68,A:AL,4,FALSE)-50),"-",(VLOOKUP($A68,'SegEnds_NonXtal_BW#'!$A:$Z,4,FALSE)+VLOOKUP($A68,A:AL,4,FALSE)-50))</f>
        <v>61</v>
      </c>
      <c r="F68" s="3">
        <f>G68-2</f>
        <v>62</v>
      </c>
      <c r="G68" s="3">
        <v>64</v>
      </c>
      <c r="H68" s="3">
        <f>G68+1</f>
        <v>65</v>
      </c>
      <c r="I68" s="3">
        <f>H68+1</f>
        <v>66</v>
      </c>
      <c r="J68" s="3">
        <v>79</v>
      </c>
      <c r="K68" s="3">
        <f>VLOOKUP($A68,'SegEnds_NonXtal_BW#'!$A:$Z,8,FALSE)+VLOOKUP($A68,A:AL,10,FALSE)-50</f>
        <v>96</v>
      </c>
      <c r="L68" s="3">
        <f>M68-1</f>
        <v>98</v>
      </c>
      <c r="M68" s="3">
        <v>99</v>
      </c>
      <c r="N68" s="3">
        <f>M68+2</f>
        <v>101</v>
      </c>
      <c r="O68" s="3">
        <f>N68+1</f>
        <v>102</v>
      </c>
      <c r="P68" s="3">
        <v>131</v>
      </c>
      <c r="Q68" s="3">
        <f>VLOOKUP($A68,'SegEnds_NonXtal_BW#'!$A:$Z,12,FALSE)+VLOOKUP($A68,A:AL,16,FALSE)-50</f>
        <v>137</v>
      </c>
      <c r="R68" s="3">
        <f>IF(ISERROR(VLOOKUP($A68,'SegEnds_NonXtal_BW#'!$A:$Z,13,FALSE)+VLOOKUP($A68,A:AL,19,FALSE)-50),"-",VLOOKUP($A68,'SegEnds_NonXtal_BW#'!$A:$Z,13,FALSE)+VLOOKUP($A68,A:AL,19,FALSE)-50)</f>
        <v>138</v>
      </c>
      <c r="S68" s="3">
        <v>138</v>
      </c>
      <c r="T68" s="103">
        <f>IF(ISERROR(VLOOKUP($A68,'SegEnds_NonXtal_BW#'!$A:$Z,14,FALSE)+VLOOKUP($A68,A:AL,19,FALSE)-50),"-",(VLOOKUP($A68,'SegEnds_NonXtal_BW#'!$A:$Z,14,FALSE)+VLOOKUP($A68,A:AL,19,FALSE)-50))</f>
        <v>145</v>
      </c>
      <c r="U68" s="9">
        <f>IF(ISERROR(VLOOKUP($A68,'SegEnds_NonXtal_BW#'!$A:$Z,15,FALSE)+VLOOKUP($A68,A:AL,22,FALSE)-50),"-",VLOOKUP($A68,'SegEnds_NonXtal_BW#'!$A:$Z,15,FALSE)+VLOOKUP($A68,A:AL,22,FALSE)-50)</f>
        <v>146</v>
      </c>
      <c r="V68" s="3">
        <v>158</v>
      </c>
      <c r="W68" s="3">
        <f>IF(ISERROR(VLOOKUP($A68,'SegEnds_NonXtal_BW#'!$A:$Z,16,FALSE)+VLOOKUP($A68,A:AL,22,FALSE)-50),"-",(VLOOKUP($A68,'SegEnds_NonXtal_BW#'!$A:$Z,16,FALSE)+VLOOKUP($A68,A:AL,22,FALSE)-50))</f>
        <v>172</v>
      </c>
      <c r="X68" s="3">
        <f>IF(ISERROR(VLOOKUP($A68,'SegEnds_NonXtal_BW#'!$A:$Z,17,FALSE)+VLOOKUP($A68,A:AL,25,FALSE)-50),"-",(VLOOKUP($A68,'SegEnds_NonXtal_BW#'!$A:$Z,17,FALSE)+VLOOKUP($A68,A:AL,25,FALSE)-50))</f>
        <v>191</v>
      </c>
      <c r="Y68" s="3">
        <v>191</v>
      </c>
      <c r="Z68" s="3">
        <f>Y68+2</f>
        <v>193</v>
      </c>
      <c r="AA68" s="3">
        <f>IF(ISERROR(VLOOKUP($A68,'SegEnds_NonXtal_BW#'!$A:$Z,19,FALSE)+VLOOKUP($A68,A:AL,28,FALSE)-50),"-",(VLOOKUP($A68,'SegEnds_NonXtal_BW#'!$A:$Z,19,FALSE)+VLOOKUP($A68,A:AL,28,FALSE)-50))</f>
        <v>196</v>
      </c>
      <c r="AB68" s="3">
        <v>211</v>
      </c>
      <c r="AC68" s="3">
        <f>IF(ISERROR((VLOOKUP($A68,'SegEnds_NonXtal_BW#'!$A:$Z,20,FALSE)+VLOOKUP($A68,A:AL,28,FALSE)-50)),"-",(VLOOKUP($A68,'SegEnds_NonXtal_BW#'!$A:$Z,20,FALSE)+VLOOKUP($A68,A:AL,28,FALSE)-50))</f>
        <v>237</v>
      </c>
      <c r="AD68" s="3">
        <f>IF(ISERROR(VLOOKUP($A68,'SegEnds_NonXtal_BW#'!$A:$Z,21,FALSE)+VLOOKUP($A68,A:AL,31,FALSE)-50),"-",(VLOOKUP($A68,'SegEnds_NonXtal_BW#'!$A:$Z,21,FALSE)+VLOOKUP($A68,A:AL,31,FALSE)-50))</f>
        <v>262</v>
      </c>
      <c r="AE68" s="3">
        <v>288</v>
      </c>
      <c r="AF68" s="3">
        <f>IF(ISERROR((VLOOKUP($A68,'SegEnds_NonXtal_BW#'!$A:$Z,22,FALSE)+VLOOKUP($A68,A:AL,31,FALSE)-50)),"-",(VLOOKUP($A68,'SegEnds_NonXtal_BW#'!$A:$Z,22,FALSE)+VLOOKUP($A68,A:AL,31,FALSE)-50))</f>
        <v>299</v>
      </c>
      <c r="AG68" s="3">
        <f>IF(ISERROR(VLOOKUP($A68,'SegEnds_NonXtal_BW#'!$A:$Z,23,FALSE)+VLOOKUP($A68,A:AL,34,FALSE)-50),"-",(VLOOKUP($A68,'SegEnds_NonXtal_BW#'!$A:$Z,23,FALSE)+VLOOKUP($A68,A:AL,34,FALSE)-50))</f>
        <v>304</v>
      </c>
      <c r="AH68" s="3">
        <v>323</v>
      </c>
      <c r="AI68" s="3">
        <v>328</v>
      </c>
      <c r="AJ68" s="3">
        <f>IF(ISERROR(VLOOKUP($A68,'SegEnds_NonXtal_BW#'!$A:$Z,25,FALSE)+VLOOKUP($A68,A:AL,37,FALSE)-50),"-",(VLOOKUP($A68,'SegEnds_NonXtal_BW#'!$A:$Z,25,FALSE)+VLOOKUP($A68,A:AL,37,FALSE)-50))</f>
        <v>329</v>
      </c>
      <c r="AK68" s="3">
        <v>332</v>
      </c>
      <c r="AL68" s="3">
        <f>IF(ISERROR((VLOOKUP($A68,'SegEnds_NonXtal_BW#'!$A:$Z,26,FALSE)+VLOOKUP($A68,A:AL,37,FALSE)-50)),"-",(VLOOKUP($A68,'SegEnds_NonXtal_BW#'!$A:$Z,26,FALSE)+VLOOKUP($A68,A:AL,37,FALSE)-50))</f>
        <v>341</v>
      </c>
      <c r="AM68" s="28" t="str">
        <f>VLOOKUP(A68,Classification!A:B,2,FALSE)</f>
        <v>A</v>
      </c>
      <c r="AN68" s="28" t="b">
        <f>AND(IF(Y68="-",IF(AA68-W68&gt;3,TRUE,FALSE),TRUE),IF(M68="-",IF(O68-K68&gt;3,TRUE,FALSE),TRUE),C68&lt;E68,OR(E68&lt;F68,F68="-"),OR(F68&lt;H68,F68="-"),OR(H68&lt;I68,H68="-"),I68&lt;K68,OR(K68&lt;L68,L68="-"),OR(L68&lt;N68,L68="-"),OR(N68&lt;O68,N68="-"),O68&lt;Q68,OR(Q68&lt;R68,R68="-"),OR(R68&lt;T68,R68="-"),OR(T68&lt;U68,T68="-"),U68&lt;W68,OR(W68&lt;X68,X68="-"),OR(X68&lt;Z68,X68="-"),OR(Z68&lt;AA68,Z68="-"),AA68&lt;AC68,AC68&lt;AD68,AD68&lt;AF68,AF68&lt;AG68,AG68&lt;AI68,OR(AI68&lt;AJ68,AJ68="-"),OR(AJ68&lt;AL68,AJ68="-"))</f>
        <v>1</v>
      </c>
      <c r="AO68" s="3" t="str">
        <f>IF(ISERROR(MATCH(A68,'SegEnds_Xtal_Prot#'!B:B, 0)), "NoXtal", "Xtal")</f>
        <v>Xtal</v>
      </c>
      <c r="AP68" s="3">
        <f>IF(ISERROR(F68-E68),"-",F68-E68)</f>
        <v>1</v>
      </c>
      <c r="AQ68" s="3">
        <f>IF(ISERROR(I68-H68),"-",I68-H68)</f>
        <v>1</v>
      </c>
      <c r="AR68" s="3">
        <f>IF(ISERROR(L68-K68),"-",L68-K68)</f>
        <v>2</v>
      </c>
      <c r="AS68" s="3">
        <f>IF(ISERROR(O68-N68),"-",O68-N68)</f>
        <v>1</v>
      </c>
      <c r="AT68" s="3">
        <f>IF(ISERROR(R68-Q68),"-",R68-Q68)</f>
        <v>1</v>
      </c>
      <c r="AU68" s="3">
        <f>IF(ISERROR(U68-T68),"-",U68-T68)</f>
        <v>1</v>
      </c>
      <c r="AV68" s="3">
        <f>IF(ISERROR(X68-W68),"-",X68-W68)</f>
        <v>19</v>
      </c>
      <c r="AW68" s="3">
        <f>IF(ISERROR(AA68-Z68),"-",AA68-Z68)</f>
        <v>3</v>
      </c>
      <c r="AX68" s="3">
        <f>IF(ISERROR(AD68-AC68),"-",AD68-AC68)</f>
        <v>25</v>
      </c>
      <c r="AY68" s="3">
        <f>IF(ISERROR(AG68-AF68),"-",AG68-AF68)</f>
        <v>5</v>
      </c>
      <c r="AZ68" s="3">
        <f>IF(ISERROR(AJ68-AI68),"-",AJ68-AI68)</f>
        <v>1</v>
      </c>
      <c r="BA68" s="3">
        <f>IF(ISERROR(LEN(VLOOKUP(A68,Seqs!A:E,2,FALSE))-AL68),"-",LEN(VLOOKUP(A68,Seqs!A:E,2,FALSE))-AL68)</f>
        <v>72</v>
      </c>
      <c r="BB68" s="16">
        <f>J68-D68</f>
        <v>28</v>
      </c>
      <c r="BC68" s="9">
        <f>IF(ISERROR(V68-S68),"-",V68-S68)</f>
        <v>20</v>
      </c>
      <c r="BD68" s="3">
        <f>J68-D68</f>
        <v>28</v>
      </c>
      <c r="BE68" s="3">
        <f>AE68-AB68</f>
        <v>77</v>
      </c>
    </row>
    <row r="69" spans="1:58" s="3" customFormat="1" x14ac:dyDescent="0.2">
      <c r="A69" s="3" t="s">
        <v>102</v>
      </c>
      <c r="B69" s="3" t="str">
        <f>LOWER(VLOOKUP(A69,Xtal_Templ!A:B,2,FALSE))</f>
        <v>adrb2_human</v>
      </c>
      <c r="C69" s="3">
        <f>VLOOKUP($A69,'SegEnds_NonXtal_BW#'!$A:$Z,3,FALSE)+D69-50</f>
        <v>30</v>
      </c>
      <c r="D69" s="3">
        <v>55</v>
      </c>
      <c r="E69" s="3">
        <f>IF(ISERROR(VLOOKUP($A69,'SegEnds_NonXtal_BW#'!$A:$Z,4,FALSE)+VLOOKUP($A69,A:AL,4,FALSE)-50),"-",(VLOOKUP($A69,'SegEnds_NonXtal_BW#'!$A:$Z,4,FALSE)+VLOOKUP($A69,A:AL,4,FALSE)-50))</f>
        <v>65</v>
      </c>
      <c r="F69" s="3">
        <f>G69-2</f>
        <v>66</v>
      </c>
      <c r="G69" s="3">
        <v>68</v>
      </c>
      <c r="H69" s="3">
        <f>G69+1</f>
        <v>69</v>
      </c>
      <c r="I69" s="3">
        <f>H69+1</f>
        <v>70</v>
      </c>
      <c r="J69" s="3">
        <v>83</v>
      </c>
      <c r="K69" s="3">
        <f>VLOOKUP($A69,'SegEnds_NonXtal_BW#'!$A:$Z,8,FALSE)+VLOOKUP($A69,A:AL,10,FALSE)-50</f>
        <v>100</v>
      </c>
      <c r="L69" s="3">
        <f>M69-1</f>
        <v>102</v>
      </c>
      <c r="M69" s="3">
        <v>103</v>
      </c>
      <c r="N69" s="3">
        <f>M69+2</f>
        <v>105</v>
      </c>
      <c r="O69" s="3">
        <f>N69+1</f>
        <v>106</v>
      </c>
      <c r="P69" s="3">
        <v>135</v>
      </c>
      <c r="Q69" s="3">
        <f>VLOOKUP($A69,'SegEnds_NonXtal_BW#'!$A:$Z,12,FALSE)+VLOOKUP($A69,A:AL,16,FALSE)-50</f>
        <v>141</v>
      </c>
      <c r="R69" s="3">
        <f>IF(ISERROR(VLOOKUP($A69,'SegEnds_NonXtal_BW#'!$A:$Z,13,FALSE)+VLOOKUP($A69,A:AL,19,FALSE)-50),"-",VLOOKUP($A69,'SegEnds_NonXtal_BW#'!$A:$Z,13,FALSE)+VLOOKUP($A69,A:AL,19,FALSE)-50)</f>
        <v>142</v>
      </c>
      <c r="S69" s="3">
        <v>142</v>
      </c>
      <c r="T69" s="103">
        <f>IF(ISERROR(VLOOKUP($A69,'SegEnds_NonXtal_BW#'!$A:$Z,14,FALSE)+VLOOKUP($A69,A:AL,19,FALSE)-50),"-",(VLOOKUP($A69,'SegEnds_NonXtal_BW#'!$A:$Z,14,FALSE)+VLOOKUP($A69,A:AL,19,FALSE)-50))</f>
        <v>149</v>
      </c>
      <c r="U69" s="9">
        <f>IF(ISERROR(VLOOKUP($A69,'SegEnds_NonXtal_BW#'!$A:$Z,15,FALSE)+VLOOKUP($A69,A:AL,22,FALSE)-50),"-",VLOOKUP($A69,'SegEnds_NonXtal_BW#'!$A:$Z,15,FALSE)+VLOOKUP($A69,A:AL,22,FALSE)-50)</f>
        <v>150</v>
      </c>
      <c r="V69" s="3">
        <v>162</v>
      </c>
      <c r="W69" s="3">
        <f>IF(ISERROR(VLOOKUP($A69,'SegEnds_NonXtal_BW#'!$A:$Z,16,FALSE)+VLOOKUP($A69,A:AL,22,FALSE)-50),"-",(VLOOKUP($A69,'SegEnds_NonXtal_BW#'!$A:$Z,16,FALSE)+VLOOKUP($A69,A:AL,22,FALSE)-50))</f>
        <v>176</v>
      </c>
      <c r="X69" s="3">
        <f>IF(ISERROR(VLOOKUP($A69,'SegEnds_NonXtal_BW#'!$A:$Z,17,FALSE)+VLOOKUP($A69,A:AL,25,FALSE)-50),"-",(VLOOKUP($A69,'SegEnds_NonXtal_BW#'!$A:$Z,17,FALSE)+VLOOKUP($A69,A:AL,25,FALSE)-50))</f>
        <v>196</v>
      </c>
      <c r="Y69" s="3">
        <v>196</v>
      </c>
      <c r="Z69" s="3">
        <f>Y69+2</f>
        <v>198</v>
      </c>
      <c r="AA69" s="3">
        <f>IF(ISERROR(VLOOKUP($A69,'SegEnds_NonXtal_BW#'!$A:$Z,19,FALSE)+VLOOKUP($A69,A:AL,28,FALSE)-50),"-",(VLOOKUP($A69,'SegEnds_NonXtal_BW#'!$A:$Z,19,FALSE)+VLOOKUP($A69,A:AL,28,FALSE)-50))</f>
        <v>201</v>
      </c>
      <c r="AB69" s="3">
        <v>216</v>
      </c>
      <c r="AC69" s="3">
        <f>IF(ISERROR((VLOOKUP($A69,'SegEnds_NonXtal_BW#'!$A:$Z,20,FALSE)+VLOOKUP($A69,A:AL,28,FALSE)-50)),"-",(VLOOKUP($A69,'SegEnds_NonXtal_BW#'!$A:$Z,20,FALSE)+VLOOKUP($A69,A:AL,28,FALSE)-50))</f>
        <v>242</v>
      </c>
      <c r="AD69" s="3">
        <f>IF(ISERROR(VLOOKUP($A69,'SegEnds_NonXtal_BW#'!$A:$Z,21,FALSE)+VLOOKUP($A69,A:AL,31,FALSE)-50),"-",(VLOOKUP($A69,'SegEnds_NonXtal_BW#'!$A:$Z,21,FALSE)+VLOOKUP($A69,A:AL,31,FALSE)-50))</f>
        <v>281</v>
      </c>
      <c r="AE69" s="3">
        <v>307</v>
      </c>
      <c r="AF69" s="3">
        <f>IF(ISERROR((VLOOKUP($A69,'SegEnds_NonXtal_BW#'!$A:$Z,22,FALSE)+VLOOKUP($A69,A:AL,31,FALSE)-50)),"-",(VLOOKUP($A69,'SegEnds_NonXtal_BW#'!$A:$Z,22,FALSE)+VLOOKUP($A69,A:AL,31,FALSE)-50))</f>
        <v>318</v>
      </c>
      <c r="AG69" s="3">
        <f>IF(ISERROR(VLOOKUP($A69,'SegEnds_NonXtal_BW#'!$A:$Z,23,FALSE)+VLOOKUP($A69,A:AL,34,FALSE)-50),"-",(VLOOKUP($A69,'SegEnds_NonXtal_BW#'!$A:$Z,23,FALSE)+VLOOKUP($A69,A:AL,34,FALSE)-50))</f>
        <v>324</v>
      </c>
      <c r="AH69" s="3">
        <v>343</v>
      </c>
      <c r="AI69" s="3">
        <v>348</v>
      </c>
      <c r="AJ69" s="3">
        <f>IF(ISERROR(VLOOKUP($A69,'SegEnds_NonXtal_BW#'!$A:$Z,25,FALSE)+VLOOKUP($A69,A:AL,37,FALSE)-50),"-",(VLOOKUP($A69,'SegEnds_NonXtal_BW#'!$A:$Z,25,FALSE)+VLOOKUP($A69,A:AL,37,FALSE)-50))</f>
        <v>349</v>
      </c>
      <c r="AK69" s="3">
        <v>352</v>
      </c>
      <c r="AL69" s="3">
        <f>IF(ISERROR((VLOOKUP($A69,'SegEnds_NonXtal_BW#'!$A:$Z,26,FALSE)+VLOOKUP($A69,A:AL,37,FALSE)-50)),"-",(VLOOKUP($A69,'SegEnds_NonXtal_BW#'!$A:$Z,26,FALSE)+VLOOKUP($A69,A:AL,37,FALSE)-50))</f>
        <v>361</v>
      </c>
      <c r="AM69" s="28" t="str">
        <f>VLOOKUP(A69,Classification!A:B,2,FALSE)</f>
        <v>A</v>
      </c>
      <c r="AN69" s="28" t="b">
        <f>AND(IF(Y69="-",IF(AA69-W69&gt;3,TRUE,FALSE),TRUE),IF(M69="-",IF(O69-K69&gt;3,TRUE,FALSE),TRU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NoXtal</v>
      </c>
      <c r="AP69" s="3">
        <f>IF(ISERROR(F69-E69),"-",F69-E69)</f>
        <v>1</v>
      </c>
      <c r="AQ69" s="3">
        <f>IF(ISERROR(I69-H69),"-",I69-H69)</f>
        <v>1</v>
      </c>
      <c r="AR69" s="3">
        <f>IF(ISERROR(L69-K69),"-",L69-K69)</f>
        <v>2</v>
      </c>
      <c r="AS69" s="3">
        <f>IF(ISERROR(O69-N69),"-",O69-N69)</f>
        <v>1</v>
      </c>
      <c r="AT69" s="3">
        <f>IF(ISERROR(R69-Q69),"-",R69-Q69)</f>
        <v>1</v>
      </c>
      <c r="AU69" s="3">
        <f>IF(ISERROR(U69-T69),"-",U69-T69)</f>
        <v>1</v>
      </c>
      <c r="AV69" s="3">
        <f>IF(ISERROR(X69-W69),"-",X69-W69)</f>
        <v>20</v>
      </c>
      <c r="AW69" s="3">
        <f>IF(ISERROR(AA69-Z69),"-",AA69-Z69)</f>
        <v>3</v>
      </c>
      <c r="AX69" s="3">
        <f>IF(ISERROR(AD69-AC69),"-",AD69-AC69)</f>
        <v>39</v>
      </c>
      <c r="AY69" s="3">
        <f>IF(ISERROR(AG69-AF69),"-",AG69-AF69)</f>
        <v>6</v>
      </c>
      <c r="AZ69" s="3">
        <f>IF(ISERROR(AJ69-AI69),"-",AJ69-AI69)</f>
        <v>1</v>
      </c>
      <c r="BA69" s="3">
        <f>IF(ISERROR(LEN(VLOOKUP(A69,Seqs!A:E,2,FALSE))-AL69),"-",LEN(VLOOKUP(A69,Seqs!A:E,2,FALSE))-AL69)</f>
        <v>47</v>
      </c>
      <c r="BB69" s="16">
        <f>J69-D69</f>
        <v>28</v>
      </c>
      <c r="BC69" s="9">
        <f>IF(ISERROR(V69-S69),"-",V69-S69)</f>
        <v>20</v>
      </c>
      <c r="BD69" s="3">
        <f>J69-D69</f>
        <v>28</v>
      </c>
      <c r="BE69" s="3">
        <f>AE69-AB69</f>
        <v>91</v>
      </c>
    </row>
    <row r="70" spans="1:58" s="3" customFormat="1" x14ac:dyDescent="0.2">
      <c r="A70" s="3" t="s">
        <v>158</v>
      </c>
      <c r="B70" s="3" t="str">
        <f>LOWER(VLOOKUP(A70,Xtal_Templ!A:B,2,FALSE))</f>
        <v>agtr1_human</v>
      </c>
      <c r="C70" s="3">
        <f>VLOOKUP($A70,'SegEnds_NonXtal_BW#'!$A:$Z,3,FALSE)+D70-50</f>
        <v>26</v>
      </c>
      <c r="D70" s="3">
        <v>46</v>
      </c>
      <c r="E70" s="3">
        <f>IF(ISERROR(VLOOKUP($A70,'SegEnds_NonXtal_BW#'!$A:$Z,4,FALSE)+VLOOKUP($A70,A:AL,4,FALSE)-50),"-",(VLOOKUP($A70,'SegEnds_NonXtal_BW#'!$A:$Z,4,FALSE)+VLOOKUP($A70,A:AL,4,FALSE)-50))</f>
        <v>56</v>
      </c>
      <c r="F70" s="3">
        <f>G70-2</f>
        <v>57</v>
      </c>
      <c r="G70" s="3">
        <v>59</v>
      </c>
      <c r="H70" s="3">
        <f>G70+1</f>
        <v>60</v>
      </c>
      <c r="I70" s="3">
        <f>H70+1</f>
        <v>61</v>
      </c>
      <c r="J70" s="3">
        <v>74</v>
      </c>
      <c r="K70" s="3">
        <f>VLOOKUP($A70,'SegEnds_NonXtal_BW#'!$A:$Z,8,FALSE)+VLOOKUP($A70,A:AL,10,FALSE)-50</f>
        <v>90</v>
      </c>
      <c r="L70" s="3">
        <f>M70-1</f>
        <v>93</v>
      </c>
      <c r="M70" s="3">
        <v>94</v>
      </c>
      <c r="N70" s="3">
        <f>M70+2</f>
        <v>96</v>
      </c>
      <c r="O70" s="3">
        <f>N70+1</f>
        <v>97</v>
      </c>
      <c r="P70" s="3">
        <v>126</v>
      </c>
      <c r="Q70" s="3">
        <f>VLOOKUP($A70,'SegEnds_NonXtal_BW#'!$A:$Z,12,FALSE)+VLOOKUP($A70,A:AL,16,FALSE)-50</f>
        <v>132</v>
      </c>
      <c r="R70" s="3">
        <f>IF(ISERROR(VLOOKUP($A70,'SegEnds_NonXtal_BW#'!$A:$Z,13,FALSE)+VLOOKUP($A70,A:AL,19,FALSE)-50),"-",VLOOKUP($A70,'SegEnds_NonXtal_BW#'!$A:$Z,13,FALSE)+VLOOKUP($A70,A:AL,19,FALSE)-50)</f>
        <v>133</v>
      </c>
      <c r="S70" s="3">
        <v>133</v>
      </c>
      <c r="T70" s="103">
        <f>IF(ISERROR(VLOOKUP($A70,'SegEnds_NonXtal_BW#'!$A:$Z,14,FALSE)+VLOOKUP($A70,A:AL,19,FALSE)-50),"-",(VLOOKUP($A70,'SegEnds_NonXtal_BW#'!$A:$Z,14,FALSE)+VLOOKUP($A70,A:AL,19,FALSE)-50))</f>
        <v>140</v>
      </c>
      <c r="U70" s="9">
        <f>IF(ISERROR(VLOOKUP($A70,'SegEnds_NonXtal_BW#'!$A:$Z,15,FALSE)+VLOOKUP($A70,A:AL,22,FALSE)-50),"-",VLOOKUP($A70,'SegEnds_NonXtal_BW#'!$A:$Z,15,FALSE)+VLOOKUP($A70,A:AL,22,FALSE)-50)</f>
        <v>141</v>
      </c>
      <c r="V70" s="3">
        <v>153</v>
      </c>
      <c r="W70" s="3">
        <f>IF(ISERROR(VLOOKUP($A70,'SegEnds_NonXtal_BW#'!$A:$Z,16,FALSE)+VLOOKUP($A70,A:AL,22,FALSE)-50),"-",(VLOOKUP($A70,'SegEnds_NonXtal_BW#'!$A:$Z,16,FALSE)+VLOOKUP($A70,A:AL,22,FALSE)-50))</f>
        <v>167</v>
      </c>
      <c r="X70" s="3">
        <f>IF(ISERROR(VLOOKUP($A70,'SegEnds_NonXtal_BW#'!$A:$Z,17,FALSE)+VLOOKUP($A70,A:AL,25,FALSE)-50),"-",(VLOOKUP($A70,'SegEnds_NonXtal_BW#'!$A:$Z,17,FALSE)+VLOOKUP($A70,A:AL,25,FALSE)-50))</f>
        <v>180</v>
      </c>
      <c r="Y70" s="3">
        <v>180</v>
      </c>
      <c r="Z70" s="3">
        <f>Y70+2</f>
        <v>182</v>
      </c>
      <c r="AA70" s="3">
        <f>IF(ISERROR(VLOOKUP($A70,'SegEnds_NonXtal_BW#'!$A:$Z,19,FALSE)+VLOOKUP($A70,A:AL,28,FALSE)-50),"-",(VLOOKUP($A70,'SegEnds_NonXtal_BW#'!$A:$Z,19,FALSE)+VLOOKUP($A70,A:AL,28,FALSE)-50))</f>
        <v>191</v>
      </c>
      <c r="AB70" s="3">
        <v>207</v>
      </c>
      <c r="AC70" s="3">
        <f>IF(ISERROR((VLOOKUP($A70,'SegEnds_NonXtal_BW#'!$A:$Z,20,FALSE)+VLOOKUP($A70,A:AL,28,FALSE)-50)),"-",(VLOOKUP($A70,'SegEnds_NonXtal_BW#'!$A:$Z,20,FALSE)+VLOOKUP($A70,A:AL,28,FALSE)-50))</f>
        <v>225</v>
      </c>
      <c r="AD70" s="3">
        <f>IF(ISERROR(VLOOKUP($A70,'SegEnds_NonXtal_BW#'!$A:$Z,21,FALSE)+VLOOKUP($A70,A:AL,31,FALSE)-50),"-",(VLOOKUP($A70,'SegEnds_NonXtal_BW#'!$A:$Z,21,FALSE)+VLOOKUP($A70,A:AL,31,FALSE)-50))</f>
        <v>229</v>
      </c>
      <c r="AE70" s="3">
        <v>255</v>
      </c>
      <c r="AF70" s="3">
        <f>IF(ISERROR((VLOOKUP($A70,'SegEnds_NonXtal_BW#'!$A:$Z,22,FALSE)+VLOOKUP($A70,A:AL,31,FALSE)-50)),"-",(VLOOKUP($A70,'SegEnds_NonXtal_BW#'!$A:$Z,22,FALSE)+VLOOKUP($A70,A:AL,31,FALSE)-50))</f>
        <v>269</v>
      </c>
      <c r="AG70" s="3">
        <f>IF(ISERROR(VLOOKUP($A70,'SegEnds_NonXtal_BW#'!$A:$Z,23,FALSE)+VLOOKUP($A70,A:AL,34,FALSE)-50),"-",(VLOOKUP($A70,'SegEnds_NonXtal_BW#'!$A:$Z,23,FALSE)+VLOOKUP($A70,A:AL,34,FALSE)-50))</f>
        <v>273</v>
      </c>
      <c r="AH70" s="3">
        <v>299</v>
      </c>
      <c r="AI70" s="3">
        <f>IF(ISERROR((VLOOKUP($A70,'SegEnds_NonXtal_BW#'!$A:$Z,24,FALSE)+VLOOKUP($A70,A:AL,34,FALSE)-50)),"-",(VLOOKUP($A70,'SegEnds_NonXtal_BW#'!$A:$Z,24,FALSE)+VLOOKUP($A70,A:AL,34,FALSE)-50))</f>
        <v>305</v>
      </c>
      <c r="AJ70" s="3">
        <f>IF(ISERROR(VLOOKUP($A70,'SegEnds_NonXtal_BW#'!$A:$Z,25,FALSE)+VLOOKUP($A70,A:AL,37,FALSE)-50),"-",(VLOOKUP($A70,'SegEnds_NonXtal_BW#'!$A:$Z,25,FALSE)+VLOOKUP($A70,A:AL,37,FALSE)-50))</f>
        <v>306</v>
      </c>
      <c r="AK70" s="3">
        <v>309</v>
      </c>
      <c r="AL70" s="3">
        <f>IF(ISERROR((VLOOKUP($A70,'SegEnds_NonXtal_BW#'!$A:$Z,26,FALSE)+VLOOKUP($A70,A:AL,37,FALSE)-50)),"-",(VLOOKUP($A70,'SegEnds_NonXtal_BW#'!$A:$Z,26,FALSE)+VLOOKUP($A70,A:AL,37,FALSE)-50))</f>
        <v>320</v>
      </c>
      <c r="AM70" s="28" t="str">
        <f>VLOOKUP(A70,Classification!A:B,2,FALSE)</f>
        <v>A</v>
      </c>
      <c r="AN70" s="28" t="b">
        <f>AND(IF(Y70="-",IF(AA70-W70&gt;3,TRUE,FALSE),TRUE),IF(M70="-",IF(O70-K70&gt;3,TRUE,FALSE),TRUE),C70&lt;E70,OR(E70&lt;F70,F70="-"),OR(F70&lt;H70,F70="-"),OR(H70&lt;I70,H70="-"),I70&lt;K70,OR(K70&lt;L70,L70="-"),OR(L70&lt;N70,L70="-"),OR(N70&lt;O70,N70="-"),O70&lt;Q70,OR(Q70&lt;R70,R70="-"),OR(R70&lt;T70,R70="-"),OR(T70&lt;U70,T70="-"),U70&lt;W70,OR(W70&lt;X70,X70="-"),OR(X70&lt;Z70,X70="-"),OR(Z70&lt;AA70,Z70="-"),AA70&lt;AC70,AC70&lt;AD70,AD70&lt;AF70,AF70&lt;AG70,AG70&lt;AI70,OR(AI70&lt;AJ70,AJ70="-"),OR(AJ70&lt;AL70,AJ70="-"))</f>
        <v>1</v>
      </c>
      <c r="AO70" s="3" t="str">
        <f>IF(ISERROR(MATCH(A70,'SegEnds_Xtal_Prot#'!B:B, 0)), "NoXtal", "Xtal")</f>
        <v>Xtal</v>
      </c>
      <c r="AP70" s="3">
        <f>IF(ISERROR(F70-E70),"-",F70-E70)</f>
        <v>1</v>
      </c>
      <c r="AQ70" s="3">
        <f>IF(ISERROR(I70-H70),"-",I70-H70)</f>
        <v>1</v>
      </c>
      <c r="AR70" s="3">
        <f>IF(ISERROR(L70-K70),"-",L70-K70)</f>
        <v>3</v>
      </c>
      <c r="AS70" s="3">
        <f>IF(ISERROR(O70-N70),"-",O70-N70)</f>
        <v>1</v>
      </c>
      <c r="AT70" s="3">
        <f>IF(ISERROR(R70-Q70),"-",R70-Q70)</f>
        <v>1</v>
      </c>
      <c r="AU70" s="3">
        <f>IF(ISERROR(U70-T70),"-",U70-T70)</f>
        <v>1</v>
      </c>
      <c r="AV70" s="3">
        <f>IF(ISERROR(X70-W70),"-",X70-W70)</f>
        <v>13</v>
      </c>
      <c r="AW70" s="3">
        <f>IF(ISERROR(AA70-Z70),"-",AA70-Z70)</f>
        <v>9</v>
      </c>
      <c r="AX70" s="3">
        <f>IF(ISERROR(AD70-AC70),"-",AD70-AC70)</f>
        <v>4</v>
      </c>
      <c r="AY70" s="3">
        <f>IF(ISERROR(AG70-AF70),"-",AG70-AF70)</f>
        <v>4</v>
      </c>
      <c r="AZ70" s="3">
        <f>IF(ISERROR(AJ70-AI70),"-",AJ70-AI70)</f>
        <v>1</v>
      </c>
      <c r="BA70" s="3">
        <f>IF(ISERROR(LEN(VLOOKUP(A70,Seqs!A:E,2,FALSE))-AL70),"-",LEN(VLOOKUP(A70,Seqs!A:E,2,FALSE))-AL70)</f>
        <v>39</v>
      </c>
      <c r="BB70" s="16">
        <f>J70-D70</f>
        <v>28</v>
      </c>
      <c r="BC70" s="9">
        <f>IF(ISERROR(V70-S70),"-",V70-S70)</f>
        <v>20</v>
      </c>
      <c r="BD70" s="3">
        <f>J70-D70</f>
        <v>28</v>
      </c>
      <c r="BE70" s="3">
        <f>AE70-AB70</f>
        <v>48</v>
      </c>
    </row>
    <row r="71" spans="1:58" s="3" customFormat="1" x14ac:dyDescent="0.2">
      <c r="A71" s="3" t="s">
        <v>160</v>
      </c>
      <c r="B71" s="3" t="str">
        <f>LOWER(VLOOKUP(A71,Xtal_Templ!A:B,2,FALSE))</f>
        <v>apj_human</v>
      </c>
      <c r="C71" s="3">
        <f>VLOOKUP($A71,'SegEnds_NonXtal_BW#'!$A:$Z,3,FALSE)+D71-50</f>
        <v>29</v>
      </c>
      <c r="D71" s="3">
        <v>46</v>
      </c>
      <c r="E71" s="3">
        <f>IF(ISERROR(VLOOKUP($A71,'SegEnds_NonXtal_BW#'!$A:$Z,4,FALSE)+VLOOKUP($A71,A:AL,4,FALSE)-50),"-",(VLOOKUP($A71,'SegEnds_NonXtal_BW#'!$A:$Z,4,FALSE)+VLOOKUP($A71,A:AL,4,FALSE)-50))</f>
        <v>56</v>
      </c>
      <c r="F71" s="3">
        <f>IF(ISERROR(VLOOKUP($A71,'SegEnds_NonXtal_BW#'!$A:$Z,5,FALSE)+VLOOKUP($A71,A:AL,7,FALSE)-50),"-",(VLOOKUP($A71,'SegEnds_NonXtal_BW#'!$A:$Z,5,FALSE)+VLOOKUP($A71,A:AL,7,FALSE)-50))</f>
        <v>57</v>
      </c>
      <c r="G71" s="3">
        <v>59</v>
      </c>
      <c r="H71" s="3">
        <f>IF(ISERROR(VLOOKUP($A71,'SegEnds_NonXtal_BW#'!$A:$Z,6,FALSE)+VLOOKUP($A71,A:AL,7,FALSE)-50),"-",(VLOOKUP($A71,'SegEnds_NonXtal_BW#'!$A:$Z,6,FALSE)+VLOOKUP($A71,A:AL,7,FALSE)-50))</f>
        <v>61</v>
      </c>
      <c r="I71" s="3">
        <f>VLOOKUP($A71,'SegEnds_NonXtal_BW#'!$A:$Z,7,FALSE)+J71-50</f>
        <v>62</v>
      </c>
      <c r="J71" s="3">
        <v>75</v>
      </c>
      <c r="K71" s="3">
        <f>VLOOKUP($A71,'SegEnds_NonXtal_BW#'!$A:$Z,8,FALSE)+VLOOKUP($A71,A:AL,10,FALSE)-50</f>
        <v>92</v>
      </c>
      <c r="L71" s="3">
        <f>M71-1</f>
        <v>94</v>
      </c>
      <c r="M71" s="3">
        <v>95</v>
      </c>
      <c r="N71" s="3">
        <f>M71+2</f>
        <v>97</v>
      </c>
      <c r="O71" s="3">
        <f>N71+1</f>
        <v>98</v>
      </c>
      <c r="P71" s="3">
        <v>127</v>
      </c>
      <c r="Q71" s="3">
        <f>VLOOKUP($A71,'SegEnds_NonXtal_BW#'!$A:$Z,12,FALSE)+VLOOKUP($A71,A:AL,16,FALSE)-50</f>
        <v>133</v>
      </c>
      <c r="R71" s="3">
        <f>IF(ISERROR(VLOOKUP($A71,'SegEnds_NonXtal_BW#'!$A:$Z,13,FALSE)+VLOOKUP($A71,A:AL,19,FALSE)-50),"-",VLOOKUP($A71,'SegEnds_NonXtal_BW#'!$A:$Z,13,FALSE)+VLOOKUP($A71,A:AL,19,FALSE)-50)</f>
        <v>134</v>
      </c>
      <c r="S71" s="3">
        <v>134</v>
      </c>
      <c r="T71" s="103">
        <f>IF(ISERROR(VLOOKUP($A71,'SegEnds_NonXtal_BW#'!$A:$Z,14,FALSE)+VLOOKUP($A71,A:AL,19,FALSE)-50),"-",(VLOOKUP($A71,'SegEnds_NonXtal_BW#'!$A:$Z,14,FALSE)+VLOOKUP($A71,A:AL,19,FALSE)-50))</f>
        <v>141</v>
      </c>
      <c r="U71" s="9">
        <f>IF(ISERROR(VLOOKUP($A71,'SegEnds_NonXtal_BW#'!$A:$Z,15,FALSE)+VLOOKUP($A71,A:AL,22,FALSE)-50),"-",VLOOKUP($A71,'SegEnds_NonXtal_BW#'!$A:$Z,15,FALSE)+VLOOKUP($A71,A:AL,22,FALSE)-50)</f>
        <v>142</v>
      </c>
      <c r="V71" s="3">
        <v>154</v>
      </c>
      <c r="W71" s="3">
        <f>IF(ISERROR(VLOOKUP($A71,'SegEnds_NonXtal_BW#'!$A:$Z,16,FALSE)+VLOOKUP($A71,A:AL,22,FALSE)-50),"-",(VLOOKUP($A71,'SegEnds_NonXtal_BW#'!$A:$Z,16,FALSE)+VLOOKUP($A71,A:AL,22,FALSE)-50))</f>
        <v>168</v>
      </c>
      <c r="X71" s="3">
        <f>IF(ISERROR(VLOOKUP($A71,'SegEnds_NonXtal_BW#'!$A:$Z,17,FALSE)+VLOOKUP($A71,A:AL,25,FALSE)-50),"-",(VLOOKUP($A71,'SegEnds_NonXtal_BW#'!$A:$Z,17,FALSE)+VLOOKUP($A71,A:AL,25,FALSE)-50))</f>
        <v>181</v>
      </c>
      <c r="Y71" s="3">
        <v>181</v>
      </c>
      <c r="Z71" s="3">
        <f>Y71+2</f>
        <v>183</v>
      </c>
      <c r="AA71" s="3">
        <f>IF(ISERROR(VLOOKUP($A71,'SegEnds_NonXtal_BW#'!$A:$Z,19,FALSE)+VLOOKUP($A71,A:AL,28,FALSE)-50),"-",(VLOOKUP($A71,'SegEnds_NonXtal_BW#'!$A:$Z,19,FALSE)+VLOOKUP($A71,A:AL,28,FALSE)-50))</f>
        <v>193</v>
      </c>
      <c r="AB71" s="3">
        <v>213</v>
      </c>
      <c r="AC71" s="3">
        <f>IF(ISERROR((VLOOKUP($A71,'SegEnds_NonXtal_BW#'!$A:$Z,20,FALSE)+VLOOKUP($A71,A:AL,28,FALSE)-50)),"-",(VLOOKUP($A71,'SegEnds_NonXtal_BW#'!$A:$Z,20,FALSE)+VLOOKUP($A71,A:AL,28,FALSE)-50))</f>
        <v>235</v>
      </c>
      <c r="AD71" s="3">
        <f>IF(ISERROR(VLOOKUP($A71,'SegEnds_NonXtal_BW#'!$A:$Z,21,FALSE)+VLOOKUP($A71,A:AL,31,FALSE)-50),"-",(VLOOKUP($A71,'SegEnds_NonXtal_BW#'!$A:$Z,21,FALSE)+VLOOKUP($A71,A:AL,31,FALSE)-50))</f>
        <v>242</v>
      </c>
      <c r="AE71" s="3">
        <v>263</v>
      </c>
      <c r="AF71" s="3">
        <f>IF(ISERROR((VLOOKUP($A71,'SegEnds_NonXtal_BW#'!$A:$Z,22,FALSE)+VLOOKUP($A71,A:AL,31,FALSE)-50)),"-",(VLOOKUP($A71,'SegEnds_NonXtal_BW#'!$A:$Z,22,FALSE)+VLOOKUP($A71,A:AL,31,FALSE)-50))</f>
        <v>276</v>
      </c>
      <c r="AG71" s="3">
        <f>IF(ISERROR(VLOOKUP($A71,'SegEnds_NonXtal_BW#'!$A:$Z,23,FALSE)+VLOOKUP($A71,A:AL,34,FALSE)-50),"-",(VLOOKUP($A71,'SegEnds_NonXtal_BW#'!$A:$Z,23,FALSE)+VLOOKUP($A71,A:AL,34,FALSE)-50))</f>
        <v>280</v>
      </c>
      <c r="AH71" s="3">
        <v>306</v>
      </c>
      <c r="AI71" s="3">
        <f>IF(ISERROR((VLOOKUP($A71,'SegEnds_NonXtal_BW#'!$A:$Z,24,FALSE)+VLOOKUP($A71,A:AL,34,FALSE)-50)),"-",(VLOOKUP($A71,'SegEnds_NonXtal_BW#'!$A:$Z,24,FALSE)+VLOOKUP($A71,A:AL,34,FALSE)-50))</f>
        <v>312</v>
      </c>
      <c r="AJ71" s="3">
        <f>IF(ISERROR(VLOOKUP($A71,'SegEnds_NonXtal_BW#'!$A:$Z,25,FALSE)+VLOOKUP($A71,A:AL,37,FALSE)-50),"-",(VLOOKUP($A71,'SegEnds_NonXtal_BW#'!$A:$Z,25,FALSE)+VLOOKUP($A71,A:AL,37,FALSE)-50))</f>
        <v>313</v>
      </c>
      <c r="AK71" s="3">
        <v>316</v>
      </c>
      <c r="AL71" s="3">
        <f>IF(ISERROR((VLOOKUP($A71,'SegEnds_NonXtal_BW#'!$A:$Z,26,FALSE)+VLOOKUP($A71,A:AL,37,FALSE)-50)),"-",(VLOOKUP($A71,'SegEnds_NonXtal_BW#'!$A:$Z,26,FALSE)+VLOOKUP($A71,A:AL,37,FALSE)-50))</f>
        <v>327</v>
      </c>
      <c r="AM71" s="28" t="str">
        <f>VLOOKUP(A71,Classification!A:B,2,FALSE)</f>
        <v>A</v>
      </c>
      <c r="AN71" s="28" t="b">
        <f>AND(IF(Y71="-",IF(AA71-W71&gt;3,TRUE,FALSE),TRUE),IF(M71="-",IF(O71-K71&gt;3,TRUE,FALSE),TRUE),C71&lt;E71,OR(E71&lt;F71,F71="-"),OR(F71&lt;H71,F71="-"),OR(H71&lt;I71,H71="-"),I71&lt;K71,OR(K71&lt;L71,L71="-"),OR(L71&lt;N71,L71="-"),OR(N71&lt;O71,N71="-"),O71&lt;Q71,OR(Q71&lt;R71,R71="-"),OR(R71&lt;T71,R71="-"),OR(T71&lt;U71,T71="-"),U71&lt;W71,OR(W71&lt;X71,X71="-"),OR(X71&lt;Z71,X71="-"),OR(Z71&lt;AA71,Z71="-"),AA71&lt;AC71,AC71&lt;AD71,AD71&lt;AF71,AF71&lt;AG71,AG71&lt;AI71,OR(AI71&lt;AJ71,AJ71="-"),OR(AJ71&lt;AL71,AJ71="-"))</f>
        <v>1</v>
      </c>
      <c r="AO71" s="3" t="str">
        <f>IF(ISERROR(MATCH(A71,'SegEnds_Xtal_Prot#'!B:B, 0)), "NoXtal", "Xtal")</f>
        <v>Xtal</v>
      </c>
      <c r="AP71" s="3">
        <f>IF(ISERROR(F71-E71),"-",F71-E71)</f>
        <v>1</v>
      </c>
      <c r="AQ71" s="3">
        <f>IF(ISERROR(I71-H71),"-",I71-H71)</f>
        <v>1</v>
      </c>
      <c r="AR71" s="3">
        <f>IF(ISERROR(L71-K71),"-",L71-K71)</f>
        <v>2</v>
      </c>
      <c r="AS71" s="3">
        <f>IF(ISERROR(O71-N71),"-",O71-N71)</f>
        <v>1</v>
      </c>
      <c r="AT71" s="3">
        <f>IF(ISERROR(R71-Q71),"-",R71-Q71)</f>
        <v>1</v>
      </c>
      <c r="AU71" s="3">
        <f>IF(ISERROR(U71-T71),"-",U71-T71)</f>
        <v>1</v>
      </c>
      <c r="AV71" s="3">
        <f>IF(ISERROR(X71-W71),"-",X71-W71)</f>
        <v>13</v>
      </c>
      <c r="AW71" s="3">
        <f>IF(ISERROR(AA71-Z71),"-",AA71-Z71)</f>
        <v>10</v>
      </c>
      <c r="AX71" s="3">
        <f>IF(ISERROR(AD71-AC71),"-",AD71-AC71)</f>
        <v>7</v>
      </c>
      <c r="AY71" s="3">
        <f>IF(ISERROR(AG71-AF71),"-",AG71-AF71)</f>
        <v>4</v>
      </c>
      <c r="AZ71" s="3">
        <f>IF(ISERROR(AJ71-AI71),"-",AJ71-AI71)</f>
        <v>1</v>
      </c>
      <c r="BA71" s="3">
        <f>IF(ISERROR(LEN(VLOOKUP(A71,Seqs!A:E,2,FALSE))-AL71),"-",LEN(VLOOKUP(A71,Seqs!A:E,2,FALSE))-AL71)</f>
        <v>53</v>
      </c>
      <c r="BB71" s="16">
        <f>J71-D71</f>
        <v>29</v>
      </c>
      <c r="BC71" s="9">
        <f>IF(ISERROR(V71-S71),"-",V71-S71)</f>
        <v>20</v>
      </c>
      <c r="BD71" s="3">
        <f>J71-D71</f>
        <v>29</v>
      </c>
      <c r="BE71" s="3">
        <f>AE71-AB71</f>
        <v>50</v>
      </c>
    </row>
    <row r="72" spans="1:58" s="3" customFormat="1" x14ac:dyDescent="0.2">
      <c r="A72" s="3" t="s">
        <v>161</v>
      </c>
      <c r="B72" s="3" t="str">
        <f>LOWER(VLOOKUP(A72,Xtal_Templ!A:B,2,FALSE))</f>
        <v>agtr1_human</v>
      </c>
      <c r="C72" s="3">
        <f>VLOOKUP($A72,'SegEnds_NonXtal_BW#'!$A:$Z,3,FALSE)+D72-50</f>
        <v>35</v>
      </c>
      <c r="D72" s="3">
        <v>55</v>
      </c>
      <c r="E72" s="3">
        <f>IF(ISERROR(VLOOKUP($A72,'SegEnds_NonXtal_BW#'!$A:$Z,4,FALSE)+VLOOKUP($A72,A:AL,4,FALSE)-50),"-",(VLOOKUP($A72,'SegEnds_NonXtal_BW#'!$A:$Z,4,FALSE)+VLOOKUP($A72,A:AL,4,FALSE)-50))</f>
        <v>65</v>
      </c>
      <c r="F72" s="3">
        <f>G72-2</f>
        <v>66</v>
      </c>
      <c r="G72" s="3">
        <v>68</v>
      </c>
      <c r="H72" s="3">
        <f>G72+1</f>
        <v>69</v>
      </c>
      <c r="I72" s="3">
        <f>H72+1</f>
        <v>70</v>
      </c>
      <c r="J72" s="3">
        <v>83</v>
      </c>
      <c r="K72" s="3">
        <f>VLOOKUP($A72,'SegEnds_NonXtal_BW#'!$A:$Z,8,FALSE)+VLOOKUP($A72,A:AL,10,FALSE)-50</f>
        <v>99</v>
      </c>
      <c r="L72" s="3">
        <f>M72-1</f>
        <v>102</v>
      </c>
      <c r="M72" s="3">
        <v>103</v>
      </c>
      <c r="N72" s="3">
        <f>M72+2</f>
        <v>105</v>
      </c>
      <c r="O72" s="3">
        <f>N72+1</f>
        <v>106</v>
      </c>
      <c r="P72" s="3">
        <v>135</v>
      </c>
      <c r="Q72" s="3">
        <f>VLOOKUP($A72,'SegEnds_NonXtal_BW#'!$A:$Z,12,FALSE)+VLOOKUP($A72,A:AL,16,FALSE)-50</f>
        <v>141</v>
      </c>
      <c r="R72" s="3">
        <f>IF(ISERROR(VLOOKUP($A72,'SegEnds_NonXtal_BW#'!$A:$Z,13,FALSE)+VLOOKUP($A72,A:AL,19,FALSE)-50),"-",VLOOKUP($A72,'SegEnds_NonXtal_BW#'!$A:$Z,13,FALSE)+VLOOKUP($A72,A:AL,19,FALSE)-50)</f>
        <v>142</v>
      </c>
      <c r="S72" s="3">
        <v>142</v>
      </c>
      <c r="T72" s="103">
        <f>IF(ISERROR(VLOOKUP($A72,'SegEnds_NonXtal_BW#'!$A:$Z,14,FALSE)+VLOOKUP($A72,A:AL,19,FALSE)-50),"-",(VLOOKUP($A72,'SegEnds_NonXtal_BW#'!$A:$Z,14,FALSE)+VLOOKUP($A72,A:AL,19,FALSE)-50))</f>
        <v>149</v>
      </c>
      <c r="U72" s="9">
        <f>IF(ISERROR(VLOOKUP($A72,'SegEnds_NonXtal_BW#'!$A:$Z,15,FALSE)+VLOOKUP($A72,A:AL,22,FALSE)-50),"-",VLOOKUP($A72,'SegEnds_NonXtal_BW#'!$A:$Z,15,FALSE)+VLOOKUP($A72,A:AL,22,FALSE)-50)</f>
        <v>150</v>
      </c>
      <c r="V72" s="3">
        <v>162</v>
      </c>
      <c r="W72" s="3">
        <f>IF(ISERROR(VLOOKUP($A72,'SegEnds_NonXtal_BW#'!$A:$Z,16,FALSE)+VLOOKUP($A72,A:AL,22,FALSE)-50),"-",(VLOOKUP($A72,'SegEnds_NonXtal_BW#'!$A:$Z,16,FALSE)+VLOOKUP($A72,A:AL,22,FALSE)-50))</f>
        <v>176</v>
      </c>
      <c r="X72" s="3">
        <f>IF(ISERROR(VLOOKUP($A72,'SegEnds_NonXtal_BW#'!$A:$Z,17,FALSE)+VLOOKUP($A72,A:AL,25,FALSE)-50),"-",(VLOOKUP($A72,'SegEnds_NonXtal_BW#'!$A:$Z,17,FALSE)+VLOOKUP($A72,A:AL,25,FALSE)-50))</f>
        <v>189</v>
      </c>
      <c r="Y72" s="3">
        <v>189</v>
      </c>
      <c r="Z72" s="3">
        <f>Y72+2</f>
        <v>191</v>
      </c>
      <c r="AA72" s="3">
        <f>IF(ISERROR(VLOOKUP($A72,'SegEnds_NonXtal_BW#'!$A:$Z,19,FALSE)+VLOOKUP($A72,A:AL,28,FALSE)-50),"-",(VLOOKUP($A72,'SegEnds_NonXtal_BW#'!$A:$Z,19,FALSE)+VLOOKUP($A72,A:AL,28,FALSE)-50))</f>
        <v>198</v>
      </c>
      <c r="AB72" s="3">
        <v>214</v>
      </c>
      <c r="AC72" s="3">
        <f>IF(ISERROR((VLOOKUP($A72,'SegEnds_NonXtal_BW#'!$A:$Z,20,FALSE)+VLOOKUP($A72,A:AL,28,FALSE)-50)),"-",(VLOOKUP($A72,'SegEnds_NonXtal_BW#'!$A:$Z,20,FALSE)+VLOOKUP($A72,A:AL,28,FALSE)-50))</f>
        <v>232</v>
      </c>
      <c r="AD72" s="3">
        <f>IF(ISERROR(VLOOKUP($A72,'SegEnds_NonXtal_BW#'!$A:$Z,21,FALSE)+VLOOKUP($A72,A:AL,31,FALSE)-50),"-",(VLOOKUP($A72,'SegEnds_NonXtal_BW#'!$A:$Z,21,FALSE)+VLOOKUP($A72,A:AL,31,FALSE)-50))</f>
        <v>238</v>
      </c>
      <c r="AE72" s="3">
        <v>265</v>
      </c>
      <c r="AF72" s="3">
        <f>IF(ISERROR((VLOOKUP($A72,'SegEnds_NonXtal_BW#'!$A:$Z,22,FALSE)+VLOOKUP($A72,A:AL,31,FALSE)-50)),"-",(VLOOKUP($A72,'SegEnds_NonXtal_BW#'!$A:$Z,22,FALSE)+VLOOKUP($A72,A:AL,31,FALSE)-50))</f>
        <v>279</v>
      </c>
      <c r="AG72" s="3">
        <f>IF(ISERROR(VLOOKUP($A72,'SegEnds_NonXtal_BW#'!$A:$Z,23,FALSE)+VLOOKUP($A72,A:AL,34,FALSE)-50),"-",(VLOOKUP($A72,'SegEnds_NonXtal_BW#'!$A:$Z,23,FALSE)+VLOOKUP($A72,A:AL,34,FALSE)-50))</f>
        <v>283</v>
      </c>
      <c r="AH72" s="3">
        <v>309</v>
      </c>
      <c r="AI72" s="3">
        <f>IF(ISERROR((VLOOKUP($A72,'SegEnds_NonXtal_BW#'!$A:$Z,24,FALSE)+VLOOKUP($A72,A:AL,34,FALSE)-50)),"-",(VLOOKUP($A72,'SegEnds_NonXtal_BW#'!$A:$Z,24,FALSE)+VLOOKUP($A72,A:AL,34,FALSE)-50))</f>
        <v>315</v>
      </c>
      <c r="AJ72" s="3">
        <f>IF(ISERROR(VLOOKUP($A72,'SegEnds_NonXtal_BW#'!$A:$Z,25,FALSE)+VLOOKUP($A72,A:AL,37,FALSE)-50),"-",(VLOOKUP($A72,'SegEnds_NonXtal_BW#'!$A:$Z,25,FALSE)+VLOOKUP($A72,A:AL,37,FALSE)-50))</f>
        <v>316</v>
      </c>
      <c r="AK72" s="3">
        <v>319</v>
      </c>
      <c r="AL72" s="3">
        <f>IF(ISERROR((VLOOKUP($A72,'SegEnds_NonXtal_BW#'!$A:$Z,26,FALSE)+VLOOKUP($A72,A:AL,37,FALSE)-50)),"-",(VLOOKUP($A72,'SegEnds_NonXtal_BW#'!$A:$Z,26,FALSE)+VLOOKUP($A72,A:AL,37,FALSE)-50))</f>
        <v>330</v>
      </c>
      <c r="AM72" s="28" t="str">
        <f>VLOOKUP(A72,Classification!A:B,2,FALSE)</f>
        <v>A</v>
      </c>
      <c r="AN72" s="28" t="b">
        <f>AND(IF(Y72="-",IF(AA72-W72&gt;3,TRUE,FALSE),TRUE),IF(M72="-",IF(O72-K72&gt;3,TRUE,FALSE),TRUE),C72&lt;E72,OR(E72&lt;F72,F72="-"),OR(F72&lt;H72,F72="-"),OR(H72&lt;I72,H72="-"),I72&lt;K72,OR(K72&lt;L72,L72="-"),OR(L72&lt;N72,L72="-"),OR(N72&lt;O72,N72="-"),O72&lt;Q72,OR(Q72&lt;R72,R72="-"),OR(R72&lt;T72,R72="-"),OR(T72&lt;U72,T72="-"),U72&lt;W72,OR(W72&lt;X72,X72="-"),OR(X72&lt;Z72,X72="-"),OR(Z72&lt;AA72,Z72="-"),AA72&lt;AC72,AC72&lt;AD72,AD72&lt;AF72,AF72&lt;AG72,AG72&lt;AI72,OR(AI72&lt;AJ72,AJ72="-"),OR(AJ72&lt;AL72,AJ72="-"))</f>
        <v>1</v>
      </c>
      <c r="AO72" s="3" t="str">
        <f>IF(ISERROR(MATCH(A72,'SegEnds_Xtal_Prot#'!B:B, 0)), "NoXtal", "Xtal")</f>
        <v>NoXtal</v>
      </c>
      <c r="AP72" s="3">
        <f>IF(ISERROR(F72-E72),"-",F72-E72)</f>
        <v>1</v>
      </c>
      <c r="AQ72" s="3">
        <f>IF(ISERROR(I72-H72),"-",I72-H72)</f>
        <v>1</v>
      </c>
      <c r="AR72" s="3">
        <f>IF(ISERROR(L72-K72),"-",L72-K72)</f>
        <v>3</v>
      </c>
      <c r="AS72" s="3">
        <f>IF(ISERROR(O72-N72),"-",O72-N72)</f>
        <v>1</v>
      </c>
      <c r="AT72" s="3">
        <f>IF(ISERROR(R72-Q72),"-",R72-Q72)</f>
        <v>1</v>
      </c>
      <c r="AU72" s="3">
        <f>IF(ISERROR(U72-T72),"-",U72-T72)</f>
        <v>1</v>
      </c>
      <c r="AV72" s="3">
        <f>IF(ISERROR(X72-W72),"-",X72-W72)</f>
        <v>13</v>
      </c>
      <c r="AW72" s="3">
        <f>IF(ISERROR(AA72-Z72),"-",AA72-Z72)</f>
        <v>7</v>
      </c>
      <c r="AX72" s="3">
        <f>IF(ISERROR(AD72-AC72),"-",AD72-AC72)</f>
        <v>6</v>
      </c>
      <c r="AY72" s="3">
        <f>IF(ISERROR(AG72-AF72),"-",AG72-AF72)</f>
        <v>4</v>
      </c>
      <c r="AZ72" s="3">
        <f>IF(ISERROR(AJ72-AI72),"-",AJ72-AI72)</f>
        <v>1</v>
      </c>
      <c r="BA72" s="3">
        <f>IF(ISERROR(LEN(VLOOKUP(A72,Seqs!A:E,2,FALSE))-AL72),"-",LEN(VLOOKUP(A72,Seqs!A:E,2,FALSE))-AL72)</f>
        <v>23</v>
      </c>
      <c r="BB72" s="16">
        <f>J72-D72</f>
        <v>28</v>
      </c>
      <c r="BC72" s="9">
        <f>IF(ISERROR(V72-S72),"-",V72-S72)</f>
        <v>20</v>
      </c>
      <c r="BD72" s="3">
        <f>J72-D72</f>
        <v>28</v>
      </c>
      <c r="BE72" s="3">
        <f>AE72-AB72</f>
        <v>51</v>
      </c>
      <c r="BF72" s="3">
        <f>AH72-AE72</f>
        <v>44</v>
      </c>
    </row>
    <row r="73" spans="1:58" s="3" customFormat="1" x14ac:dyDescent="0.2">
      <c r="A73" s="3" t="s">
        <v>162</v>
      </c>
      <c r="B73" s="3" t="str">
        <f>LOWER(VLOOKUP(A73,Xtal_Templ!A:B,2,FALSE))</f>
        <v>agtr2_human</v>
      </c>
      <c r="C73" s="3">
        <f>VLOOKUP($A73,'SegEnds_NonXtal_BW#'!$A:$Z,3,FALSE)+D73-50</f>
        <v>58</v>
      </c>
      <c r="D73" s="3">
        <v>75</v>
      </c>
      <c r="E73" s="3">
        <f>IF(ISERROR(VLOOKUP($A73,'SegEnds_NonXtal_BW#'!$A:$Z,4,FALSE)+VLOOKUP($A73,A:AL,4,FALSE)-50),"-",(VLOOKUP($A73,'SegEnds_NonXtal_BW#'!$A:$Z,4,FALSE)+VLOOKUP($A73,A:AL,4,FALSE)-50))</f>
        <v>85</v>
      </c>
      <c r="F73" s="3">
        <f>G73-2</f>
        <v>86</v>
      </c>
      <c r="G73" s="3">
        <v>88</v>
      </c>
      <c r="H73" s="3">
        <f>G73+1</f>
        <v>89</v>
      </c>
      <c r="I73" s="3">
        <f>H73+1</f>
        <v>90</v>
      </c>
      <c r="J73" s="3">
        <v>103</v>
      </c>
      <c r="K73" s="3">
        <f>VLOOKUP($A73,'SegEnds_NonXtal_BW#'!$A:$Z,8,FALSE)+VLOOKUP($A73,A:AL,10,FALSE)-50</f>
        <v>119</v>
      </c>
      <c r="L73" s="3">
        <f>M73-1</f>
        <v>122</v>
      </c>
      <c r="M73" s="3">
        <v>123</v>
      </c>
      <c r="N73" s="3">
        <f>M73+2</f>
        <v>125</v>
      </c>
      <c r="O73" s="3">
        <f>N73+1</f>
        <v>126</v>
      </c>
      <c r="P73" s="3">
        <v>155</v>
      </c>
      <c r="Q73" s="3">
        <f>VLOOKUP($A73,'SegEnds_NonXtal_BW#'!$A:$Z,12,FALSE)+VLOOKUP($A73,A:AL,16,FALSE)-50</f>
        <v>161</v>
      </c>
      <c r="R73" s="3">
        <f>IF(ISERROR(VLOOKUP($A73,'SegEnds_NonXtal_BW#'!$A:$Z,13,FALSE)+VLOOKUP($A73,A:AL,19,FALSE)-50),"-",VLOOKUP($A73,'SegEnds_NonXtal_BW#'!$A:$Z,13,FALSE)+VLOOKUP($A73,A:AL,19,FALSE)-50)</f>
        <v>162</v>
      </c>
      <c r="S73" s="3">
        <v>162</v>
      </c>
      <c r="T73" s="103">
        <f>IF(ISERROR(VLOOKUP($A73,'SegEnds_NonXtal_BW#'!$A:$Z,14,FALSE)+VLOOKUP($A73,A:AL,19,FALSE)-50),"-",(VLOOKUP($A73,'SegEnds_NonXtal_BW#'!$A:$Z,14,FALSE)+VLOOKUP($A73,A:AL,19,FALSE)-50))</f>
        <v>169</v>
      </c>
      <c r="U73" s="9">
        <f>IF(ISERROR(VLOOKUP($A73,'SegEnds_NonXtal_BW#'!$A:$Z,15,FALSE)+VLOOKUP($A73,A:AL,22,FALSE)-50),"-",VLOOKUP($A73,'SegEnds_NonXtal_BW#'!$A:$Z,15,FALSE)+VLOOKUP($A73,A:AL,22,FALSE)-50)</f>
        <v>170</v>
      </c>
      <c r="V73" s="3">
        <v>182</v>
      </c>
      <c r="W73" s="3">
        <f>IF(ISERROR(VLOOKUP($A73,'SegEnds_NonXtal_BW#'!$A:$Z,16,FALSE)+VLOOKUP($A73,A:AL,22,FALSE)-50),"-",(VLOOKUP($A73,'SegEnds_NonXtal_BW#'!$A:$Z,16,FALSE)+VLOOKUP($A73,A:AL,22,FALSE)-50))</f>
        <v>196</v>
      </c>
      <c r="X73" s="3">
        <f>IF(ISERROR(VLOOKUP($A73,'SegEnds_NonXtal_BW#'!$A:$Z,17,FALSE)+VLOOKUP($A73,A:AL,25,FALSE)-50),"-",(VLOOKUP($A73,'SegEnds_NonXtal_BW#'!$A:$Z,17,FALSE)+VLOOKUP($A73,A:AL,25,FALSE)-50))</f>
        <v>211</v>
      </c>
      <c r="Y73" s="3">
        <v>211</v>
      </c>
      <c r="Z73" s="3">
        <f>Y73+2</f>
        <v>213</v>
      </c>
      <c r="AA73" s="3">
        <f>IF(ISERROR(VLOOKUP($A73,'SegEnds_NonXtal_BW#'!$A:$Z,19,FALSE)+VLOOKUP($A73,A:AL,28,FALSE)-50),"-",(VLOOKUP($A73,'SegEnds_NonXtal_BW#'!$A:$Z,19,FALSE)+VLOOKUP($A73,A:AL,28,FALSE)-50))</f>
        <v>216</v>
      </c>
      <c r="AB73" s="3">
        <v>236</v>
      </c>
      <c r="AC73" s="3">
        <f>IF(ISERROR((VLOOKUP($A73,'SegEnds_NonXtal_BW#'!$A:$Z,20,FALSE)+VLOOKUP($A73,A:AL,28,FALSE)-50)),"-",(VLOOKUP($A73,'SegEnds_NonXtal_BW#'!$A:$Z,20,FALSE)+VLOOKUP($A73,A:AL,28,FALSE)-50))</f>
        <v>254</v>
      </c>
      <c r="AD73" s="3">
        <f>IF(ISERROR(VLOOKUP($A73,'SegEnds_NonXtal_BW#'!$A:$Z,21,FALSE)+VLOOKUP($A73,A:AL,31,FALSE)-50),"-",(VLOOKUP($A73,'SegEnds_NonXtal_BW#'!$A:$Z,21,FALSE)+VLOOKUP($A73,A:AL,31,FALSE)-50))</f>
        <v>259</v>
      </c>
      <c r="AE73" s="3">
        <v>285</v>
      </c>
      <c r="AF73" s="3">
        <f>IF(ISERROR((VLOOKUP($A73,'SegEnds_NonXtal_BW#'!$A:$Z,22,FALSE)+VLOOKUP($A73,A:AL,31,FALSE)-50)),"-",(VLOOKUP($A73,'SegEnds_NonXtal_BW#'!$A:$Z,22,FALSE)+VLOOKUP($A73,A:AL,31,FALSE)-50))</f>
        <v>299</v>
      </c>
      <c r="AG73" s="3">
        <f>IF(ISERROR(VLOOKUP($A73,'SegEnds_NonXtal_BW#'!$A:$Z,23,FALSE)+VLOOKUP($A73,A:AL,34,FALSE)-50),"-",(VLOOKUP($A73,'SegEnds_NonXtal_BW#'!$A:$Z,23,FALSE)+VLOOKUP($A73,A:AL,34,FALSE)-50))</f>
        <v>303</v>
      </c>
      <c r="AH73" s="3">
        <v>329</v>
      </c>
      <c r="AI73" s="3">
        <f>IF(ISERROR((VLOOKUP($A73,'SegEnds_NonXtal_BW#'!$A:$Z,24,FALSE)+VLOOKUP($A73,A:AL,34,FALSE)-50)),"-",(VLOOKUP($A73,'SegEnds_NonXtal_BW#'!$A:$Z,24,FALSE)+VLOOKUP($A73,A:AL,34,FALSE)-50))</f>
        <v>335</v>
      </c>
      <c r="AJ73" s="3">
        <f>IF(ISERROR(VLOOKUP($A73,'SegEnds_NonXtal_BW#'!$A:$Z,25,FALSE)+VLOOKUP($A73,A:AL,37,FALSE)-50),"-",(VLOOKUP($A73,'SegEnds_NonXtal_BW#'!$A:$Z,25,FALSE)+VLOOKUP($A73,A:AL,37,FALSE)-50))</f>
        <v>336</v>
      </c>
      <c r="AK73" s="3">
        <v>339</v>
      </c>
      <c r="AL73" s="3">
        <f>IF(ISERROR((VLOOKUP($A73,'SegEnds_NonXtal_BW#'!$A:$Z,26,FALSE)+VLOOKUP($A73,A:AL,37,FALSE)-50)),"-",(VLOOKUP($A73,'SegEnds_NonXtal_BW#'!$A:$Z,26,FALSE)+VLOOKUP($A73,A:AL,37,FALSE)-50))</f>
        <v>350</v>
      </c>
      <c r="AM73" s="28" t="str">
        <f>VLOOKUP(A73,Classification!A:B,2,FALSE)</f>
        <v>A</v>
      </c>
      <c r="AN73" s="28" t="b">
        <f>AND(IF(Y73="-",IF(AA73-W73&gt;3,TRUE,FALSE),TRUE),IF(M73="-",IF(O73-K73&gt;3,TRUE,FALSE),TRUE),C73&lt;E73,OR(E73&lt;F73,F73="-"),OR(F73&lt;H73,F73="-"),OR(H73&lt;I73,H73="-"),I73&lt;K73,OR(K73&lt;L73,L73="-"),OR(L73&lt;N73,L73="-"),OR(N73&lt;O73,N73="-"),O73&lt;Q73,OR(Q73&lt;R73,R73="-"),OR(R73&lt;T73,R73="-"),OR(T73&lt;U73,T73="-"),U73&lt;W73,OR(W73&lt;X73,X73="-"),OR(X73&lt;Z73,X73="-"),OR(Z73&lt;AA73,Z73="-"),AA73&lt;AC73,AC73&lt;AD73,AD73&lt;AF73,AF73&lt;AG73,AG73&lt;AI73,OR(AI73&lt;AJ73,AJ73="-"),OR(AJ73&lt;AL73,AJ73="-"))</f>
        <v>1</v>
      </c>
      <c r="AO73" s="3" t="str">
        <f>IF(ISERROR(MATCH(A73,'SegEnds_Xtal_Prot#'!B:B, 0)), "NoXtal", "Xtal")</f>
        <v>NoXtal</v>
      </c>
      <c r="AP73" s="3">
        <f>IF(ISERROR(F73-E73),"-",F73-E73)</f>
        <v>1</v>
      </c>
      <c r="AQ73" s="3">
        <f>IF(ISERROR(I73-H73),"-",I73-H73)</f>
        <v>1</v>
      </c>
      <c r="AR73" s="3">
        <f>IF(ISERROR(L73-K73),"-",L73-K73)</f>
        <v>3</v>
      </c>
      <c r="AS73" s="3">
        <f>IF(ISERROR(O73-N73),"-",O73-N73)</f>
        <v>1</v>
      </c>
      <c r="AT73" s="3">
        <f>IF(ISERROR(R73-Q73),"-",R73-Q73)</f>
        <v>1</v>
      </c>
      <c r="AU73" s="3">
        <f>IF(ISERROR(U73-T73),"-",U73-T73)</f>
        <v>1</v>
      </c>
      <c r="AV73" s="3">
        <f>IF(ISERROR(X73-W73),"-",X73-W73)</f>
        <v>15</v>
      </c>
      <c r="AW73" s="3">
        <f>IF(ISERROR(AA73-Z73),"-",AA73-Z73)</f>
        <v>3</v>
      </c>
      <c r="AX73" s="3">
        <f>IF(ISERROR(AD73-AC73),"-",AD73-AC73)</f>
        <v>5</v>
      </c>
      <c r="AY73" s="3">
        <f>IF(ISERROR(AG73-AF73),"-",AG73-AF73)</f>
        <v>4</v>
      </c>
      <c r="AZ73" s="3">
        <f>IF(ISERROR(AJ73-AI73),"-",AJ73-AI73)</f>
        <v>1</v>
      </c>
      <c r="BA73" s="3">
        <f>IF(ISERROR(LEN(VLOOKUP(A73,Seqs!A:E,2,FALSE))-AL73),"-",LEN(VLOOKUP(A73,Seqs!A:E,2,FALSE))-AL73)</f>
        <v>41</v>
      </c>
      <c r="BB73" s="16">
        <f>J73-D73</f>
        <v>28</v>
      </c>
      <c r="BC73" s="9">
        <f>IF(ISERROR(V73-S73),"-",V73-S73)</f>
        <v>20</v>
      </c>
      <c r="BD73" s="3">
        <f>J73-D73</f>
        <v>28</v>
      </c>
      <c r="BE73" s="3">
        <f>AE73-AB73</f>
        <v>49</v>
      </c>
    </row>
    <row r="74" spans="1:58" s="3" customFormat="1" x14ac:dyDescent="0.2">
      <c r="A74" s="3" t="s">
        <v>163</v>
      </c>
      <c r="B74" s="3" t="str">
        <f>LOWER(VLOOKUP(A74,Xtal_Templ!A:B,2,FALSE))</f>
        <v>ednrb_human</v>
      </c>
      <c r="C74" s="3">
        <f>VLOOKUP($A74,'SegEnds_NonXtal_BW#'!$A:$Z,3,FALSE)+D74-50</f>
        <v>37</v>
      </c>
      <c r="D74" s="3">
        <v>65</v>
      </c>
      <c r="E74" s="3">
        <f>IF(ISERROR(VLOOKUP($A74,'SegEnds_NonXtal_BW#'!$A:$Z,4,FALSE)+VLOOKUP($A74,A:AL,4,FALSE)-50),"-",(VLOOKUP($A74,'SegEnds_NonXtal_BW#'!$A:$Z,4,FALSE)+VLOOKUP($A74,A:AL,4,FALSE)-50))</f>
        <v>75</v>
      </c>
      <c r="F74" s="3">
        <f>G74-2</f>
        <v>76</v>
      </c>
      <c r="G74" s="3">
        <v>78</v>
      </c>
      <c r="H74" s="3">
        <f>G74+1</f>
        <v>79</v>
      </c>
      <c r="I74" s="3">
        <f>H74+1</f>
        <v>80</v>
      </c>
      <c r="J74" s="3">
        <v>93</v>
      </c>
      <c r="K74" s="3">
        <f>VLOOKUP($A74,'SegEnds_NonXtal_BW#'!$A:$Z,8,FALSE)+VLOOKUP($A74,A:AL,10,FALSE)-50</f>
        <v>110</v>
      </c>
      <c r="L74" s="3">
        <f>M74-1</f>
        <v>112</v>
      </c>
      <c r="M74" s="3">
        <v>113</v>
      </c>
      <c r="N74" s="3">
        <f>M74+2</f>
        <v>115</v>
      </c>
      <c r="O74" s="3">
        <f>N74+1</f>
        <v>116</v>
      </c>
      <c r="P74" s="3">
        <v>145</v>
      </c>
      <c r="Q74" s="3">
        <f>VLOOKUP($A74,'SegEnds_NonXtal_BW#'!$A:$Z,12,FALSE)+VLOOKUP($A74,A:AL,16,FALSE)-50</f>
        <v>151</v>
      </c>
      <c r="R74" s="3">
        <f>IF(ISERROR(VLOOKUP($A74,'SegEnds_NonXtal_BW#'!$A:$Z,13,FALSE)+VLOOKUP($A74,A:AL,19,FALSE)-50),"-",VLOOKUP($A74,'SegEnds_NonXtal_BW#'!$A:$Z,13,FALSE)+VLOOKUP($A74,A:AL,19,FALSE)-50)</f>
        <v>152</v>
      </c>
      <c r="S74" s="3">
        <v>152</v>
      </c>
      <c r="T74" s="103">
        <f>IF(ISERROR(VLOOKUP($A74,'SegEnds_NonXtal_BW#'!$A:$Z,14,FALSE)+VLOOKUP($A74,A:AL,19,FALSE)-50),"-",(VLOOKUP($A74,'SegEnds_NonXtal_BW#'!$A:$Z,14,FALSE)+VLOOKUP($A74,A:AL,19,FALSE)-50))</f>
        <v>159</v>
      </c>
      <c r="U74" s="9">
        <f>IF(ISERROR(VLOOKUP($A74,'SegEnds_NonXtal_BW#'!$A:$Z,15,FALSE)+VLOOKUP($A74,A:AL,22,FALSE)-50),"-",VLOOKUP($A74,'SegEnds_NonXtal_BW#'!$A:$Z,15,FALSE)+VLOOKUP($A74,A:AL,22,FALSE)-50)</f>
        <v>160</v>
      </c>
      <c r="V74" s="3">
        <v>172</v>
      </c>
      <c r="W74" s="3">
        <f>IF(ISERROR(VLOOKUP($A74,'SegEnds_NonXtal_BW#'!$A:$Z,16,FALSE)+VLOOKUP($A74,A:AL,22,FALSE)-50),"-",(VLOOKUP($A74,'SegEnds_NonXtal_BW#'!$A:$Z,16,FALSE)+VLOOKUP($A74,A:AL,22,FALSE)-50))</f>
        <v>186</v>
      </c>
      <c r="X74" s="3">
        <f>IF(ISERROR(VLOOKUP($A74,'SegEnds_NonXtal_BW#'!$A:$Z,17,FALSE)+VLOOKUP($A74,A:AL,25,FALSE)-50),"-",(VLOOKUP($A74,'SegEnds_NonXtal_BW#'!$A:$Z,17,FALSE)+VLOOKUP($A74,A:AL,25,FALSE)-50))</f>
        <v>203</v>
      </c>
      <c r="Y74" s="3">
        <v>203</v>
      </c>
      <c r="Z74" s="3">
        <f>Y74+2</f>
        <v>205</v>
      </c>
      <c r="AA74" s="3">
        <f>IF(ISERROR(VLOOKUP($A74,'SegEnds_NonXtal_BW#'!$A:$Z,19,FALSE)+VLOOKUP($A74,A:AL,28,FALSE)-50),"-",(VLOOKUP($A74,'SegEnds_NonXtal_BW#'!$A:$Z,19,FALSE)+VLOOKUP($A74,A:AL,28,FALSE)-50))</f>
        <v>207</v>
      </c>
      <c r="AB74" s="3">
        <v>229</v>
      </c>
      <c r="AC74" s="3">
        <f>IF(ISERROR((VLOOKUP($A74,'SegEnds_NonXtal_BW#'!$A:$Z,20,FALSE)+VLOOKUP($A74,A:AL,28,FALSE)-50)),"-",(VLOOKUP($A74,'SegEnds_NonXtal_BW#'!$A:$Z,20,FALSE)+VLOOKUP($A74,A:AL,28,FALSE)-50))</f>
        <v>251</v>
      </c>
      <c r="AD74" s="3">
        <f>IF(ISERROR(VLOOKUP($A74,'SegEnds_NonXtal_BW#'!$A:$Z,21,FALSE)+VLOOKUP($A74,A:AL,31,FALSE)-50),"-",(VLOOKUP($A74,'SegEnds_NonXtal_BW#'!$A:$Z,21,FALSE)+VLOOKUP($A74,A:AL,31,FALSE)-50))</f>
        <v>260</v>
      </c>
      <c r="AE74" s="3">
        <v>286</v>
      </c>
      <c r="AF74" s="3">
        <f>IF(ISERROR((VLOOKUP($A74,'SegEnds_NonXtal_BW#'!$A:$Z,22,FALSE)+VLOOKUP($A74,A:AL,31,FALSE)-50)),"-",(VLOOKUP($A74,'SegEnds_NonXtal_BW#'!$A:$Z,22,FALSE)+VLOOKUP($A74,A:AL,31,FALSE)-50))</f>
        <v>297</v>
      </c>
      <c r="AG74" s="3">
        <f>IF(ISERROR(VLOOKUP($A74,'SegEnds_NonXtal_BW#'!$A:$Z,23,FALSE)+VLOOKUP($A74,A:AL,34,FALSE)-50),"-",(VLOOKUP($A74,'SegEnds_NonXtal_BW#'!$A:$Z,23,FALSE)+VLOOKUP($A74,A:AL,34,FALSE)-50))</f>
        <v>305</v>
      </c>
      <c r="AH74" s="3">
        <v>327</v>
      </c>
      <c r="AI74" s="3">
        <f>IF(ISERROR((VLOOKUP($A74,'SegEnds_NonXtal_BW#'!$A:$Z,24,FALSE)+VLOOKUP($A74,A:AL,34,FALSE)-50)),"-",(VLOOKUP($A74,'SegEnds_NonXtal_BW#'!$A:$Z,24,FALSE)+VLOOKUP($A74,A:AL,34,FALSE)-50))</f>
        <v>333</v>
      </c>
      <c r="AJ74" s="3">
        <f>IF(ISERROR(VLOOKUP($A74,'SegEnds_NonXtal_BW#'!$A:$Z,25,FALSE)+VLOOKUP($A74,A:AL,37,FALSE)-50),"-",(VLOOKUP($A74,'SegEnds_NonXtal_BW#'!$A:$Z,25,FALSE)+VLOOKUP($A74,A:AL,37,FALSE)-50))</f>
        <v>334</v>
      </c>
      <c r="AK74" s="3">
        <v>337</v>
      </c>
      <c r="AL74" s="3">
        <f>IF(ISERROR((VLOOKUP($A74,'SegEnds_NonXtal_BW#'!$A:$Z,26,FALSE)+VLOOKUP($A74,A:AL,37,FALSE)-50)),"-",(VLOOKUP($A74,'SegEnds_NonXtal_BW#'!$A:$Z,26,FALSE)+VLOOKUP($A74,A:AL,37,FALSE)-50))</f>
        <v>347</v>
      </c>
      <c r="AM74" s="28" t="str">
        <f>VLOOKUP(A74,Classification!A:B,2,FALSE)</f>
        <v>A</v>
      </c>
      <c r="AN74" s="28" t="b">
        <f>AND(IF(Y74="-",IF(AA74-W74&gt;3,TRUE,FALSE),TRUE),IF(M74="-",IF(O74-K74&gt;3,TRUE,FALSE),TRUE),C74&lt;E74,OR(E74&lt;F74,F74="-"),OR(F74&lt;H74,F74="-"),OR(H74&lt;I74,H74="-"),I74&lt;K74,OR(K74&lt;L74,L74="-"),OR(L74&lt;N74,L74="-"),OR(N74&lt;O74,N74="-"),O74&lt;Q74,OR(Q74&lt;R74,R74="-"),OR(R74&lt;T74,R74="-"),OR(T74&lt;U74,T74="-"),U74&lt;W74,OR(W74&lt;X74,X74="-"),OR(X74&lt;Z74,X74="-"),OR(Z74&lt;AA74,Z74="-"),AA74&lt;AC74,AC74&lt;AD74,AD74&lt;AF74,AF74&lt;AG74,AG74&lt;AI74,OR(AI74&lt;AJ74,AJ74="-"),OR(AJ74&lt;AL74,AJ74="-"))</f>
        <v>1</v>
      </c>
      <c r="AO74" s="3" t="str">
        <f>IF(ISERROR(MATCH(A74,'SegEnds_Xtal_Prot#'!B:B, 0)), "NoXtal", "Xtal")</f>
        <v>NoXtal</v>
      </c>
      <c r="AP74" s="3">
        <f>IF(ISERROR(F74-E74),"-",F74-E74)</f>
        <v>1</v>
      </c>
      <c r="AQ74" s="3">
        <f>IF(ISERROR(I74-H74),"-",I74-H74)</f>
        <v>1</v>
      </c>
      <c r="AR74" s="3">
        <f>IF(ISERROR(L74-K74),"-",L74-K74)</f>
        <v>2</v>
      </c>
      <c r="AS74" s="3">
        <f>IF(ISERROR(O74-N74),"-",O74-N74)</f>
        <v>1</v>
      </c>
      <c r="AT74" s="3">
        <f>IF(ISERROR(R74-Q74),"-",R74-Q74)</f>
        <v>1</v>
      </c>
      <c r="AU74" s="3">
        <f>IF(ISERROR(U74-T74),"-",U74-T74)</f>
        <v>1</v>
      </c>
      <c r="AV74" s="3">
        <f>IF(ISERROR(X74-W74),"-",X74-W74)</f>
        <v>17</v>
      </c>
      <c r="AW74" s="3">
        <f>IF(ISERROR(AA74-Z74),"-",AA74-Z74)</f>
        <v>2</v>
      </c>
      <c r="AX74" s="3">
        <f>IF(ISERROR(AD74-AC74),"-",AD74-AC74)</f>
        <v>9</v>
      </c>
      <c r="AY74" s="3">
        <f>IF(ISERROR(AG74-AF74),"-",AG74-AF74)</f>
        <v>8</v>
      </c>
      <c r="AZ74" s="3">
        <f>IF(ISERROR(AJ74-AI74),"-",AJ74-AI74)</f>
        <v>1</v>
      </c>
      <c r="BA74" s="3">
        <f>IF(ISERROR(LEN(VLOOKUP(A74,Seqs!A:E,2,FALSE))-AL74),"-",LEN(VLOOKUP(A74,Seqs!A:E,2,FALSE))-AL74)</f>
        <v>52</v>
      </c>
      <c r="BB74" s="16">
        <f>J74-D74</f>
        <v>28</v>
      </c>
      <c r="BC74" s="9">
        <f>IF(ISERROR(V74-S74),"-",V74-S74)</f>
        <v>20</v>
      </c>
      <c r="BD74" s="3">
        <f>J74-D74</f>
        <v>28</v>
      </c>
      <c r="BE74" s="3">
        <f>AE74-AB74</f>
        <v>57</v>
      </c>
    </row>
    <row r="75" spans="1:58" s="3" customFormat="1" x14ac:dyDescent="0.2">
      <c r="A75" s="3" t="s">
        <v>164</v>
      </c>
      <c r="B75" s="3" t="str">
        <f>LOWER(VLOOKUP(A75,Xtal_Templ!A:B,2,FALSE))</f>
        <v>agtr1_human</v>
      </c>
      <c r="C75" s="3">
        <f>VLOOKUP($A75,'SegEnds_NonXtal_BW#'!$A:$Z,3,FALSE)+D75-50</f>
        <v>21</v>
      </c>
      <c r="D75" s="3">
        <v>41</v>
      </c>
      <c r="E75" s="3">
        <f>IF(ISERROR(VLOOKUP($A75,'SegEnds_NonXtal_BW#'!$A:$Z,4,FALSE)+VLOOKUP($A75,A:AL,4,FALSE)-50),"-",(VLOOKUP($A75,'SegEnds_NonXtal_BW#'!$A:$Z,4,FALSE)+VLOOKUP($A75,A:AL,4,FALSE)-50))</f>
        <v>51</v>
      </c>
      <c r="F75" s="3" t="str">
        <f>IF(ISERROR(VLOOKUP($A75,'SegEnds_NonXtal_BW#'!$A:$Z,5,FALSE)+VLOOKUP($A75,A:AL,7,FALSE)-50),"-",(VLOOKUP($A75,'SegEnds_NonXtal_BW#'!$A:$Z,5,FALSE)+VLOOKUP($A75,A:AL,7,FALSE)-50))</f>
        <v>-</v>
      </c>
      <c r="G75" s="3" t="s">
        <v>23</v>
      </c>
      <c r="H75" s="3" t="str">
        <f>IF(ISERROR(VLOOKUP($A75,'SegEnds_NonXtal_BW#'!$A:$Z,6,FALSE)+VLOOKUP($A75,A:AL,7,FALSE)-50),"-",(VLOOKUP($A75,'SegEnds_NonXtal_BW#'!$A:$Z,6,FALSE)+VLOOKUP($A75,A:AL,7,FALSE)-50))</f>
        <v>-</v>
      </c>
      <c r="I75" s="3">
        <f>VLOOKUP($A75,'SegEnds_NonXtal_BW#'!$A:$Z,7,FALSE)+J75-50</f>
        <v>55</v>
      </c>
      <c r="J75" s="3">
        <v>68</v>
      </c>
      <c r="K75" s="3">
        <f>VLOOKUP($A75,'SegEnds_NonXtal_BW#'!$A:$Z,8,FALSE)+VLOOKUP($A75,A:AL,10,FALSE)-50</f>
        <v>84</v>
      </c>
      <c r="L75" s="3">
        <f>M75-1</f>
        <v>87</v>
      </c>
      <c r="M75" s="3">
        <v>88</v>
      </c>
      <c r="N75" s="3">
        <f>M75+2</f>
        <v>90</v>
      </c>
      <c r="O75" s="3">
        <f>N75+1</f>
        <v>91</v>
      </c>
      <c r="P75" s="3">
        <v>120</v>
      </c>
      <c r="Q75" s="3">
        <f>VLOOKUP($A75,'SegEnds_NonXtal_BW#'!$A:$Z,12,FALSE)+VLOOKUP($A75,A:AL,16,FALSE)-50</f>
        <v>126</v>
      </c>
      <c r="R75" s="3">
        <f>IF(ISERROR(VLOOKUP($A75,'SegEnds_NonXtal_BW#'!$A:$Z,13,FALSE)+VLOOKUP($A75,A:AL,19,FALSE)-50),"-",VLOOKUP($A75,'SegEnds_NonXtal_BW#'!$A:$Z,13,FALSE)+VLOOKUP($A75,A:AL,19,FALSE)-50)</f>
        <v>127</v>
      </c>
      <c r="S75" s="3">
        <v>127</v>
      </c>
      <c r="T75" s="103">
        <f>IF(ISERROR(VLOOKUP($A75,'SegEnds_NonXtal_BW#'!$A:$Z,14,FALSE)+VLOOKUP($A75,A:AL,19,FALSE)-50),"-",(VLOOKUP($A75,'SegEnds_NonXtal_BW#'!$A:$Z,14,FALSE)+VLOOKUP($A75,A:AL,19,FALSE)-50))</f>
        <v>134</v>
      </c>
      <c r="U75" s="9">
        <f>IF(ISERROR(VLOOKUP($A75,'SegEnds_NonXtal_BW#'!$A:$Z,15,FALSE)+VLOOKUP($A75,A:AL,22,FALSE)-50),"-",VLOOKUP($A75,'SegEnds_NonXtal_BW#'!$A:$Z,15,FALSE)+VLOOKUP($A75,A:AL,22,FALSE)-50)</f>
        <v>135</v>
      </c>
      <c r="V75" s="3">
        <v>147</v>
      </c>
      <c r="W75" s="3">
        <f>IF(ISERROR(VLOOKUP($A75,'SegEnds_NonXtal_BW#'!$A:$Z,16,FALSE)+VLOOKUP($A75,A:AL,22,FALSE)-50),"-",(VLOOKUP($A75,'SegEnds_NonXtal_BW#'!$A:$Z,16,FALSE)+VLOOKUP($A75,A:AL,22,FALSE)-50))</f>
        <v>161</v>
      </c>
      <c r="X75" s="3">
        <f>IF(ISERROR(VLOOKUP($A75,'SegEnds_NonXtal_BW#'!$A:$Z,17,FALSE)+VLOOKUP($A75,A:AL,25,FALSE)-50),"-",(VLOOKUP($A75,'SegEnds_NonXtal_BW#'!$A:$Z,17,FALSE)+VLOOKUP($A75,A:AL,25,FALSE)-50))</f>
        <v>172</v>
      </c>
      <c r="Y75" s="3">
        <v>172</v>
      </c>
      <c r="Z75" s="3">
        <f>Y75+2</f>
        <v>174</v>
      </c>
      <c r="AA75" s="3">
        <f>IF(ISERROR(VLOOKUP($A75,'SegEnds_NonXtal_BW#'!$A:$Z,19,FALSE)+VLOOKUP($A75,A:AL,28,FALSE)-50),"-",(VLOOKUP($A75,'SegEnds_NonXtal_BW#'!$A:$Z,19,FALSE)+VLOOKUP($A75,A:AL,28,FALSE)-50))</f>
        <v>332</v>
      </c>
      <c r="AB75" s="3">
        <v>348</v>
      </c>
      <c r="AC75" s="3">
        <f>IF(ISERROR((VLOOKUP($A75,'SegEnds_NonXtal_BW#'!$A:$Z,20,FALSE)+VLOOKUP($A75,A:AL,28,FALSE)-50)),"-",(VLOOKUP($A75,'SegEnds_NonXtal_BW#'!$A:$Z,20,FALSE)+VLOOKUP($A75,A:AL,28,FALSE)-50))</f>
        <v>366</v>
      </c>
      <c r="AD75" s="3">
        <f>IF(ISERROR(VLOOKUP($A75,'SegEnds_NonXtal_BW#'!$A:$Z,21,FALSE)+VLOOKUP($A75,A:AL,31,FALSE)-50),"-",(VLOOKUP($A75,'SegEnds_NonXtal_BW#'!$A:$Z,21,FALSE)+VLOOKUP($A75,A:AL,31,FALSE)-50))</f>
        <v>370</v>
      </c>
      <c r="AE75" s="3">
        <v>392</v>
      </c>
      <c r="AF75" s="3">
        <f>IF(ISERROR((VLOOKUP($A75,'SegEnds_NonXtal_BW#'!$A:$Z,22,FALSE)+VLOOKUP($A75,A:AL,31,FALSE)-50)),"-",(VLOOKUP($A75,'SegEnds_NonXtal_BW#'!$A:$Z,22,FALSE)+VLOOKUP($A75,A:AL,31,FALSE)-50))</f>
        <v>403</v>
      </c>
      <c r="AG75" s="3">
        <f>IF(ISERROR(VLOOKUP($A75,'SegEnds_NonXtal_BW#'!$A:$Z,23,FALSE)+VLOOKUP($A75,A:AL,34,FALSE)-50),"-",(VLOOKUP($A75,'SegEnds_NonXtal_BW#'!$A:$Z,23,FALSE)+VLOOKUP($A75,A:AL,34,FALSE)-50))</f>
        <v>410</v>
      </c>
      <c r="AH75" s="3">
        <v>432</v>
      </c>
      <c r="AI75" s="3">
        <f>IF(ISERROR((VLOOKUP($A75,'SegEnds_NonXtal_BW#'!$A:$Z,24,FALSE)+VLOOKUP($A75,A:AL,34,FALSE)-50)),"-",(VLOOKUP($A75,'SegEnds_NonXtal_BW#'!$A:$Z,24,FALSE)+VLOOKUP($A75,A:AL,34,FALSE)-50))</f>
        <v>438</v>
      </c>
      <c r="AJ75" s="3">
        <f>IF(ISERROR(VLOOKUP($A75,'SegEnds_NonXtal_BW#'!$A:$Z,25,FALSE)+VLOOKUP($A75,A:AL,37,FALSE)-50),"-",(VLOOKUP($A75,'SegEnds_NonXtal_BW#'!$A:$Z,25,FALSE)+VLOOKUP($A75,A:AL,37,FALSE)-50))</f>
        <v>439</v>
      </c>
      <c r="AK75" s="3">
        <v>442</v>
      </c>
      <c r="AL75" s="3">
        <f>IF(ISERROR((VLOOKUP($A75,'SegEnds_NonXtal_BW#'!$A:$Z,26,FALSE)+VLOOKUP($A75,A:AL,37,FALSE)-50)),"-",(VLOOKUP($A75,'SegEnds_NonXtal_BW#'!$A:$Z,26,FALSE)+VLOOKUP($A75,A:AL,37,FALSE)-50))</f>
        <v>453</v>
      </c>
      <c r="AM75" s="28" t="str">
        <f>VLOOKUP(A75,Classification!A:B,2,FALSE)</f>
        <v>A</v>
      </c>
      <c r="AN75" s="28" t="b">
        <f>AND(IF(Y75="-",IF(AA75-W75&gt;3,TRUE,FALSE),TRUE),IF(M75="-",IF(O75-K75&gt;3,TRUE,FALSE),TRUE),C75&lt;E75,OR(E75&lt;F75,F75="-"),OR(F75&lt;H75,F75="-"),OR(H75&lt;I75,H75="-"),I75&lt;K75,OR(K75&lt;L75,L75="-"),OR(L75&lt;N75,L75="-"),OR(N75&lt;O75,N75="-"),O75&lt;Q75,OR(Q75&lt;R75,R75="-"),OR(R75&lt;T75,R75="-"),OR(T75&lt;U75,T75="-"),U75&lt;W75,OR(W75&lt;X75,X75="-"),OR(X75&lt;Z75,X75="-"),OR(Z75&lt;AA75,Z75="-"),AA75&lt;AC75,AC75&lt;AD75,AD75&lt;AF75,AF75&lt;AG75,AG75&lt;AI75,OR(AI75&lt;AJ75,AJ75="-"),OR(AJ75&lt;AL75,AJ75="-"))</f>
        <v>1</v>
      </c>
      <c r="AO75" s="3" t="str">
        <f>IF(ISERROR(MATCH(A75,'SegEnds_Xtal_Prot#'!B:B, 0)), "NoXtal", "Xtal")</f>
        <v>NoXtal</v>
      </c>
      <c r="AP75" s="3" t="str">
        <f>IF(ISERROR(F75-E75),"-",F75-E75)</f>
        <v>-</v>
      </c>
      <c r="AQ75" s="3" t="str">
        <f>IF(ISERROR(I75-H75),"-",I75-H75)</f>
        <v>-</v>
      </c>
      <c r="AR75" s="3">
        <f>IF(ISERROR(L75-K75),"-",L75-K75)</f>
        <v>3</v>
      </c>
      <c r="AS75" s="3">
        <f>IF(ISERROR(O75-N75),"-",O75-N75)</f>
        <v>1</v>
      </c>
      <c r="AT75" s="3">
        <f>IF(ISERROR(R75-Q75),"-",R75-Q75)</f>
        <v>1</v>
      </c>
      <c r="AU75" s="3">
        <f>IF(ISERROR(U75-T75),"-",U75-T75)</f>
        <v>1</v>
      </c>
      <c r="AV75" s="3">
        <f>IF(ISERROR(X75-W75),"-",X75-W75)</f>
        <v>11</v>
      </c>
      <c r="AW75" s="3">
        <f>IF(ISERROR(AA75-Z75),"-",AA75-Z75)</f>
        <v>158</v>
      </c>
      <c r="AX75" s="3">
        <f>IF(ISERROR(AD75-AC75),"-",AD75-AC75)</f>
        <v>4</v>
      </c>
      <c r="AY75" s="3">
        <f>IF(ISERROR(AG75-AF75),"-",AG75-AF75)</f>
        <v>7</v>
      </c>
      <c r="AZ75" s="3">
        <f>IF(ISERROR(AJ75-AI75),"-",AJ75-AI75)</f>
        <v>1</v>
      </c>
      <c r="BA75" s="3">
        <f>IF(ISERROR(LEN(VLOOKUP(A75,Seqs!A:E,2,FALSE))-AL75),"-",LEN(VLOOKUP(A75,Seqs!A:E,2,FALSE))-AL75)</f>
        <v>29</v>
      </c>
      <c r="BB75" s="16">
        <f>J75-D75</f>
        <v>27</v>
      </c>
      <c r="BC75" s="9">
        <f>IF(ISERROR(V75-S75),"-",V75-S75)</f>
        <v>20</v>
      </c>
      <c r="BD75" s="3">
        <f>J75-D75</f>
        <v>27</v>
      </c>
      <c r="BE75" s="3">
        <f>AE75-AB75</f>
        <v>44</v>
      </c>
    </row>
    <row r="76" spans="1:58" s="3" customFormat="1" x14ac:dyDescent="0.2">
      <c r="A76" s="3" t="s">
        <v>165</v>
      </c>
      <c r="B76" s="3" t="str">
        <f>LOWER(VLOOKUP(A76,Xtal_Templ!A:B,2,FALSE))</f>
        <v>agtr1_human</v>
      </c>
      <c r="C76" s="3">
        <f>VLOOKUP($A76,'SegEnds_NonXtal_BW#'!$A:$Z,3,FALSE)+D76-50</f>
        <v>35</v>
      </c>
      <c r="D76" s="3">
        <v>55</v>
      </c>
      <c r="E76" s="3">
        <f>IF(ISERROR(VLOOKUP($A76,'SegEnds_NonXtal_BW#'!$A:$Z,4,FALSE)+VLOOKUP($A76,A:AL,4,FALSE)-50),"-",(VLOOKUP($A76,'SegEnds_NonXtal_BW#'!$A:$Z,4,FALSE)+VLOOKUP($A76,A:AL,4,FALSE)-50))</f>
        <v>65</v>
      </c>
      <c r="F76" s="3" t="str">
        <f>IF(ISERROR(VLOOKUP($A76,'SegEnds_NonXtal_BW#'!$A:$Z,5,FALSE)+VLOOKUP($A76,A:AL,7,FALSE)-50),"-",(VLOOKUP($A76,'SegEnds_NonXtal_BW#'!$A:$Z,5,FALSE)+VLOOKUP($A76,A:AL,7,FALSE)-50))</f>
        <v>-</v>
      </c>
      <c r="G76" s="3" t="s">
        <v>23</v>
      </c>
      <c r="H76" s="3" t="str">
        <f>IF(ISERROR(VLOOKUP($A76,'SegEnds_NonXtal_BW#'!$A:$Z,6,FALSE)+VLOOKUP($A76,A:AL,7,FALSE)-50),"-",(VLOOKUP($A76,'SegEnds_NonXtal_BW#'!$A:$Z,6,FALSE)+VLOOKUP($A76,A:AL,7,FALSE)-50))</f>
        <v>-</v>
      </c>
      <c r="I76" s="3">
        <f>VLOOKUP($A76,'SegEnds_NonXtal_BW#'!$A:$Z,7,FALSE)+J76-50</f>
        <v>69</v>
      </c>
      <c r="J76" s="3">
        <v>82</v>
      </c>
      <c r="K76" s="3">
        <f>VLOOKUP($A76,'SegEnds_NonXtal_BW#'!$A:$Z,8,FALSE)+VLOOKUP($A76,A:AL,10,FALSE)-50</f>
        <v>98</v>
      </c>
      <c r="L76" s="3">
        <f>M76-1</f>
        <v>101</v>
      </c>
      <c r="M76" s="3">
        <v>102</v>
      </c>
      <c r="N76" s="3">
        <f>M76+2</f>
        <v>104</v>
      </c>
      <c r="O76" s="3">
        <f>N76+1</f>
        <v>105</v>
      </c>
      <c r="P76" s="3">
        <v>134</v>
      </c>
      <c r="Q76" s="3">
        <f>VLOOKUP($A76,'SegEnds_NonXtal_BW#'!$A:$Z,12,FALSE)+VLOOKUP($A76,A:AL,16,FALSE)-50</f>
        <v>140</v>
      </c>
      <c r="R76" s="3">
        <f>IF(ISERROR(VLOOKUP($A76,'SegEnds_NonXtal_BW#'!$A:$Z,13,FALSE)+VLOOKUP($A76,A:AL,19,FALSE)-50),"-",VLOOKUP($A76,'SegEnds_NonXtal_BW#'!$A:$Z,13,FALSE)+VLOOKUP($A76,A:AL,19,FALSE)-50)</f>
        <v>141</v>
      </c>
      <c r="S76" s="3">
        <v>141</v>
      </c>
      <c r="T76" s="103">
        <f>IF(ISERROR(VLOOKUP($A76,'SegEnds_NonXtal_BW#'!$A:$Z,14,FALSE)+VLOOKUP($A76,A:AL,19,FALSE)-50),"-",(VLOOKUP($A76,'SegEnds_NonXtal_BW#'!$A:$Z,14,FALSE)+VLOOKUP($A76,A:AL,19,FALSE)-50))</f>
        <v>148</v>
      </c>
      <c r="U76" s="9">
        <f>IF(ISERROR(VLOOKUP($A76,'SegEnds_NonXtal_BW#'!$A:$Z,15,FALSE)+VLOOKUP($A76,A:AL,22,FALSE)-50),"-",VLOOKUP($A76,'SegEnds_NonXtal_BW#'!$A:$Z,15,FALSE)+VLOOKUP($A76,A:AL,22,FALSE)-50)</f>
        <v>149</v>
      </c>
      <c r="V76" s="3">
        <v>161</v>
      </c>
      <c r="W76" s="3">
        <f>IF(ISERROR(VLOOKUP($A76,'SegEnds_NonXtal_BW#'!$A:$Z,16,FALSE)+VLOOKUP($A76,A:AL,22,FALSE)-50),"-",(VLOOKUP($A76,'SegEnds_NonXtal_BW#'!$A:$Z,16,FALSE)+VLOOKUP($A76,A:AL,22,FALSE)-50))</f>
        <v>175</v>
      </c>
      <c r="X76" s="3">
        <f>IF(ISERROR(VLOOKUP($A76,'SegEnds_NonXtal_BW#'!$A:$Z,17,FALSE)+VLOOKUP($A76,A:AL,25,FALSE)-50),"-",(VLOOKUP($A76,'SegEnds_NonXtal_BW#'!$A:$Z,17,FALSE)+VLOOKUP($A76,A:AL,25,FALSE)-50))</f>
        <v>188</v>
      </c>
      <c r="Y76" s="3">
        <v>188</v>
      </c>
      <c r="Z76" s="3">
        <f>Y76+2</f>
        <v>190</v>
      </c>
      <c r="AA76" s="3">
        <f>IF(ISERROR(VLOOKUP($A76,'SegEnds_NonXtal_BW#'!$A:$Z,19,FALSE)+VLOOKUP($A76,A:AL,28,FALSE)-50),"-",(VLOOKUP($A76,'SegEnds_NonXtal_BW#'!$A:$Z,19,FALSE)+VLOOKUP($A76,A:AL,28,FALSE)-50))</f>
        <v>198</v>
      </c>
      <c r="AB76" s="3">
        <v>214</v>
      </c>
      <c r="AC76" s="3">
        <f>IF(ISERROR((VLOOKUP($A76,'SegEnds_NonXtal_BW#'!$A:$Z,20,FALSE)+VLOOKUP($A76,A:AL,28,FALSE)-50)),"-",(VLOOKUP($A76,'SegEnds_NonXtal_BW#'!$A:$Z,20,FALSE)+VLOOKUP($A76,A:AL,28,FALSE)-50))</f>
        <v>232</v>
      </c>
      <c r="AD76" s="3">
        <f>IF(ISERROR(VLOOKUP($A76,'SegEnds_NonXtal_BW#'!$A:$Z,21,FALSE)+VLOOKUP($A76,A:AL,31,FALSE)-50),"-",(VLOOKUP($A76,'SegEnds_NonXtal_BW#'!$A:$Z,21,FALSE)+VLOOKUP($A76,A:AL,31,FALSE)-50))</f>
        <v>237</v>
      </c>
      <c r="AE76" s="3">
        <v>257</v>
      </c>
      <c r="AF76" s="3">
        <f>IF(ISERROR((VLOOKUP($A76,'SegEnds_NonXtal_BW#'!$A:$Z,22,FALSE)+VLOOKUP($A76,A:AL,31,FALSE)-50)),"-",(VLOOKUP($A76,'SegEnds_NonXtal_BW#'!$A:$Z,22,FALSE)+VLOOKUP($A76,A:AL,31,FALSE)-50))</f>
        <v>268</v>
      </c>
      <c r="AG76" s="3">
        <f>IF(ISERROR(VLOOKUP($A76,'SegEnds_NonXtal_BW#'!$A:$Z,23,FALSE)+VLOOKUP($A76,A:AL,34,FALSE)-50),"-",(VLOOKUP($A76,'SegEnds_NonXtal_BW#'!$A:$Z,23,FALSE)+VLOOKUP($A76,A:AL,34,FALSE)-50))</f>
        <v>275</v>
      </c>
      <c r="AH76" s="3">
        <v>297</v>
      </c>
      <c r="AI76" s="3">
        <f>IF(ISERROR((VLOOKUP($A76,'SegEnds_NonXtal_BW#'!$A:$Z,24,FALSE)+VLOOKUP($A76,A:AL,34,FALSE)-50)),"-",(VLOOKUP($A76,'SegEnds_NonXtal_BW#'!$A:$Z,24,FALSE)+VLOOKUP($A76,A:AL,34,FALSE)-50))</f>
        <v>303</v>
      </c>
      <c r="AJ76" s="3">
        <f>IF(ISERROR(VLOOKUP($A76,'SegEnds_NonXtal_BW#'!$A:$Z,25,FALSE)+VLOOKUP($A76,A:AL,37,FALSE)-50),"-",(VLOOKUP($A76,'SegEnds_NonXtal_BW#'!$A:$Z,25,FALSE)+VLOOKUP($A76,A:AL,37,FALSE)-50))</f>
        <v>304</v>
      </c>
      <c r="AK76" s="3">
        <v>307</v>
      </c>
      <c r="AL76" s="3">
        <f>IF(ISERROR((VLOOKUP($A76,'SegEnds_NonXtal_BW#'!$A:$Z,26,FALSE)+VLOOKUP($A76,A:AL,37,FALSE)-50)),"-",(VLOOKUP($A76,'SegEnds_NonXtal_BW#'!$A:$Z,26,FALSE)+VLOOKUP($A76,A:AL,37,FALSE)-50))</f>
        <v>318</v>
      </c>
      <c r="AM76" s="28" t="str">
        <f>VLOOKUP(A76,Classification!A:B,2,FALSE)</f>
        <v>A</v>
      </c>
      <c r="AN76" s="28" t="b">
        <f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 t="str">
        <f>IF(ISERROR(F76-E76),"-",F76-E76)</f>
        <v>-</v>
      </c>
      <c r="AQ76" s="3" t="str">
        <f>IF(ISERROR(I76-H76),"-",I76-H76)</f>
        <v>-</v>
      </c>
      <c r="AR76" s="3">
        <f>IF(ISERROR(L76-K76),"-",L76-K76)</f>
        <v>3</v>
      </c>
      <c r="AS76" s="3">
        <f>IF(ISERROR(O76-N76),"-",O76-N76)</f>
        <v>1</v>
      </c>
      <c r="AT76" s="3">
        <f>IF(ISERROR(R76-Q76),"-",R76-Q76)</f>
        <v>1</v>
      </c>
      <c r="AU76" s="3">
        <f>IF(ISERROR(U76-T76),"-",U76-T76)</f>
        <v>1</v>
      </c>
      <c r="AV76" s="3">
        <f>IF(ISERROR(X76-W76),"-",X76-W76)</f>
        <v>13</v>
      </c>
      <c r="AW76" s="3">
        <f>IF(ISERROR(AA76-Z76),"-",AA76-Z76)</f>
        <v>8</v>
      </c>
      <c r="AX76" s="3">
        <f>IF(ISERROR(AD76-AC76),"-",AD76-AC76)</f>
        <v>5</v>
      </c>
      <c r="AY76" s="3">
        <f>IF(ISERROR(AG76-AF76),"-",AG76-AF76)</f>
        <v>7</v>
      </c>
      <c r="AZ76" s="3">
        <f>IF(ISERROR(AJ76-AI76),"-",AJ76-AI76)</f>
        <v>1</v>
      </c>
      <c r="BA76" s="3">
        <f>IF(ISERROR(LEN(VLOOKUP(A76,Seqs!A:E,2,FALSE))-AL76),"-",LEN(VLOOKUP(A76,Seqs!A:E,2,FALSE))-AL76)</f>
        <v>32</v>
      </c>
      <c r="BB76" s="16">
        <f>J76-D76</f>
        <v>27</v>
      </c>
      <c r="BC76" s="9">
        <f>IF(ISERROR(V76-S76),"-",V76-S76)</f>
        <v>20</v>
      </c>
      <c r="BD76" s="3">
        <f>J76-D76</f>
        <v>27</v>
      </c>
      <c r="BE76" s="3">
        <f>AE76-AB76</f>
        <v>43</v>
      </c>
    </row>
    <row r="77" spans="1:58" s="3" customFormat="1" x14ac:dyDescent="0.2">
      <c r="A77" s="3" t="s">
        <v>166</v>
      </c>
      <c r="B77" s="3" t="str">
        <f>LOWER(VLOOKUP(A77,Xtal_Templ!A:B,2,FALSE))</f>
        <v>agtr1_human</v>
      </c>
      <c r="C77" s="3">
        <f>VLOOKUP($A77,'SegEnds_NonXtal_BW#'!$A:$Z,3,FALSE)+D77-50</f>
        <v>33</v>
      </c>
      <c r="D77" s="3">
        <v>53</v>
      </c>
      <c r="E77" s="3">
        <f>IF(ISERROR(VLOOKUP($A77,'SegEnds_NonXtal_BW#'!$A:$Z,4,FALSE)+VLOOKUP($A77,A:AL,4,FALSE)-50),"-",(VLOOKUP($A77,'SegEnds_NonXtal_BW#'!$A:$Z,4,FALSE)+VLOOKUP($A77,A:AL,4,FALSE)-50))</f>
        <v>63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67</v>
      </c>
      <c r="J77" s="3">
        <v>80</v>
      </c>
      <c r="K77" s="3">
        <f>VLOOKUP($A77,'SegEnds_NonXtal_BW#'!$A:$Z,8,FALSE)+VLOOKUP($A77,A:AL,10,FALSE)-50</f>
        <v>96</v>
      </c>
      <c r="L77" s="3">
        <f>M77-1</f>
        <v>99</v>
      </c>
      <c r="M77" s="3">
        <v>100</v>
      </c>
      <c r="N77" s="3">
        <f>M77+2</f>
        <v>102</v>
      </c>
      <c r="O77" s="3">
        <f>N77+1</f>
        <v>103</v>
      </c>
      <c r="P77" s="3">
        <v>132</v>
      </c>
      <c r="Q77" s="3">
        <f>VLOOKUP($A77,'SegEnds_NonXtal_BW#'!$A:$Z,12,FALSE)+VLOOKUP($A77,A:AL,16,FALSE)-50</f>
        <v>138</v>
      </c>
      <c r="R77" s="3">
        <f>IF(ISERROR(VLOOKUP($A77,'SegEnds_NonXtal_BW#'!$A:$Z,13,FALSE)+VLOOKUP($A77,A:AL,19,FALSE)-50),"-",VLOOKUP($A77,'SegEnds_NonXtal_BW#'!$A:$Z,13,FALSE)+VLOOKUP($A77,A:AL,19,FALSE)-50)</f>
        <v>139</v>
      </c>
      <c r="S77" s="3">
        <v>139</v>
      </c>
      <c r="T77" s="103">
        <f>IF(ISERROR(VLOOKUP($A77,'SegEnds_NonXtal_BW#'!$A:$Z,14,FALSE)+VLOOKUP($A77,A:AL,19,FALSE)-50),"-",(VLOOKUP($A77,'SegEnds_NonXtal_BW#'!$A:$Z,14,FALSE)+VLOOKUP($A77,A:AL,19,FALSE)-50))</f>
        <v>146</v>
      </c>
      <c r="U77" s="9">
        <f>IF(ISERROR(VLOOKUP($A77,'SegEnds_NonXtal_BW#'!$A:$Z,15,FALSE)+VLOOKUP($A77,A:AL,22,FALSE)-50),"-",VLOOKUP($A77,'SegEnds_NonXtal_BW#'!$A:$Z,15,FALSE)+VLOOKUP($A77,A:AL,22,FALSE)-50)</f>
        <v>147</v>
      </c>
      <c r="V77" s="3">
        <v>159</v>
      </c>
      <c r="W77" s="3">
        <f>IF(ISERROR(VLOOKUP($A77,'SegEnds_NonXtal_BW#'!$A:$Z,16,FALSE)+VLOOKUP($A77,A:AL,22,FALSE)-50),"-",(VLOOKUP($A77,'SegEnds_NonXtal_BW#'!$A:$Z,16,FALSE)+VLOOKUP($A77,A:AL,22,FALSE)-50))</f>
        <v>173</v>
      </c>
      <c r="X77" s="3">
        <f>IF(ISERROR(VLOOKUP($A77,'SegEnds_NonXtal_BW#'!$A:$Z,17,FALSE)+VLOOKUP($A77,A:AL,25,FALSE)-50),"-",(VLOOKUP($A77,'SegEnds_NonXtal_BW#'!$A:$Z,17,FALSE)+VLOOKUP($A77,A:AL,25,FALSE)-50))</f>
        <v>186</v>
      </c>
      <c r="Y77" s="3">
        <v>186</v>
      </c>
      <c r="Z77" s="3">
        <f>Y77+2</f>
        <v>188</v>
      </c>
      <c r="AA77" s="3">
        <f>IF(ISERROR(VLOOKUP($A77,'SegEnds_NonXtal_BW#'!$A:$Z,19,FALSE)+VLOOKUP($A77,A:AL,28,FALSE)-50),"-",(VLOOKUP($A77,'SegEnds_NonXtal_BW#'!$A:$Z,19,FALSE)+VLOOKUP($A77,A:AL,28,FALSE)-50))</f>
        <v>196</v>
      </c>
      <c r="AB77" s="3">
        <v>212</v>
      </c>
      <c r="AC77" s="3">
        <f>IF(ISERROR((VLOOKUP($A77,'SegEnds_NonXtal_BW#'!$A:$Z,20,FALSE)+VLOOKUP($A77,A:AL,28,FALSE)-50)),"-",(VLOOKUP($A77,'SegEnds_NonXtal_BW#'!$A:$Z,20,FALSE)+VLOOKUP($A77,A:AL,28,FALSE)-50))</f>
        <v>226</v>
      </c>
      <c r="AD77" s="3">
        <f>IF(ISERROR(VLOOKUP($A77,'SegEnds_NonXtal_BW#'!$A:$Z,21,FALSE)+VLOOKUP($A77,A:AL,31,FALSE)-50),"-",(VLOOKUP($A77,'SegEnds_NonXtal_BW#'!$A:$Z,21,FALSE)+VLOOKUP($A77,A:AL,31,FALSE)-50))</f>
        <v>232</v>
      </c>
      <c r="AE77" s="3">
        <v>248</v>
      </c>
      <c r="AF77" s="3">
        <f>IF(ISERROR((VLOOKUP($A77,'SegEnds_NonXtal_BW#'!$A:$Z,22,FALSE)+VLOOKUP($A77,A:AL,31,FALSE)-50)),"-",(VLOOKUP($A77,'SegEnds_NonXtal_BW#'!$A:$Z,22,FALSE)+VLOOKUP($A77,A:AL,31,FALSE)-50))</f>
        <v>259</v>
      </c>
      <c r="AG77" s="3">
        <f>IF(ISERROR(VLOOKUP($A77,'SegEnds_NonXtal_BW#'!$A:$Z,23,FALSE)+VLOOKUP($A77,A:AL,34,FALSE)-50),"-",(VLOOKUP($A77,'SegEnds_NonXtal_BW#'!$A:$Z,23,FALSE)+VLOOKUP($A77,A:AL,34,FALSE)-50))</f>
        <v>266</v>
      </c>
      <c r="AH77" s="3">
        <v>288</v>
      </c>
      <c r="AI77" s="3">
        <f>IF(ISERROR((VLOOKUP($A77,'SegEnds_NonXtal_BW#'!$A:$Z,24,FALSE)+VLOOKUP($A77,A:AL,34,FALSE)-50)),"-",(VLOOKUP($A77,'SegEnds_NonXtal_BW#'!$A:$Z,24,FALSE)+VLOOKUP($A77,A:AL,34,FALSE)-50))</f>
        <v>294</v>
      </c>
      <c r="AJ77" s="3">
        <f>IF(ISERROR(VLOOKUP($A77,'SegEnds_NonXtal_BW#'!$A:$Z,25,FALSE)+VLOOKUP($A77,A:AL,37,FALSE)-50),"-",(VLOOKUP($A77,'SegEnds_NonXtal_BW#'!$A:$Z,25,FALSE)+VLOOKUP($A77,A:AL,37,FALSE)-50))</f>
        <v>295</v>
      </c>
      <c r="AK77" s="3">
        <v>298</v>
      </c>
      <c r="AL77" s="3">
        <f>IF(ISERROR((VLOOKUP($A77,'SegEnds_NonXtal_BW#'!$A:$Z,26,FALSE)+VLOOKUP($A77,A:AL,37,FALSE)-50)),"-",(VLOOKUP($A77,'SegEnds_NonXtal_BW#'!$A:$Z,26,FALSE)+VLOOKUP($A77,A:AL,37,FALSE)-50))</f>
        <v>309</v>
      </c>
      <c r="AM77" s="28" t="str">
        <f>VLOOKUP(A77,Classification!A:B,2,FALSE)</f>
        <v>A</v>
      </c>
      <c r="AN77" s="28" t="b">
        <f>AND(IF(Y77="-",IF(AA77-W77&gt;3,TRUE,FALSE),TRUE),IF(M77="-",IF(O77-K77&gt;3,TRUE,FALSE),TRUE),C77&lt;E77,OR(E77&lt;F77,F77="-"),OR(F77&lt;H77,F77="-"),OR(H77&lt;I77,H77="-"),I77&lt;K77,OR(K77&lt;L77,L77="-"),OR(L77&lt;N77,L77="-"),OR(N77&lt;O77,N77="-"),O77&lt;Q77,OR(Q77&lt;R77,R77="-"),OR(R77&lt;T77,R77="-"),OR(T77&lt;U77,T77="-"),U77&lt;W77,OR(W77&lt;X77,X77="-"),OR(X77&lt;Z77,X77="-"),OR(Z77&lt;AA77,Z77="-"),AA77&lt;AC77,AC77&lt;AD77,AD77&lt;AF77,AF77&lt;AG77,AG77&lt;AI77,OR(AI77&lt;AJ77,AJ77="-"),OR(AJ77&lt;AL77,AJ77="-"))</f>
        <v>1</v>
      </c>
      <c r="AO77" s="3" t="str">
        <f>IF(ISERROR(MATCH(A77,'SegEnds_Xtal_Prot#'!B:B, 0)), "NoXtal", "Xtal")</f>
        <v>NoXtal</v>
      </c>
      <c r="AP77" s="3" t="str">
        <f>IF(ISERROR(F77-E77),"-",F77-E77)</f>
        <v>-</v>
      </c>
      <c r="AQ77" s="3" t="str">
        <f>IF(ISERROR(I77-H77),"-",I77-H77)</f>
        <v>-</v>
      </c>
      <c r="AR77" s="3">
        <f>IF(ISERROR(L77-K77),"-",L77-K77)</f>
        <v>3</v>
      </c>
      <c r="AS77" s="3">
        <f>IF(ISERROR(O77-N77),"-",O77-N77)</f>
        <v>1</v>
      </c>
      <c r="AT77" s="3">
        <f>IF(ISERROR(R77-Q77),"-",R77-Q77)</f>
        <v>1</v>
      </c>
      <c r="AU77" s="3">
        <f>IF(ISERROR(U77-T77),"-",U77-T77)</f>
        <v>1</v>
      </c>
      <c r="AV77" s="3">
        <f>IF(ISERROR(X77-W77),"-",X77-W77)</f>
        <v>13</v>
      </c>
      <c r="AW77" s="3">
        <f>IF(ISERROR(AA77-Z77),"-",AA77-Z77)</f>
        <v>8</v>
      </c>
      <c r="AX77" s="3">
        <f>IF(ISERROR(AD77-AC77),"-",AD77-AC77)</f>
        <v>6</v>
      </c>
      <c r="AY77" s="3">
        <f>IF(ISERROR(AG77-AF77),"-",AG77-AF77)</f>
        <v>7</v>
      </c>
      <c r="AZ77" s="3">
        <f>IF(ISERROR(AJ77-AI77),"-",AJ77-AI77)</f>
        <v>1</v>
      </c>
      <c r="BA77" s="3">
        <f>IF(ISERROR(LEN(VLOOKUP(A77,Seqs!A:E,2,FALSE))-AL77),"-",LEN(VLOOKUP(A77,Seqs!A:E,2,FALSE))-AL77)</f>
        <v>28</v>
      </c>
      <c r="BB77" s="16">
        <f>J77-D77</f>
        <v>27</v>
      </c>
      <c r="BC77" s="9">
        <f>IF(ISERROR(V77-S77),"-",V77-S77)</f>
        <v>20</v>
      </c>
      <c r="BD77" s="3">
        <f>J77-D77</f>
        <v>27</v>
      </c>
      <c r="BE77" s="3">
        <f>AE77-AB77</f>
        <v>36</v>
      </c>
      <c r="BF77" s="3">
        <f>MIN(ABS(BE77-'ICL3'!F2:F232))</f>
        <v>36</v>
      </c>
    </row>
    <row r="78" spans="1:58" s="3" customFormat="1" x14ac:dyDescent="0.2">
      <c r="A78" s="3" t="s">
        <v>167</v>
      </c>
      <c r="B78" s="3" t="str">
        <f>LOWER(VLOOKUP(A78,Xtal_Templ!A:B,2,FALSE))</f>
        <v>ox2r_human</v>
      </c>
      <c r="C78" s="3">
        <f>VLOOKUP($A78,'SegEnds_NonXtal_BW#'!$A:$Z,3,FALSE)+D78-50</f>
        <v>40</v>
      </c>
      <c r="D78" s="3">
        <v>59</v>
      </c>
      <c r="E78" s="3">
        <f>IF(ISERROR(VLOOKUP($A78,'SegEnds_NonXtal_BW#'!$A:$Z,4,FALSE)+VLOOKUP($A78,A:AL,4,FALSE)-50),"-",(VLOOKUP($A78,'SegEnds_NonXtal_BW#'!$A:$Z,4,FALSE)+VLOOKUP($A78,A:AL,4,FALSE)-50))</f>
        <v>69</v>
      </c>
      <c r="F78" s="3">
        <f>G78-2</f>
        <v>70</v>
      </c>
      <c r="G78" s="3">
        <v>72</v>
      </c>
      <c r="H78" s="3">
        <f>G78+1</f>
        <v>73</v>
      </c>
      <c r="I78" s="3">
        <f>H78+1</f>
        <v>74</v>
      </c>
      <c r="J78" s="3">
        <v>87</v>
      </c>
      <c r="K78" s="3">
        <f>VLOOKUP($A78,'SegEnds_NonXtal_BW#'!$A:$Z,8,FALSE)+VLOOKUP($A78,A:AL,10,FALSE)-50</f>
        <v>104</v>
      </c>
      <c r="L78" s="3">
        <f>M78-1</f>
        <v>106</v>
      </c>
      <c r="M78" s="3">
        <v>107</v>
      </c>
      <c r="N78" s="3">
        <f>M78+2</f>
        <v>109</v>
      </c>
      <c r="O78" s="3">
        <f>N78+1</f>
        <v>110</v>
      </c>
      <c r="P78" s="3">
        <v>139</v>
      </c>
      <c r="Q78" s="3">
        <f>VLOOKUP($A78,'SegEnds_NonXtal_BW#'!$A:$Z,12,FALSE)+VLOOKUP($A78,A:AL,16,FALSE)-50</f>
        <v>145</v>
      </c>
      <c r="R78" s="3">
        <f>IF(ISERROR(VLOOKUP($A78,'SegEnds_NonXtal_BW#'!$A:$Z,13,FALSE)+VLOOKUP($A78,A:AL,19,FALSE)-50),"-",VLOOKUP($A78,'SegEnds_NonXtal_BW#'!$A:$Z,13,FALSE)+VLOOKUP($A78,A:AL,19,FALSE)-50)</f>
        <v>146</v>
      </c>
      <c r="S78" s="3">
        <v>146</v>
      </c>
      <c r="T78" s="103">
        <f>IF(ISERROR(VLOOKUP($A78,'SegEnds_NonXtal_BW#'!$A:$Z,14,FALSE)+VLOOKUP($A78,A:AL,19,FALSE)-50),"-",(VLOOKUP($A78,'SegEnds_NonXtal_BW#'!$A:$Z,14,FALSE)+VLOOKUP($A78,A:AL,19,FALSE)-50))</f>
        <v>153</v>
      </c>
      <c r="U78" s="9">
        <f>IF(ISERROR(VLOOKUP($A78,'SegEnds_NonXtal_BW#'!$A:$Z,15,FALSE)+VLOOKUP($A78,A:AL,22,FALSE)-50),"-",VLOOKUP($A78,'SegEnds_NonXtal_BW#'!$A:$Z,15,FALSE)+VLOOKUP($A78,A:AL,22,FALSE)-50)</f>
        <v>154</v>
      </c>
      <c r="V78" s="3">
        <v>166</v>
      </c>
      <c r="W78" s="3">
        <f>IF(ISERROR(VLOOKUP($A78,'SegEnds_NonXtal_BW#'!$A:$Z,16,FALSE)+VLOOKUP($A78,A:AL,22,FALSE)-50),"-",(VLOOKUP($A78,'SegEnds_NonXtal_BW#'!$A:$Z,16,FALSE)+VLOOKUP($A78,A:AL,22,FALSE)-50))</f>
        <v>180</v>
      </c>
      <c r="X78" s="3">
        <f>IF(ISERROR(VLOOKUP($A78,'SegEnds_NonXtal_BW#'!$A:$Z,17,FALSE)+VLOOKUP($A78,A:AL,25,FALSE)-50),"-",(VLOOKUP($A78,'SegEnds_NonXtal_BW#'!$A:$Z,17,FALSE)+VLOOKUP($A78,A:AL,25,FALSE)-50))</f>
        <v>196</v>
      </c>
      <c r="Y78" s="3">
        <v>196</v>
      </c>
      <c r="Z78" s="3">
        <f>Y78+2</f>
        <v>198</v>
      </c>
      <c r="AA78" s="3">
        <f>IF(ISERROR(VLOOKUP($A78,'SegEnds_NonXtal_BW#'!$A:$Z,19,FALSE)+VLOOKUP($A78,A:AL,28,FALSE)-50),"-",(VLOOKUP($A78,'SegEnds_NonXtal_BW#'!$A:$Z,19,FALSE)+VLOOKUP($A78,A:AL,28,FALSE)-50))</f>
        <v>203</v>
      </c>
      <c r="AB78" s="3">
        <v>221</v>
      </c>
      <c r="AC78" s="3">
        <f>IF(ISERROR((VLOOKUP($A78,'SegEnds_NonXtal_BW#'!$A:$Z,20,FALSE)+VLOOKUP($A78,A:AL,28,FALSE)-50)),"-",(VLOOKUP($A78,'SegEnds_NonXtal_BW#'!$A:$Z,20,FALSE)+VLOOKUP($A78,A:AL,28,FALSE)-50))</f>
        <v>245</v>
      </c>
      <c r="AD78" s="3">
        <f>IF(ISERROR(VLOOKUP($A78,'SegEnds_NonXtal_BW#'!$A:$Z,21,FALSE)+VLOOKUP($A78,A:AL,31,FALSE)-50),"-",(VLOOKUP($A78,'SegEnds_NonXtal_BW#'!$A:$Z,21,FALSE)+VLOOKUP($A78,A:AL,31,FALSE)-50))</f>
        <v>302</v>
      </c>
      <c r="AE78" s="3">
        <v>328</v>
      </c>
      <c r="AF78" s="3">
        <f>IF(ISERROR((VLOOKUP($A78,'SegEnds_NonXtal_BW#'!$A:$Z,22,FALSE)+VLOOKUP($A78,A:AL,31,FALSE)-50)),"-",(VLOOKUP($A78,'SegEnds_NonXtal_BW#'!$A:$Z,22,FALSE)+VLOOKUP($A78,A:AL,31,FALSE)-50))</f>
        <v>339</v>
      </c>
      <c r="AG78" s="3">
        <f>IF(ISERROR(VLOOKUP($A78,'SegEnds_NonXtal_BW#'!$A:$Z,23,FALSE)+VLOOKUP($A78,A:AL,34,FALSE)-50),"-",(VLOOKUP($A78,'SegEnds_NonXtal_BW#'!$A:$Z,23,FALSE)+VLOOKUP($A78,A:AL,34,FALSE)-50))</f>
        <v>345</v>
      </c>
      <c r="AH78" s="3">
        <v>367</v>
      </c>
      <c r="AI78" s="3">
        <f>IF(ISERROR((VLOOKUP($A78,'SegEnds_NonXtal_BW#'!$A:$Z,24,FALSE)+VLOOKUP($A78,A:AL,34,FALSE)-50)),"-",(VLOOKUP($A78,'SegEnds_NonXtal_BW#'!$A:$Z,24,FALSE)+VLOOKUP($A78,A:AL,34,FALSE)-50))</f>
        <v>373</v>
      </c>
      <c r="AJ78" s="3">
        <f>IF(ISERROR(VLOOKUP($A78,'SegEnds_NonXtal_BW#'!$A:$Z,25,FALSE)+VLOOKUP($A78,A:AL,37,FALSE)-50),"-",(VLOOKUP($A78,'SegEnds_NonXtal_BW#'!$A:$Z,25,FALSE)+VLOOKUP($A78,A:AL,37,FALSE)-50))</f>
        <v>374</v>
      </c>
      <c r="AK78" s="3">
        <v>377</v>
      </c>
      <c r="AL78" s="3">
        <f>IF(ISERROR((VLOOKUP($A78,'SegEnds_NonXtal_BW#'!$A:$Z,26,FALSE)+VLOOKUP($A78,A:AL,37,FALSE)-50)),"-",(VLOOKUP($A78,'SegEnds_NonXtal_BW#'!$A:$Z,26,FALSE)+VLOOKUP($A78,A:AL,37,FALSE)-50))</f>
        <v>385</v>
      </c>
      <c r="AM78" s="28" t="str">
        <f>VLOOKUP(A78,Classification!A:B,2,FALSE)</f>
        <v>A</v>
      </c>
      <c r="AN78" s="28" t="b">
        <f>AND(IF(Y78="-",IF(AA78-W78&gt;3,TRUE,FALSE),TRUE),IF(M78="-",IF(O78-K78&gt;3,TRUE,FALSE),TRUE),C78&lt;E78,OR(E78&lt;F78,F78="-"),OR(F78&lt;H78,F78="-"),OR(H78&lt;I78,H78="-"),I78&lt;K78,OR(K78&lt;L78,L78="-"),OR(L78&lt;N78,L78="-"),OR(N78&lt;O78,N78="-"),O78&lt;Q78,OR(Q78&lt;R78,R78="-"),OR(R78&lt;T78,R78="-"),OR(T78&lt;U78,T78="-"),U78&lt;W78,OR(W78&lt;X78,X78="-"),OR(X78&lt;Z78,X78="-"),OR(Z78&lt;AA78,Z78="-"),AA78&lt;AC78,AC78&lt;AD78,AD78&lt;AF78,AF78&lt;AG78,AG78&lt;AI78,OR(AI78&lt;AJ78,AJ78="-"),OR(AJ78&lt;AL78,AJ78="-"))</f>
        <v>1</v>
      </c>
      <c r="AO78" s="3" t="str">
        <f>IF(ISERROR(MATCH(A78,'SegEnds_Xtal_Prot#'!B:B, 0)), "NoXtal", "Xtal")</f>
        <v>NoXtal</v>
      </c>
      <c r="AP78" s="3">
        <f>IF(ISERROR(F78-E78),"-",F78-E78)</f>
        <v>1</v>
      </c>
      <c r="AQ78" s="3">
        <f>IF(ISERROR(I78-H78),"-",I78-H78)</f>
        <v>1</v>
      </c>
      <c r="AR78" s="3">
        <f>IF(ISERROR(L78-K78),"-",L78-K78)</f>
        <v>2</v>
      </c>
      <c r="AS78" s="3">
        <f>IF(ISERROR(O78-N78),"-",O78-N78)</f>
        <v>1</v>
      </c>
      <c r="AT78" s="3">
        <f>IF(ISERROR(R78-Q78),"-",R78-Q78)</f>
        <v>1</v>
      </c>
      <c r="AU78" s="3">
        <f>IF(ISERROR(U78-T78),"-",U78-T78)</f>
        <v>1</v>
      </c>
      <c r="AV78" s="3">
        <f>IF(ISERROR(X78-W78),"-",X78-W78)</f>
        <v>16</v>
      </c>
      <c r="AW78" s="3">
        <f>IF(ISERROR(AA78-Z78),"-",AA78-Z78)</f>
        <v>5</v>
      </c>
      <c r="AX78" s="3">
        <f>IF(ISERROR(AD78-AC78),"-",AD78-AC78)</f>
        <v>57</v>
      </c>
      <c r="AY78" s="3">
        <f>IF(ISERROR(AG78-AF78),"-",AG78-AF78)</f>
        <v>6</v>
      </c>
      <c r="AZ78" s="3">
        <f>IF(ISERROR(AJ78-AI78),"-",AJ78-AI78)</f>
        <v>1</v>
      </c>
      <c r="BA78" s="3">
        <f>IF(ISERROR(LEN(VLOOKUP(A78,Seqs!A:E,2,FALSE))-AL78),"-",LEN(VLOOKUP(A78,Seqs!A:E,2,FALSE))-AL78)</f>
        <v>43</v>
      </c>
      <c r="BB78" s="16">
        <f>J78-D78</f>
        <v>28</v>
      </c>
      <c r="BC78" s="9">
        <f>IF(ISERROR(V78-S78),"-",V78-S78)</f>
        <v>20</v>
      </c>
      <c r="BD78" s="3">
        <f>J78-D78</f>
        <v>28</v>
      </c>
      <c r="BE78" s="3">
        <f>AE78-AB78</f>
        <v>107</v>
      </c>
    </row>
    <row r="79" spans="1:58" s="3" customFormat="1" x14ac:dyDescent="0.2">
      <c r="A79" s="3" t="s">
        <v>168</v>
      </c>
      <c r="B79" s="3" t="str">
        <f>LOWER(VLOOKUP(A79,Xtal_Templ!A:B,2,FALSE))</f>
        <v>ccr5_human</v>
      </c>
      <c r="C79" s="3">
        <f>VLOOKUP($A79,'SegEnds_NonXtal_BW#'!$A:$Z,3,FALSE)+D79-50</f>
        <v>26</v>
      </c>
      <c r="D79" s="3">
        <v>52</v>
      </c>
      <c r="E79" s="3">
        <f>IF(ISERROR(VLOOKUP($A79,'SegEnds_NonXtal_BW#'!$A:$Z,4,FALSE)+VLOOKUP($A79,A:AL,4,FALSE)-50),"-",(VLOOKUP($A79,'SegEnds_NonXtal_BW#'!$A:$Z,4,FALSE)+VLOOKUP($A79,A:AL,4,FALSE)-50))</f>
        <v>62</v>
      </c>
      <c r="F79" s="3">
        <f>G79-2</f>
        <v>63</v>
      </c>
      <c r="G79" s="3">
        <v>65</v>
      </c>
      <c r="H79" s="3">
        <f>G79+1</f>
        <v>66</v>
      </c>
      <c r="I79" s="3">
        <f>H79+1</f>
        <v>67</v>
      </c>
      <c r="J79" s="3">
        <v>80</v>
      </c>
      <c r="K79" s="3">
        <f>VLOOKUP($A79,'SegEnds_NonXtal_BW#'!$A:$Z,8,FALSE)+VLOOKUP($A79,A:AL,10,FALSE)-50</f>
        <v>96</v>
      </c>
      <c r="L79" s="3">
        <f>M79-1</f>
        <v>98</v>
      </c>
      <c r="M79" s="3">
        <v>99</v>
      </c>
      <c r="N79" s="3">
        <f>M79+2</f>
        <v>101</v>
      </c>
      <c r="O79" s="3">
        <f>N79+1</f>
        <v>102</v>
      </c>
      <c r="P79" s="3">
        <v>131</v>
      </c>
      <c r="Q79" s="3">
        <f>VLOOKUP($A79,'SegEnds_NonXtal_BW#'!$A:$Z,12,FALSE)+VLOOKUP($A79,A:AL,16,FALSE)-50</f>
        <v>137</v>
      </c>
      <c r="R79" s="3">
        <f>IF(ISERROR(VLOOKUP($A79,'SegEnds_NonXtal_BW#'!$A:$Z,13,FALSE)+VLOOKUP($A79,A:AL,19,FALSE)-50),"-",VLOOKUP($A79,'SegEnds_NonXtal_BW#'!$A:$Z,13,FALSE)+VLOOKUP($A79,A:AL,19,FALSE)-50)</f>
        <v>138</v>
      </c>
      <c r="S79" s="3">
        <v>138</v>
      </c>
      <c r="T79" s="103">
        <f>IF(ISERROR(VLOOKUP($A79,'SegEnds_NonXtal_BW#'!$A:$Z,14,FALSE)+VLOOKUP($A79,A:AL,19,FALSE)-50),"-",(VLOOKUP($A79,'SegEnds_NonXtal_BW#'!$A:$Z,14,FALSE)+VLOOKUP($A79,A:AL,19,FALSE)-50))</f>
        <v>145</v>
      </c>
      <c r="U79" s="9">
        <f>IF(ISERROR(VLOOKUP($A79,'SegEnds_NonXtal_BW#'!$A:$Z,15,FALSE)+VLOOKUP($A79,A:AL,22,FALSE)-50),"-",VLOOKUP($A79,'SegEnds_NonXtal_BW#'!$A:$Z,15,FALSE)+VLOOKUP($A79,A:AL,22,FALSE)-50)</f>
        <v>146</v>
      </c>
      <c r="V79" s="3">
        <v>158</v>
      </c>
      <c r="W79" s="3">
        <f>IF(ISERROR(VLOOKUP($A79,'SegEnds_NonXtal_BW#'!$A:$Z,16,FALSE)+VLOOKUP($A79,A:AL,22,FALSE)-50),"-",(VLOOKUP($A79,'SegEnds_NonXtal_BW#'!$A:$Z,16,FALSE)+VLOOKUP($A79,A:AL,22,FALSE)-50))</f>
        <v>172</v>
      </c>
      <c r="X79" s="3">
        <f>IF(ISERROR(VLOOKUP($A79,'SegEnds_NonXtal_BW#'!$A:$Z,17,FALSE)+VLOOKUP($A79,A:AL,25,FALSE)-50),"-",(VLOOKUP($A79,'SegEnds_NonXtal_BW#'!$A:$Z,17,FALSE)+VLOOKUP($A79,A:AL,25,FALSE)-50))</f>
        <v>183</v>
      </c>
      <c r="Y79" s="3">
        <v>183</v>
      </c>
      <c r="Z79" s="3">
        <f>Y79+2</f>
        <v>185</v>
      </c>
      <c r="AA79" s="3">
        <f>IF(ISERROR(VLOOKUP($A79,'SegEnds_NonXtal_BW#'!$A:$Z,19,FALSE)+VLOOKUP($A79,A:AL,28,FALSE)-50),"-",(VLOOKUP($A79,'SegEnds_NonXtal_BW#'!$A:$Z,19,FALSE)+VLOOKUP($A79,A:AL,28,FALSE)-50))</f>
        <v>191</v>
      </c>
      <c r="AB79" s="3">
        <v>211</v>
      </c>
      <c r="AC79" s="3">
        <f>IF(ISERROR((VLOOKUP($A79,'SegEnds_NonXtal_BW#'!$A:$Z,20,FALSE)+VLOOKUP($A79,A:AL,28,FALSE)-50)),"-",(VLOOKUP($A79,'SegEnds_NonXtal_BW#'!$A:$Z,20,FALSE)+VLOOKUP($A79,A:AL,28,FALSE)-50))</f>
        <v>229</v>
      </c>
      <c r="AD79" s="3">
        <f>IF(ISERROR(VLOOKUP($A79,'SegEnds_NonXtal_BW#'!$A:$Z,21,FALSE)+VLOOKUP($A79,A:AL,31,FALSE)-50),"-",(VLOOKUP($A79,'SegEnds_NonXtal_BW#'!$A:$Z,21,FALSE)+VLOOKUP($A79,A:AL,31,FALSE)-50))</f>
        <v>234</v>
      </c>
      <c r="AE79" s="3">
        <v>254</v>
      </c>
      <c r="AF79" s="3">
        <f>IF(ISERROR((VLOOKUP($A79,'SegEnds_NonXtal_BW#'!$A:$Z,22,FALSE)+VLOOKUP($A79,A:AL,31,FALSE)-50)),"-",(VLOOKUP($A79,'SegEnds_NonXtal_BW#'!$A:$Z,22,FALSE)+VLOOKUP($A79,A:AL,31,FALSE)-50))</f>
        <v>269</v>
      </c>
      <c r="AG79" s="3">
        <f>IF(ISERROR(VLOOKUP($A79,'SegEnds_NonXtal_BW#'!$A:$Z,23,FALSE)+VLOOKUP($A79,A:AL,34,FALSE)-50),"-",(VLOOKUP($A79,'SegEnds_NonXtal_BW#'!$A:$Z,23,FALSE)+VLOOKUP($A79,A:AL,34,FALSE)-50))</f>
        <v>272</v>
      </c>
      <c r="AH79" s="3">
        <v>298</v>
      </c>
      <c r="AI79" s="3">
        <f>IF(ISERROR((VLOOKUP($A79,'SegEnds_NonXtal_BW#'!$A:$Z,24,FALSE)+VLOOKUP($A79,A:AL,34,FALSE)-50)),"-",(VLOOKUP($A79,'SegEnds_NonXtal_BW#'!$A:$Z,24,FALSE)+VLOOKUP($A79,A:AL,34,FALSE)-50))</f>
        <v>304</v>
      </c>
      <c r="AJ79" s="3">
        <f>IF(ISERROR(VLOOKUP($A79,'SegEnds_NonXtal_BW#'!$A:$Z,25,FALSE)+VLOOKUP($A79,A:AL,37,FALSE)-50),"-",(VLOOKUP($A79,'SegEnds_NonXtal_BW#'!$A:$Z,25,FALSE)+VLOOKUP($A79,A:AL,37,FALSE)-50))</f>
        <v>305</v>
      </c>
      <c r="AK79" s="3">
        <v>308</v>
      </c>
      <c r="AL79" s="3">
        <f>IF(ISERROR((VLOOKUP($A79,'SegEnds_NonXtal_BW#'!$A:$Z,26,FALSE)+VLOOKUP($A79,A:AL,37,FALSE)-50)),"-",(VLOOKUP($A79,'SegEnds_NonXtal_BW#'!$A:$Z,26,FALSE)+VLOOKUP($A79,A:AL,37,FALSE)-50))</f>
        <v>317</v>
      </c>
      <c r="AM79" s="28" t="str">
        <f>VLOOKUP(A79,Classification!A:B,2,FALSE)</f>
        <v>A</v>
      </c>
      <c r="AN79" s="28" t="b">
        <f>AND(IF(Y79="-",IF(AA79-W79&gt;3,TRUE,FALSE),TRUE),IF(M79="-",IF(O79-K79&gt;3,TRUE,FALSE),TRUE),C79&lt;E79,OR(E79&lt;F79,F79="-"),OR(F79&lt;H79,F79="-"),OR(H79&lt;I79,H79="-"),I79&lt;K79,OR(K79&lt;L79,L79="-"),OR(L79&lt;N79,L79="-"),OR(N79&lt;O79,N79="-"),O79&lt;Q79,OR(Q79&lt;R79,R79="-"),OR(R79&lt;T79,R79="-"),OR(T79&lt;U79,T79="-"),U79&lt;W79,OR(W79&lt;X79,X79="-"),OR(X79&lt;Z79,X79="-"),OR(Z79&lt;AA79,Z79="-"),AA79&lt;AC79,AC79&lt;AD79,AD79&lt;AF79,AF79&lt;AG79,AG79&lt;AI79,OR(AI79&lt;AJ79,AJ79="-"),OR(AJ79&lt;AL79,AJ79="-"))</f>
        <v>1</v>
      </c>
      <c r="AO79" s="3" t="str">
        <f>IF(ISERROR(MATCH(A79,'SegEnds_Xtal_Prot#'!B:B, 0)), "NoXtal", "Xtal")</f>
        <v>NoXtal</v>
      </c>
      <c r="AP79" s="3">
        <f>IF(ISERROR(F79-E79),"-",F79-E79)</f>
        <v>1</v>
      </c>
      <c r="AQ79" s="3">
        <f>IF(ISERROR(I79-H79),"-",I79-H79)</f>
        <v>1</v>
      </c>
      <c r="AR79" s="3">
        <f>IF(ISERROR(L79-K79),"-",L79-K79)</f>
        <v>2</v>
      </c>
      <c r="AS79" s="3">
        <f>IF(ISERROR(O79-N79),"-",O79-N79)</f>
        <v>1</v>
      </c>
      <c r="AT79" s="3">
        <f>IF(ISERROR(R79-Q79),"-",R79-Q79)</f>
        <v>1</v>
      </c>
      <c r="AU79" s="3">
        <f>IF(ISERROR(U79-T79),"-",U79-T79)</f>
        <v>1</v>
      </c>
      <c r="AV79" s="3">
        <f>IF(ISERROR(X79-W79),"-",X79-W79)</f>
        <v>11</v>
      </c>
      <c r="AW79" s="3">
        <f>IF(ISERROR(AA79-Z79),"-",AA79-Z79)</f>
        <v>6</v>
      </c>
      <c r="AX79" s="3">
        <f>IF(ISERROR(AD79-AC79),"-",AD79-AC79)</f>
        <v>5</v>
      </c>
      <c r="AY79" s="3">
        <f>IF(ISERROR(AG79-AF79),"-",AG79-AF79)</f>
        <v>3</v>
      </c>
      <c r="AZ79" s="3">
        <f>IF(ISERROR(AJ79-AI79),"-",AJ79-AI79)</f>
        <v>1</v>
      </c>
      <c r="BA79" s="3">
        <f>IF(ISERROR(LEN(VLOOKUP(A79,Seqs!A:E,2,FALSE))-AL79),"-",LEN(VLOOKUP(A79,Seqs!A:E,2,FALSE))-AL79)</f>
        <v>38</v>
      </c>
      <c r="BB79" s="16">
        <f>J79-D79</f>
        <v>28</v>
      </c>
      <c r="BC79" s="9">
        <f>IF(ISERROR(V79-S79),"-",V79-S79)</f>
        <v>20</v>
      </c>
      <c r="BD79" s="3">
        <f>J79-D79</f>
        <v>28</v>
      </c>
      <c r="BE79" s="3">
        <f>AE79-AB79</f>
        <v>43</v>
      </c>
    </row>
    <row r="80" spans="1:58" s="3" customFormat="1" x14ac:dyDescent="0.2">
      <c r="A80" s="3" t="s">
        <v>170</v>
      </c>
      <c r="B80" s="3" t="str">
        <f>LOWER(VLOOKUP(A80,Xtal_Templ!A:B,2,FALSE))</f>
        <v>ccr2_human</v>
      </c>
      <c r="C80" s="3">
        <f>VLOOKUP($A80,'SegEnds_NonXtal_BW#'!$A:$Z,3,FALSE)+D80-50</f>
        <v>37</v>
      </c>
      <c r="D80" s="3">
        <v>60</v>
      </c>
      <c r="E80" s="3">
        <f>IF(ISERROR(VLOOKUP($A80,'SegEnds_NonXtal_BW#'!$A:$Z,4,FALSE)+VLOOKUP($A80,A:AL,4,FALSE)-50),"-",(VLOOKUP($A80,'SegEnds_NonXtal_BW#'!$A:$Z,4,FALSE)+VLOOKUP($A80,A:AL,4,FALSE)-50))</f>
        <v>70</v>
      </c>
      <c r="F80" s="3">
        <f>G80-2</f>
        <v>71</v>
      </c>
      <c r="G80" s="3">
        <v>73</v>
      </c>
      <c r="H80" s="3">
        <f>G80+1</f>
        <v>74</v>
      </c>
      <c r="I80" s="3">
        <f>H80+1</f>
        <v>75</v>
      </c>
      <c r="J80" s="3">
        <v>88</v>
      </c>
      <c r="K80" s="3">
        <f>VLOOKUP($A80,'SegEnds_NonXtal_BW#'!$A:$Z,8,FALSE)+VLOOKUP($A80,A:AL,10,FALSE)-50</f>
        <v>104</v>
      </c>
      <c r="L80" s="3">
        <f>M80-1</f>
        <v>105</v>
      </c>
      <c r="M80" s="3">
        <v>106</v>
      </c>
      <c r="N80" s="3">
        <f>M80+2</f>
        <v>108</v>
      </c>
      <c r="O80" s="3">
        <f>N80+1</f>
        <v>109</v>
      </c>
      <c r="P80" s="3">
        <v>138</v>
      </c>
      <c r="Q80" s="3">
        <f>VLOOKUP($A80,'SegEnds_NonXtal_BW#'!$A:$Z,12,FALSE)+VLOOKUP($A80,A:AL,16,FALSE)-50</f>
        <v>144</v>
      </c>
      <c r="R80" s="3">
        <f>IF(ISERROR(VLOOKUP($A80,'SegEnds_NonXtal_BW#'!$A:$Z,13,FALSE)+VLOOKUP($A80,A:AL,19,FALSE)-50),"-",VLOOKUP($A80,'SegEnds_NonXtal_BW#'!$A:$Z,13,FALSE)+VLOOKUP($A80,A:AL,19,FALSE)-50)</f>
        <v>145</v>
      </c>
      <c r="S80" s="3">
        <v>145</v>
      </c>
      <c r="T80" s="103">
        <f>IF(ISERROR(VLOOKUP($A80,'SegEnds_NonXtal_BW#'!$A:$Z,14,FALSE)+VLOOKUP($A80,A:AL,19,FALSE)-50),"-",(VLOOKUP($A80,'SegEnds_NonXtal_BW#'!$A:$Z,14,FALSE)+VLOOKUP($A80,A:AL,19,FALSE)-50))</f>
        <v>152</v>
      </c>
      <c r="U80" s="9">
        <f>IF(ISERROR(VLOOKUP($A80,'SegEnds_NonXtal_BW#'!$A:$Z,15,FALSE)+VLOOKUP($A80,A:AL,22,FALSE)-50),"-",VLOOKUP($A80,'SegEnds_NonXtal_BW#'!$A:$Z,15,FALSE)+VLOOKUP($A80,A:AL,22,FALSE)-50)</f>
        <v>153</v>
      </c>
      <c r="V80" s="3">
        <v>165</v>
      </c>
      <c r="W80" s="3">
        <f>IF(ISERROR(VLOOKUP($A80,'SegEnds_NonXtal_BW#'!$A:$Z,16,FALSE)+VLOOKUP($A80,A:AL,22,FALSE)-50),"-",(VLOOKUP($A80,'SegEnds_NonXtal_BW#'!$A:$Z,16,FALSE)+VLOOKUP($A80,A:AL,22,FALSE)-50))</f>
        <v>179</v>
      </c>
      <c r="X80" s="3">
        <f>IF(ISERROR(VLOOKUP($A80,'SegEnds_NonXtal_BW#'!$A:$Z,17,FALSE)+VLOOKUP($A80,A:AL,25,FALSE)-50),"-",(VLOOKUP($A80,'SegEnds_NonXtal_BW#'!$A:$Z,17,FALSE)+VLOOKUP($A80,A:AL,25,FALSE)-50))</f>
        <v>190</v>
      </c>
      <c r="Y80" s="3">
        <v>190</v>
      </c>
      <c r="Z80" s="3">
        <f>Y80+2</f>
        <v>192</v>
      </c>
      <c r="AA80" s="3">
        <f>IF(ISERROR(VLOOKUP($A80,'SegEnds_NonXtal_BW#'!$A:$Z,19,FALSE)+VLOOKUP($A80,A:AL,28,FALSE)-50),"-",(VLOOKUP($A80,'SegEnds_NonXtal_BW#'!$A:$Z,19,FALSE)+VLOOKUP($A80,A:AL,28,FALSE)-50))</f>
        <v>195</v>
      </c>
      <c r="AB80" s="3">
        <v>214</v>
      </c>
      <c r="AC80" s="3">
        <f>IF(ISERROR((VLOOKUP($A80,'SegEnds_NonXtal_BW#'!$A:$Z,20,FALSE)+VLOOKUP($A80,A:AL,28,FALSE)-50)),"-",(VLOOKUP($A80,'SegEnds_NonXtal_BW#'!$A:$Z,20,FALSE)+VLOOKUP($A80,A:AL,28,FALSE)-50))</f>
        <v>232</v>
      </c>
      <c r="AD80" s="3">
        <f>IF(ISERROR(VLOOKUP($A80,'SegEnds_NonXtal_BW#'!$A:$Z,21,FALSE)+VLOOKUP($A80,A:AL,31,FALSE)-50),"-",(VLOOKUP($A80,'SegEnds_NonXtal_BW#'!$A:$Z,21,FALSE)+VLOOKUP($A80,A:AL,31,FALSE)-50))</f>
        <v>236</v>
      </c>
      <c r="AE80" s="3">
        <v>258</v>
      </c>
      <c r="AF80" s="3">
        <f>IF(ISERROR((VLOOKUP($A80,'SegEnds_NonXtal_BW#'!$A:$Z,22,FALSE)+VLOOKUP($A80,A:AL,31,FALSE)-50)),"-",(VLOOKUP($A80,'SegEnds_NonXtal_BW#'!$A:$Z,22,FALSE)+VLOOKUP($A80,A:AL,31,FALSE)-50))</f>
        <v>273</v>
      </c>
      <c r="AG80" s="3">
        <f>IF(ISERROR(VLOOKUP($A80,'SegEnds_NonXtal_BW#'!$A:$Z,23,FALSE)+VLOOKUP($A80,A:AL,34,FALSE)-50),"-",(VLOOKUP($A80,'SegEnds_NonXtal_BW#'!$A:$Z,23,FALSE)+VLOOKUP($A80,A:AL,34,FALSE)-50))</f>
        <v>276</v>
      </c>
      <c r="AH80" s="3">
        <v>302</v>
      </c>
      <c r="AI80" s="3">
        <f>IF(ISERROR((VLOOKUP($A80,'SegEnds_NonXtal_BW#'!$A:$Z,24,FALSE)+VLOOKUP($A80,A:AL,34,FALSE)-50)),"-",(VLOOKUP($A80,'SegEnds_NonXtal_BW#'!$A:$Z,24,FALSE)+VLOOKUP($A80,A:AL,34,FALSE)-50))</f>
        <v>308</v>
      </c>
      <c r="AJ80" s="3">
        <f>IF(ISERROR(VLOOKUP($A80,'SegEnds_NonXtal_BW#'!$A:$Z,25,FALSE)+VLOOKUP($A80,A:AL,37,FALSE)-50),"-",(VLOOKUP($A80,'SegEnds_NonXtal_BW#'!$A:$Z,25,FALSE)+VLOOKUP($A80,A:AL,37,FALSE)-50))</f>
        <v>309</v>
      </c>
      <c r="AK80" s="3">
        <v>312</v>
      </c>
      <c r="AL80" s="3">
        <f>IF(ISERROR((VLOOKUP($A80,'SegEnds_NonXtal_BW#'!$A:$Z,26,FALSE)+VLOOKUP($A80,A:AL,37,FALSE)-50)),"-",(VLOOKUP($A80,'SegEnds_NonXtal_BW#'!$A:$Z,26,FALSE)+VLOOKUP($A80,A:AL,37,FALSE)-50))</f>
        <v>320</v>
      </c>
      <c r="AM80" s="28" t="str">
        <f>VLOOKUP(A80,Classification!A:B,2,FALSE)</f>
        <v>A</v>
      </c>
      <c r="AN80" s="28" t="b">
        <f>AND(IF(Y80="-",IF(AA80-W80&gt;3,TRUE,FALSE),TRUE),IF(M80="-",IF(O80-K80&gt;3,TRUE,FALSE),TRUE),C80&lt;E80,OR(E80&lt;F80,F80="-"),OR(F80&lt;H80,F80="-"),OR(H80&lt;I80,H80="-"),I80&lt;K80,OR(K80&lt;L80,L80="-"),OR(L80&lt;N80,L80="-"),OR(N80&lt;O80,N80="-"),O80&lt;Q80,OR(Q80&lt;R80,R80="-"),OR(R80&lt;T80,R80="-"),OR(T80&lt;U80,T80="-"),U80&lt;W80,OR(W80&lt;X80,X80="-"),OR(X80&lt;Z80,X80="-"),OR(Z80&lt;AA80,Z80="-"),AA80&lt;AC80,AC80&lt;AD80,AD80&lt;AF80,AF80&lt;AG80,AG80&lt;AI80,OR(AI80&lt;AJ80,AJ80="-"),OR(AJ80&lt;AL80,AJ80="-"))</f>
        <v>1</v>
      </c>
      <c r="AO80" s="3" t="str">
        <f>IF(ISERROR(MATCH(A80,'SegEnds_Xtal_Prot#'!B:B, 0)), "NoXtal", "Xtal")</f>
        <v>Xtal</v>
      </c>
      <c r="AP80" s="3">
        <f>IF(ISERROR(F80-E80),"-",F80-E80)</f>
        <v>1</v>
      </c>
      <c r="AQ80" s="3">
        <f>IF(ISERROR(I80-H80),"-",I80-H80)</f>
        <v>1</v>
      </c>
      <c r="AR80" s="3">
        <f>IF(ISERROR(L80-K80),"-",L80-K80)</f>
        <v>1</v>
      </c>
      <c r="AS80" s="3">
        <f>IF(ISERROR(O80-N80),"-",O80-N80)</f>
        <v>1</v>
      </c>
      <c r="AT80" s="3">
        <f>IF(ISERROR(R80-Q80),"-",R80-Q80)</f>
        <v>1</v>
      </c>
      <c r="AU80" s="3">
        <f>IF(ISERROR(U80-T80),"-",U80-T80)</f>
        <v>1</v>
      </c>
      <c r="AV80" s="3">
        <f>IF(ISERROR(X80-W80),"-",X80-W80)</f>
        <v>11</v>
      </c>
      <c r="AW80" s="3">
        <f>IF(ISERROR(AA80-Z80),"-",AA80-Z80)</f>
        <v>3</v>
      </c>
      <c r="AX80" s="3">
        <f>IF(ISERROR(AD80-AC80),"-",AD80-AC80)</f>
        <v>4</v>
      </c>
      <c r="AY80" s="3">
        <f>IF(ISERROR(AG80-AF80),"-",AG80-AF80)</f>
        <v>3</v>
      </c>
      <c r="AZ80" s="3">
        <f>IF(ISERROR(AJ80-AI80),"-",AJ80-AI80)</f>
        <v>1</v>
      </c>
      <c r="BA80" s="3">
        <f>IF(ISERROR(LEN(VLOOKUP(A80,Seqs!A:E,2,FALSE))-AL80),"-",LEN(VLOOKUP(A80,Seqs!A:E,2,FALSE))-AL80)</f>
        <v>54</v>
      </c>
      <c r="BB80" s="16">
        <f>J80-D80</f>
        <v>28</v>
      </c>
      <c r="BC80" s="9">
        <f>IF(ISERROR(V80-S80),"-",V80-S80)</f>
        <v>20</v>
      </c>
      <c r="BD80" s="3">
        <f>J80-D80</f>
        <v>28</v>
      </c>
      <c r="BE80" s="3">
        <f>AE80-AB80</f>
        <v>44</v>
      </c>
    </row>
    <row r="81" spans="1:58" s="3" customFormat="1" x14ac:dyDescent="0.2">
      <c r="A81" s="3" t="s">
        <v>171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>G81-2</f>
        <v>63</v>
      </c>
      <c r="G81" s="3">
        <v>65</v>
      </c>
      <c r="H81" s="3">
        <f>G81+1</f>
        <v>66</v>
      </c>
      <c r="I81" s="3">
        <f>H81+1</f>
        <v>67</v>
      </c>
      <c r="J81" s="3">
        <v>80</v>
      </c>
      <c r="K81" s="3">
        <f>VLOOKUP($A81,'SegEnds_NonXtal_BW#'!$A:$Z,8,FALSE)+VLOOKUP($A81,A:AL,10,FALSE)-50</f>
        <v>96</v>
      </c>
      <c r="L81" s="3">
        <f>M81-1</f>
        <v>98</v>
      </c>
      <c r="M81" s="3">
        <v>99</v>
      </c>
      <c r="N81" s="3">
        <f>M81+2</f>
        <v>101</v>
      </c>
      <c r="O81" s="3">
        <f>N81+1</f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>Y81+2</f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>AND(IF(Y81="-",IF(AA81-W81&gt;3,TRUE,FALSE),TRUE),IF(M81="-",IF(O81-K81&gt;3,TRUE,FALSE),TRUE),C81&lt;E81,OR(E81&lt;F81,F81="-"),OR(F81&lt;H81,F81="-"),OR(H81&lt;I81,H81="-"),I81&lt;K81,OR(K81&lt;L81,L81="-"),OR(L81&lt;N81,L81="-"),OR(N81&lt;O81,N81="-"),O81&lt;Q81,OR(Q81&lt;R81,R81="-"),OR(R81&lt;T81,R81="-"),OR(T81&lt;U81,T81="-"),U81&lt;W81,OR(W81&lt;X81,X81="-"),OR(X81&lt;Z81,X81="-"),OR(Z81&lt;AA81,Z81="-"),AA81&lt;AC81,AC81&lt;AD81,AD81&lt;AF81,AF81&lt;AG81,AG81&lt;AI81,OR(AI81&lt;AJ81,AJ81="-"),OR(AJ81&lt;AL81,AJ81="-"))</f>
        <v>1</v>
      </c>
      <c r="AO81" s="3" t="str">
        <f>IF(ISERROR(MATCH(A81,'SegEnds_Xtal_Prot#'!B:B, 0)), "NoXtal", "Xtal")</f>
        <v>NoXtal</v>
      </c>
      <c r="AP81" s="3">
        <f>IF(ISERROR(F81-E81),"-",F81-E81)</f>
        <v>1</v>
      </c>
      <c r="AQ81" s="3">
        <f>IF(ISERROR(I81-H81),"-",I81-H81)</f>
        <v>1</v>
      </c>
      <c r="AR81" s="3">
        <f>IF(ISERROR(L81-K81),"-",L81-K81)</f>
        <v>2</v>
      </c>
      <c r="AS81" s="3">
        <f>IF(ISERROR(O81-N81),"-",O81-N81)</f>
        <v>1</v>
      </c>
      <c r="AT81" s="3">
        <f>IF(ISERROR(R81-Q81),"-",R81-Q81)</f>
        <v>1</v>
      </c>
      <c r="AU81" s="3">
        <f>IF(ISERROR(U81-T81),"-",U81-T81)</f>
        <v>1</v>
      </c>
      <c r="AV81" s="3">
        <f>IF(ISERROR(X81-W81),"-",X81-W81)</f>
        <v>11</v>
      </c>
      <c r="AW81" s="3">
        <f>IF(ISERROR(AA81-Z81),"-",AA81-Z81)</f>
        <v>6</v>
      </c>
      <c r="AX81" s="3">
        <f>IF(ISERROR(AD81-AC81),"-",AD81-AC81)</f>
        <v>5</v>
      </c>
      <c r="AY81" s="3">
        <f>IF(ISERROR(AG81-AF81),"-",AG81-AF81)</f>
        <v>3</v>
      </c>
      <c r="AZ81" s="3">
        <f>IF(ISERROR(AJ81-AI81),"-",AJ81-AI81)</f>
        <v>1</v>
      </c>
      <c r="BA81" s="3">
        <f>IF(ISERROR(LEN(VLOOKUP(A81,Seqs!A:E,2,FALSE))-AL81),"-",LEN(VLOOKUP(A81,Seqs!A:E,2,FALSE))-AL81)</f>
        <v>38</v>
      </c>
      <c r="BB81" s="16">
        <f>J81-D81</f>
        <v>28</v>
      </c>
      <c r="BC81" s="9">
        <f>IF(ISERROR(V81-S81),"-",V81-S81)</f>
        <v>20</v>
      </c>
      <c r="BD81" s="3">
        <f>J81-D81</f>
        <v>28</v>
      </c>
      <c r="BE81" s="3">
        <f>AE81-AB81</f>
        <v>43</v>
      </c>
    </row>
    <row r="82" spans="1:58" s="3" customFormat="1" x14ac:dyDescent="0.2">
      <c r="A82" s="3" t="s">
        <v>172</v>
      </c>
      <c r="B82" s="3" t="str">
        <f>LOWER(VLOOKUP(A82,Xtal_Templ!A:B,2,FALSE))</f>
        <v>ccr5_human</v>
      </c>
      <c r="C82" s="3">
        <f>VLOOKUP($A82,'SegEnds_NonXtal_BW#'!$A:$Z,3,FALSE)+D82-50</f>
        <v>31</v>
      </c>
      <c r="D82" s="3">
        <v>57</v>
      </c>
      <c r="E82" s="3">
        <f>IF(ISERROR(VLOOKUP($A82,'SegEnds_NonXtal_BW#'!$A:$Z,4,FALSE)+VLOOKUP($A82,A:AL,4,FALSE)-50),"-",(VLOOKUP($A82,'SegEnds_NonXtal_BW#'!$A:$Z,4,FALSE)+VLOOKUP($A82,A:AL,4,FALSE)-50))</f>
        <v>67</v>
      </c>
      <c r="F82" s="3">
        <f>G82-2</f>
        <v>68</v>
      </c>
      <c r="G82" s="3">
        <v>70</v>
      </c>
      <c r="H82" s="3">
        <f>G82+1</f>
        <v>71</v>
      </c>
      <c r="I82" s="3">
        <f>H82+1</f>
        <v>72</v>
      </c>
      <c r="J82" s="3">
        <v>85</v>
      </c>
      <c r="K82" s="3">
        <f>VLOOKUP($A82,'SegEnds_NonXtal_BW#'!$A:$Z,8,FALSE)+VLOOKUP($A82,A:AL,10,FALSE)-50</f>
        <v>101</v>
      </c>
      <c r="L82" s="3">
        <f>M82-1</f>
        <v>102</v>
      </c>
      <c r="M82" s="3">
        <v>103</v>
      </c>
      <c r="N82" s="3">
        <f>M82+2</f>
        <v>105</v>
      </c>
      <c r="O82" s="3">
        <f>N82+1</f>
        <v>106</v>
      </c>
      <c r="P82" s="3">
        <v>135</v>
      </c>
      <c r="Q82" s="3">
        <f>VLOOKUP($A82,'SegEnds_NonXtal_BW#'!$A:$Z,12,FALSE)+VLOOKUP($A82,A:AL,16,FALSE)-50</f>
        <v>141</v>
      </c>
      <c r="R82" s="3">
        <f>IF(ISERROR(VLOOKUP($A82,'SegEnds_NonXtal_BW#'!$A:$Z,13,FALSE)+VLOOKUP($A82,A:AL,19,FALSE)-50),"-",VLOOKUP($A82,'SegEnds_NonXtal_BW#'!$A:$Z,13,FALSE)+VLOOKUP($A82,A:AL,19,FALSE)-50)</f>
        <v>142</v>
      </c>
      <c r="S82" s="3">
        <v>142</v>
      </c>
      <c r="T82" s="103">
        <f>IF(ISERROR(VLOOKUP($A82,'SegEnds_NonXtal_BW#'!$A:$Z,14,FALSE)+VLOOKUP($A82,A:AL,19,FALSE)-50),"-",(VLOOKUP($A82,'SegEnds_NonXtal_BW#'!$A:$Z,14,FALSE)+VLOOKUP($A82,A:AL,19,FALSE)-50))</f>
        <v>149</v>
      </c>
      <c r="U82" s="9">
        <f>IF(ISERROR(VLOOKUP($A82,'SegEnds_NonXtal_BW#'!$A:$Z,15,FALSE)+VLOOKUP($A82,A:AL,22,FALSE)-50),"-",VLOOKUP($A82,'SegEnds_NonXtal_BW#'!$A:$Z,15,FALSE)+VLOOKUP($A82,A:AL,22,FALSE)-50)</f>
        <v>150</v>
      </c>
      <c r="V82" s="3">
        <v>162</v>
      </c>
      <c r="W82" s="3">
        <f>IF(ISERROR(VLOOKUP($A82,'SegEnds_NonXtal_BW#'!$A:$Z,16,FALSE)+VLOOKUP($A82,A:AL,22,FALSE)-50),"-",(VLOOKUP($A82,'SegEnds_NonXtal_BW#'!$A:$Z,16,FALSE)+VLOOKUP($A82,A:AL,22,FALSE)-50))</f>
        <v>176</v>
      </c>
      <c r="X82" s="3">
        <f>IF(ISERROR(VLOOKUP($A82,'SegEnds_NonXtal_BW#'!$A:$Z,17,FALSE)+VLOOKUP($A82,A:AL,25,FALSE)-50),"-",(VLOOKUP($A82,'SegEnds_NonXtal_BW#'!$A:$Z,17,FALSE)+VLOOKUP($A82,A:AL,25,FALSE)-50))</f>
        <v>187</v>
      </c>
      <c r="Y82" s="3">
        <v>187</v>
      </c>
      <c r="Z82" s="3">
        <f>Y82+2</f>
        <v>189</v>
      </c>
      <c r="AA82" s="3">
        <f>IF(ISERROR(VLOOKUP($A82,'SegEnds_NonXtal_BW#'!$A:$Z,19,FALSE)+VLOOKUP($A82,A:AL,28,FALSE)-50),"-",(VLOOKUP($A82,'SegEnds_NonXtal_BW#'!$A:$Z,19,FALSE)+VLOOKUP($A82,A:AL,28,FALSE)-50))</f>
        <v>194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237</v>
      </c>
      <c r="AE82" s="3">
        <v>257</v>
      </c>
      <c r="AF82" s="3">
        <f>IF(ISERROR((VLOOKUP($A82,'SegEnds_NonXtal_BW#'!$A:$Z,22,FALSE)+VLOOKUP($A82,A:AL,31,FALSE)-50)),"-",(VLOOKUP($A82,'SegEnds_NonXtal_BW#'!$A:$Z,22,FALSE)+VLOOKUP($A82,A:AL,31,FALSE)-50))</f>
        <v>272</v>
      </c>
      <c r="AG82" s="3">
        <f>IF(ISERROR(VLOOKUP($A82,'SegEnds_NonXtal_BW#'!$A:$Z,23,FALSE)+VLOOKUP($A82,A:AL,34,FALSE)-50),"-",(VLOOKUP($A82,'SegEnds_NonXtal_BW#'!$A:$Z,23,FALSE)+VLOOKUP($A82,A:AL,34,FALSE)-50))</f>
        <v>275</v>
      </c>
      <c r="AH82" s="3">
        <v>301</v>
      </c>
      <c r="AI82" s="3">
        <f>IF(ISERROR((VLOOKUP($A82,'SegEnds_NonXtal_BW#'!$A:$Z,24,FALSE)+VLOOKUP($A82,A:AL,34,FALSE)-50)),"-",(VLOOKUP($A82,'SegEnds_NonXtal_BW#'!$A:$Z,24,FALSE)+VLOOKUP($A82,A:AL,34,FALSE)-50))</f>
        <v>307</v>
      </c>
      <c r="AJ82" s="3">
        <f>IF(ISERROR(VLOOKUP($A82,'SegEnds_NonXtal_BW#'!$A:$Z,25,FALSE)+VLOOKUP($A82,A:AL,37,FALSE)-50),"-",(VLOOKUP($A82,'SegEnds_NonXtal_BW#'!$A:$Z,25,FALSE)+VLOOKUP($A82,A:AL,37,FALSE)-50))</f>
        <v>308</v>
      </c>
      <c r="AK82" s="3">
        <v>311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>AND(IF(Y82="-",IF(AA82-W82&gt;3,TRUE,FALSE),TRUE),IF(M82="-",IF(O82-K82&gt;3,TRUE,FALSE),TRUE),C82&lt;E82,OR(E82&lt;F82,F82="-"),OR(F82&lt;H82,F82="-"),OR(H82&lt;I82,H82="-"),I82&lt;K82,OR(K82&lt;L82,L82="-"),OR(L82&lt;N82,L82="-"),OR(N82&lt;O82,N82="-"),O82&lt;Q82,OR(Q82&lt;R82,R82="-"),OR(R82&lt;T82,R82="-"),OR(T82&lt;U82,T82="-"),U82&lt;W82,OR(W82&lt;X82,X82="-"),OR(X82&lt;Z82,X82="-"),OR(Z82&lt;AA82,Z82="-"),AA82&lt;AC82,AC82&lt;AD82,AD82&lt;AF82,AF82&lt;AG82,AG82&lt;AI82,OR(AI82&lt;AJ82,AJ82="-"),OR(AJ82&lt;AL82,AJ82="-"))</f>
        <v>1</v>
      </c>
      <c r="AO82" s="3" t="str">
        <f>IF(ISERROR(MATCH(A82,'SegEnds_Xtal_Prot#'!B:B, 0)), "NoXtal", "Xtal")</f>
        <v>NoXtal</v>
      </c>
      <c r="AP82" s="3">
        <f>IF(ISERROR(F82-E82),"-",F82-E82)</f>
        <v>1</v>
      </c>
      <c r="AQ82" s="3">
        <f>IF(ISERROR(I82-H82),"-",I82-H82)</f>
        <v>1</v>
      </c>
      <c r="AR82" s="3">
        <f>IF(ISERROR(L82-K82),"-",L82-K82)</f>
        <v>1</v>
      </c>
      <c r="AS82" s="3">
        <f>IF(ISERROR(O82-N82),"-",O82-N82)</f>
        <v>1</v>
      </c>
      <c r="AT82" s="3">
        <f>IF(ISERROR(R82-Q82),"-",R82-Q82)</f>
        <v>1</v>
      </c>
      <c r="AU82" s="3">
        <f>IF(ISERROR(U82-T82),"-",U82-T82)</f>
        <v>1</v>
      </c>
      <c r="AV82" s="3">
        <f>IF(ISERROR(X82-W82),"-",X82-W82)</f>
        <v>11</v>
      </c>
      <c r="AW82" s="3">
        <f>IF(ISERROR(AA82-Z82),"-",AA82-Z82)</f>
        <v>5</v>
      </c>
      <c r="AX82" s="3">
        <f>IF(ISERROR(AD82-AC82),"-",AD82-AC82)</f>
        <v>5</v>
      </c>
      <c r="AY82" s="3">
        <f>IF(ISERROR(AG82-AF82),"-",AG82-AF82)</f>
        <v>3</v>
      </c>
      <c r="AZ82" s="3">
        <f>IF(ISERROR(AJ82-AI82),"-",AJ82-AI82)</f>
        <v>1</v>
      </c>
      <c r="BA82" s="3">
        <f>IF(ISERROR(LEN(VLOOKUP(A82,Seqs!A:E,2,FALSE))-AL82),"-",LEN(VLOOKUP(A82,Seqs!A:E,2,FALSE))-AL82)</f>
        <v>40</v>
      </c>
      <c r="BB82" s="16">
        <f>J82-D82</f>
        <v>28</v>
      </c>
      <c r="BC82" s="9">
        <f>IF(ISERROR(V82-S82),"-",V82-S82)</f>
        <v>20</v>
      </c>
      <c r="BD82" s="3">
        <f>J82-D82</f>
        <v>28</v>
      </c>
      <c r="BE82" s="3">
        <f>AE82-AB82</f>
        <v>43</v>
      </c>
    </row>
    <row r="83" spans="1:58" s="3" customFormat="1" x14ac:dyDescent="0.2">
      <c r="A83" s="3" t="s">
        <v>173</v>
      </c>
      <c r="B83" s="3" t="str">
        <f>LOWER(VLOOKUP(A83,Xtal_Templ!A:B,2,FALSE))</f>
        <v>ccr5_human</v>
      </c>
      <c r="C83" s="3">
        <f>VLOOKUP($A83,'SegEnds_NonXtal_BW#'!$A:$Z,3,FALSE)+D83-50</f>
        <v>22</v>
      </c>
      <c r="D83" s="3">
        <v>48</v>
      </c>
      <c r="E83" s="3">
        <f>IF(ISERROR(VLOOKUP($A83,'SegEnds_NonXtal_BW#'!$A:$Z,4,FALSE)+VLOOKUP($A83,A:AL,4,FALSE)-50),"-",(VLOOKUP($A83,'SegEnds_NonXtal_BW#'!$A:$Z,4,FALSE)+VLOOKUP($A83,A:AL,4,FALSE)-50))</f>
        <v>58</v>
      </c>
      <c r="F83" s="3">
        <f>G83-2</f>
        <v>59</v>
      </c>
      <c r="G83" s="3">
        <v>61</v>
      </c>
      <c r="H83" s="3">
        <f>G83+1</f>
        <v>62</v>
      </c>
      <c r="I83" s="3">
        <f>H83+1</f>
        <v>63</v>
      </c>
      <c r="J83" s="3">
        <v>76</v>
      </c>
      <c r="K83" s="3">
        <f>VLOOKUP($A83,'SegEnds_NonXtal_BW#'!$A:$Z,8,FALSE)+VLOOKUP($A83,A:AL,10,FALSE)-50</f>
        <v>92</v>
      </c>
      <c r="L83" s="3">
        <f>M83-1</f>
        <v>93</v>
      </c>
      <c r="M83" s="3">
        <v>94</v>
      </c>
      <c r="N83" s="3">
        <f>M83+2</f>
        <v>96</v>
      </c>
      <c r="O83" s="3">
        <f>N83+1</f>
        <v>97</v>
      </c>
      <c r="P83" s="3">
        <v>126</v>
      </c>
      <c r="Q83" s="3">
        <f>VLOOKUP($A83,'SegEnds_NonXtal_BW#'!$A:$Z,12,FALSE)+VLOOKUP($A83,A:AL,16,FALSE)-50</f>
        <v>132</v>
      </c>
      <c r="R83" s="3">
        <f>IF(ISERROR(VLOOKUP($A83,'SegEnds_NonXtal_BW#'!$A:$Z,13,FALSE)+VLOOKUP($A83,A:AL,19,FALSE)-50),"-",VLOOKUP($A83,'SegEnds_NonXtal_BW#'!$A:$Z,13,FALSE)+VLOOKUP($A83,A:AL,19,FALSE)-50)</f>
        <v>133</v>
      </c>
      <c r="S83" s="3">
        <v>133</v>
      </c>
      <c r="T83" s="3">
        <f>IF(ISERROR(VLOOKUP($A83,'SegEnds_NonXtal_BW#'!$A:$Z,14,FALSE)+VLOOKUP($A83,A:AL,19,FALSE)-50),"-",(VLOOKUP($A83,'SegEnds_NonXtal_BW#'!$A:$Z,14,FALSE)+VLOOKUP($A83,A:AL,19,FALSE)-50))</f>
        <v>140</v>
      </c>
      <c r="U83" s="3">
        <f>IF(ISERROR(VLOOKUP($A83,'SegEnds_NonXtal_BW#'!$A:$Z,15,FALSE)+VLOOKUP($A83,A:AL,22,FALSE)-50),"-",VLOOKUP($A83,'SegEnds_NonXtal_BW#'!$A:$Z,15,FALSE)+VLOOKUP($A83,A:AL,22,FALSE)-50)</f>
        <v>141</v>
      </c>
      <c r="V83" s="3">
        <v>153</v>
      </c>
      <c r="W83" s="3">
        <f>IF(ISERROR(VLOOKUP($A83,'SegEnds_NonXtal_BW#'!$A:$Z,16,FALSE)+VLOOKUP($A83,A:AL,22,FALSE)-50),"-",(VLOOKUP($A83,'SegEnds_NonXtal_BW#'!$A:$Z,16,FALSE)+VLOOKUP($A83,A:AL,22,FALSE)-50))</f>
        <v>167</v>
      </c>
      <c r="X83" s="3">
        <f>IF(ISERROR(VLOOKUP($A83,'SegEnds_NonXtal_BW#'!$A:$Z,17,FALSE)+VLOOKUP($A83,A:AL,25,FALSE)-50),"-",(VLOOKUP($A83,'SegEnds_NonXtal_BW#'!$A:$Z,17,FALSE)+VLOOKUP($A83,A:AL,25,FALSE)-50))</f>
        <v>178</v>
      </c>
      <c r="Y83" s="3">
        <v>178</v>
      </c>
      <c r="Z83" s="3">
        <f>Y83+2</f>
        <v>180</v>
      </c>
      <c r="AA83" s="3">
        <f>IF(ISERROR(VLOOKUP($A83,'SegEnds_NonXtal_BW#'!$A:$Z,19,FALSE)+VLOOKUP($A83,A:AL,28,FALSE)-50),"-",(VLOOKUP($A83,'SegEnds_NonXtal_BW#'!$A:$Z,19,FALSE)+VLOOKUP($A83,A:AL,28,FALSE)-50))</f>
        <v>186</v>
      </c>
      <c r="AB83" s="3">
        <v>206</v>
      </c>
      <c r="AC83" s="3">
        <f>IF(ISERROR((VLOOKUP($A83,'SegEnds_NonXtal_BW#'!$A:$Z,20,FALSE)+VLOOKUP($A83,A:AL,28,FALSE)-50)),"-",(VLOOKUP($A83,'SegEnds_NonXtal_BW#'!$A:$Z,20,FALSE)+VLOOKUP($A83,A:AL,28,FALSE)-50))</f>
        <v>224</v>
      </c>
      <c r="AD83" s="3">
        <f>IF(ISERROR(VLOOKUP($A83,'SegEnds_NonXtal_BW#'!$A:$Z,21,FALSE)+VLOOKUP($A83,A:AL,31,FALSE)-50),"-",(VLOOKUP($A83,'SegEnds_NonXtal_BW#'!$A:$Z,21,FALSE)+VLOOKUP($A83,A:AL,31,FALSE)-50))</f>
        <v>228</v>
      </c>
      <c r="AE83" s="3">
        <v>250</v>
      </c>
      <c r="AF83" s="3">
        <f>IF(ISERROR((VLOOKUP($A83,'SegEnds_NonXtal_BW#'!$A:$Z,22,FALSE)+VLOOKUP($A83,A:AL,31,FALSE)-50)),"-",(VLOOKUP($A83,'SegEnds_NonXtal_BW#'!$A:$Z,22,FALSE)+VLOOKUP($A83,A:AL,31,FALSE)-50))</f>
        <v>265</v>
      </c>
      <c r="AG83" s="3">
        <f>IF(ISERROR(VLOOKUP($A83,'SegEnds_NonXtal_BW#'!$A:$Z,23,FALSE)+VLOOKUP($A83,A:AL,34,FALSE)-50),"-",(VLOOKUP($A83,'SegEnds_NonXtal_BW#'!$A:$Z,23,FALSE)+VLOOKUP($A83,A:AL,34,FALSE)-50))</f>
        <v>268</v>
      </c>
      <c r="AH83" s="3">
        <v>294</v>
      </c>
      <c r="AI83" s="3">
        <f>IF(ISERROR((VLOOKUP($A83,'SegEnds_NonXtal_BW#'!$A:$Z,24,FALSE)+VLOOKUP($A83,A:AL,34,FALSE)-50)),"-",(VLOOKUP($A83,'SegEnds_NonXtal_BW#'!$A:$Z,24,FALSE)+VLOOKUP($A83,A:AL,34,FALSE)-50))</f>
        <v>300</v>
      </c>
      <c r="AJ83" s="3">
        <f>IF(ISERROR(VLOOKUP($A83,'SegEnds_NonXtal_BW#'!$A:$Z,25,FALSE)+VLOOKUP($A83,A:AL,37,FALSE)-50),"-",(VLOOKUP($A83,'SegEnds_NonXtal_BW#'!$A:$Z,25,FALSE)+VLOOKUP($A83,A:AL,37,FALSE)-50))</f>
        <v>301</v>
      </c>
      <c r="AK83" s="3">
        <v>304</v>
      </c>
      <c r="AL83" s="3">
        <f>IF(ISERROR((VLOOKUP($A83,'SegEnds_NonXtal_BW#'!$A:$Z,26,FALSE)+VLOOKUP($A83,A:AL,37,FALSE)-50)),"-",(VLOOKUP($A83,'SegEnds_NonXtal_BW#'!$A:$Z,26,FALSE)+VLOOKUP($A83,A:AL,37,FALSE)-50))</f>
        <v>313</v>
      </c>
      <c r="AM83" s="28" t="str">
        <f>VLOOKUP(A83,Classification!A:B,2,FALSE)</f>
        <v>A</v>
      </c>
      <c r="AN83" s="28" t="b">
        <f>AND(IF(Y83="-",IF(AA83-W83&gt;3,TRUE,FALSE),TRUE),IF(M83="-",IF(O83-K83&gt;3,TRUE,FALSE),TRUE),C83&lt;E83,OR(E83&lt;F83,F83="-"),OR(F83&lt;H83,F83="-"),OR(H83&lt;I83,H83="-"),I83&lt;K83,OR(K83&lt;L83,L83="-"),OR(L83&lt;N83,L83="-"),OR(N83&lt;O83,N83="-"),O83&lt;Q83,OR(Q83&lt;R83,R83="-"),OR(R83&lt;T83,R83="-"),OR(T83&lt;U83,T83="-"),U83&lt;W83,OR(W83&lt;X83,X83="-"),OR(X83&lt;Z83,X83="-"),OR(Z83&lt;AA83,Z83="-"),AA83&lt;AC83,AC83&lt;AD83,AD83&lt;AF83,AF83&lt;AG83,AG83&lt;AI83,OR(AI83&lt;AJ83,AJ83="-"),OR(AJ83&lt;AL83,AJ83="-"))</f>
        <v>1</v>
      </c>
      <c r="AO83" s="3" t="str">
        <f>IF(ISERROR(MATCH(A83,'SegEnds_Xtal_Prot#'!B:B, 0)), "NoXtal", "Xtal")</f>
        <v>Xtal</v>
      </c>
      <c r="AP83" s="3">
        <f>IF(ISERROR(F83-E83),"-",F83-E83)</f>
        <v>1</v>
      </c>
      <c r="AQ83" s="3">
        <f>IF(ISERROR(I83-H83),"-",I83-H83)</f>
        <v>1</v>
      </c>
      <c r="AR83" s="3">
        <f>IF(ISERROR(L83-K83),"-",L83-K83)</f>
        <v>1</v>
      </c>
      <c r="AS83" s="3">
        <f>IF(ISERROR(O83-N83),"-",O83-N83)</f>
        <v>1</v>
      </c>
      <c r="AT83" s="3">
        <f>IF(ISERROR(R83-Q83),"-",R83-Q83)</f>
        <v>1</v>
      </c>
      <c r="AU83" s="3">
        <f>IF(ISERROR(U83-T83),"-",U83-T83)</f>
        <v>1</v>
      </c>
      <c r="AV83" s="3">
        <f>IF(ISERROR(X83-W83),"-",X83-W83)</f>
        <v>11</v>
      </c>
      <c r="AW83" s="3">
        <f>IF(ISERROR(AA83-Z83),"-",AA83-Z83)</f>
        <v>6</v>
      </c>
      <c r="AX83" s="3">
        <f>IF(ISERROR(AD83-AC83),"-",AD83-AC83)</f>
        <v>4</v>
      </c>
      <c r="AY83" s="3">
        <f>IF(ISERROR(AG83-AF83),"-",AG83-AF83)</f>
        <v>3</v>
      </c>
      <c r="AZ83" s="3">
        <f>IF(ISERROR(AJ83-AI83),"-",AJ83-AI83)</f>
        <v>1</v>
      </c>
      <c r="BA83" s="3">
        <f>IF(ISERROR(LEN(VLOOKUP(A83,Seqs!A:E,2,FALSE))-AL83),"-",LEN(VLOOKUP(A83,Seqs!A:E,2,FALSE))-AL83)</f>
        <v>39</v>
      </c>
      <c r="BB83" s="16">
        <f>J83-D83</f>
        <v>28</v>
      </c>
      <c r="BC83" s="3">
        <f>IF(ISERROR(V83-S83),"-",V83-S83)</f>
        <v>20</v>
      </c>
      <c r="BD83" s="3">
        <f>J83-D83</f>
        <v>28</v>
      </c>
      <c r="BE83" s="3">
        <f>AE83-AB83</f>
        <v>44</v>
      </c>
    </row>
    <row r="84" spans="1:58" s="3" customFormat="1" x14ac:dyDescent="0.2">
      <c r="A84" s="3" t="s">
        <v>176</v>
      </c>
      <c r="B84" s="3" t="str">
        <f>LOWER(VLOOKUP(A84,Xtal_Templ!A:B,2,FALSE))</f>
        <v>ccr5_human</v>
      </c>
      <c r="C84" s="3">
        <f>VLOOKUP($A84,'SegEnds_NonXtal_BW#'!$A:$Z,3,FALSE)+D84-50</f>
        <v>27</v>
      </c>
      <c r="D84" s="3">
        <v>53</v>
      </c>
      <c r="E84" s="3">
        <f>IF(ISERROR(VLOOKUP($A84,'SegEnds_NonXtal_BW#'!$A:$Z,4,FALSE)+VLOOKUP($A84,A:AL,4,FALSE)-50),"-",(VLOOKUP($A84,'SegEnds_NonXtal_BW#'!$A:$Z,4,FALSE)+VLOOKUP($A84,A:AL,4,FALSE)-50))</f>
        <v>63</v>
      </c>
      <c r="F84" s="3">
        <f>G84-2</f>
        <v>64</v>
      </c>
      <c r="G84" s="3">
        <v>66</v>
      </c>
      <c r="H84" s="3">
        <f>G84+1</f>
        <v>67</v>
      </c>
      <c r="I84" s="3">
        <f>H84+1</f>
        <v>68</v>
      </c>
      <c r="J84" s="3">
        <v>81</v>
      </c>
      <c r="K84" s="3">
        <f>VLOOKUP($A84,'SegEnds_NonXtal_BW#'!$A:$Z,8,FALSE)+VLOOKUP($A84,A:AL,10,FALSE)-50</f>
        <v>97</v>
      </c>
      <c r="L84" s="3">
        <f>M84-1</f>
        <v>98</v>
      </c>
      <c r="M84" s="3">
        <v>99</v>
      </c>
      <c r="N84" s="3">
        <f>M84+2</f>
        <v>101</v>
      </c>
      <c r="O84" s="3">
        <f>N84+1</f>
        <v>102</v>
      </c>
      <c r="P84" s="3">
        <v>131</v>
      </c>
      <c r="Q84" s="3">
        <f>VLOOKUP($A84,'SegEnds_NonXtal_BW#'!$A:$Z,12,FALSE)+VLOOKUP($A84,A:AL,16,FALSE)-50</f>
        <v>137</v>
      </c>
      <c r="R84" s="3">
        <f>IF(ISERROR(VLOOKUP($A84,'SegEnds_NonXtal_BW#'!$A:$Z,13,FALSE)+VLOOKUP($A84,A:AL,19,FALSE)-50),"-",VLOOKUP($A84,'SegEnds_NonXtal_BW#'!$A:$Z,13,FALSE)+VLOOKUP($A84,A:AL,19,FALSE)-50)</f>
        <v>138</v>
      </c>
      <c r="S84" s="3">
        <v>138</v>
      </c>
      <c r="T84" s="103">
        <f>IF(ISERROR(VLOOKUP($A84,'SegEnds_NonXtal_BW#'!$A:$Z,14,FALSE)+VLOOKUP($A84,A:AL,19,FALSE)-50),"-",(VLOOKUP($A84,'SegEnds_NonXtal_BW#'!$A:$Z,14,FALSE)+VLOOKUP($A84,A:AL,19,FALSE)-50))</f>
        <v>145</v>
      </c>
      <c r="U84" s="9">
        <f>IF(ISERROR(VLOOKUP($A84,'SegEnds_NonXtal_BW#'!$A:$Z,15,FALSE)+VLOOKUP($A84,A:AL,22,FALSE)-50),"-",VLOOKUP($A84,'SegEnds_NonXtal_BW#'!$A:$Z,15,FALSE)+VLOOKUP($A84,A:AL,22,FALSE)-50)</f>
        <v>146</v>
      </c>
      <c r="V84" s="3">
        <v>158</v>
      </c>
      <c r="W84" s="3">
        <f>IF(ISERROR(VLOOKUP($A84,'SegEnds_NonXtal_BW#'!$A:$Z,16,FALSE)+VLOOKUP($A84,A:AL,22,FALSE)-50),"-",(VLOOKUP($A84,'SegEnds_NonXtal_BW#'!$A:$Z,16,FALSE)+VLOOKUP($A84,A:AL,22,FALSE)-50))</f>
        <v>172</v>
      </c>
      <c r="X84" s="3">
        <f>IF(ISERROR(VLOOKUP($A84,'SegEnds_NonXtal_BW#'!$A:$Z,17,FALSE)+VLOOKUP($A84,A:AL,25,FALSE)-50),"-",(VLOOKUP($A84,'SegEnds_NonXtal_BW#'!$A:$Z,17,FALSE)+VLOOKUP($A84,A:AL,25,FALSE)-50))</f>
        <v>183</v>
      </c>
      <c r="Y84" s="3">
        <v>183</v>
      </c>
      <c r="Z84" s="3">
        <f>Y84+2</f>
        <v>185</v>
      </c>
      <c r="AA84" s="3">
        <f>IF(ISERROR(VLOOKUP($A84,'SegEnds_NonXtal_BW#'!$A:$Z,19,FALSE)+VLOOKUP($A84,A:AL,28,FALSE)-50),"-",(VLOOKUP($A84,'SegEnds_NonXtal_BW#'!$A:$Z,19,FALSE)+VLOOKUP($A84,A:AL,28,FALSE)-50))</f>
        <v>190</v>
      </c>
      <c r="AB84" s="3">
        <v>210</v>
      </c>
      <c r="AC84" s="3">
        <f>IF(ISERROR((VLOOKUP($A84,'SegEnds_NonXtal_BW#'!$A:$Z,20,FALSE)+VLOOKUP($A84,A:AL,28,FALSE)-50)),"-",(VLOOKUP($A84,'SegEnds_NonXtal_BW#'!$A:$Z,20,FALSE)+VLOOKUP($A84,A:AL,28,FALSE)-50))</f>
        <v>228</v>
      </c>
      <c r="AD84" s="3">
        <f>IF(ISERROR(VLOOKUP($A84,'SegEnds_NonXtal_BW#'!$A:$Z,21,FALSE)+VLOOKUP($A84,A:AL,31,FALSE)-50),"-",(VLOOKUP($A84,'SegEnds_NonXtal_BW#'!$A:$Z,21,FALSE)+VLOOKUP($A84,A:AL,31,FALSE)-50))</f>
        <v>233</v>
      </c>
      <c r="AE84" s="3">
        <v>253</v>
      </c>
      <c r="AF84" s="3">
        <f>IF(ISERROR((VLOOKUP($A84,'SegEnds_NonXtal_BW#'!$A:$Z,22,FALSE)+VLOOKUP($A84,A:AL,31,FALSE)-50)),"-",(VLOOKUP($A84,'SegEnds_NonXtal_BW#'!$A:$Z,22,FALSE)+VLOOKUP($A84,A:AL,31,FALSE)-50))</f>
        <v>268</v>
      </c>
      <c r="AG84" s="3">
        <f>IF(ISERROR(VLOOKUP($A84,'SegEnds_NonXtal_BW#'!$A:$Z,23,FALSE)+VLOOKUP($A84,A:AL,34,FALSE)-50),"-",(VLOOKUP($A84,'SegEnds_NonXtal_BW#'!$A:$Z,23,FALSE)+VLOOKUP($A84,A:AL,34,FALSE)-50))</f>
        <v>271</v>
      </c>
      <c r="AH84" s="3">
        <v>297</v>
      </c>
      <c r="AI84" s="3">
        <f>IF(ISERROR((VLOOKUP($A84,'SegEnds_NonXtal_BW#'!$A:$Z,24,FALSE)+VLOOKUP($A84,A:AL,34,FALSE)-50)),"-",(VLOOKUP($A84,'SegEnds_NonXtal_BW#'!$A:$Z,24,FALSE)+VLOOKUP($A84,A:AL,34,FALSE)-50))</f>
        <v>303</v>
      </c>
      <c r="AJ84" s="3">
        <f>IF(ISERROR(VLOOKUP($A84,'SegEnds_NonXtal_BW#'!$A:$Z,25,FALSE)+VLOOKUP($A84,A:AL,37,FALSE)-50),"-",(VLOOKUP($A84,'SegEnds_NonXtal_BW#'!$A:$Z,25,FALSE)+VLOOKUP($A84,A:AL,37,FALSE)-50))</f>
        <v>304</v>
      </c>
      <c r="AK84" s="3">
        <v>307</v>
      </c>
      <c r="AL84" s="3">
        <f>IF(ISERROR((VLOOKUP($A84,'SegEnds_NonXtal_BW#'!$A:$Z,26,FALSE)+VLOOKUP($A84,A:AL,37,FALSE)-50)),"-",(VLOOKUP($A84,'SegEnds_NonXtal_BW#'!$A:$Z,26,FALSE)+VLOOKUP($A84,A:AL,37,FALSE)-50))</f>
        <v>316</v>
      </c>
      <c r="AM84" s="28" t="str">
        <f>VLOOKUP(A84,Classification!A:B,2,FALSE)</f>
        <v>A</v>
      </c>
      <c r="AN84" s="28" t="b">
        <f>AND(IF(Y84="-",IF(AA84-W84&gt;3,TRUE,FALSE),TRUE),IF(M84="-",IF(O84-K84&gt;3,TRUE,FALSE),TRUE),C84&lt;E84,OR(E84&lt;F84,F84="-"),OR(F84&lt;H84,F84="-"),OR(H84&lt;I84,H84="-"),I84&lt;K84,OR(K84&lt;L84,L84="-"),OR(L84&lt;N84,L84="-"),OR(N84&lt;O84,N84="-"),O84&lt;Q84,OR(Q84&lt;R84,R84="-"),OR(R84&lt;T84,R84="-"),OR(T84&lt;U84,T84="-"),U84&lt;W84,OR(W84&lt;X84,X84="-"),OR(X84&lt;Z84,X84="-"),OR(Z84&lt;AA84,Z84="-"),AA84&lt;AC84,AC84&lt;AD84,AD84&lt;AF84,AF84&lt;AG84,AG84&lt;AI84,OR(AI84&lt;AJ84,AJ84="-"),OR(AJ84&lt;AL84,AJ84="-"))</f>
        <v>1</v>
      </c>
      <c r="AO84" s="3" t="str">
        <f>IF(ISERROR(MATCH(A84,'SegEnds_Xtal_Prot#'!B:B, 0)), "NoXtal", "Xtal")</f>
        <v>NoXtal</v>
      </c>
      <c r="AP84" s="3">
        <f>IF(ISERROR(F84-E84),"-",F84-E84)</f>
        <v>1</v>
      </c>
      <c r="AQ84" s="3">
        <f>IF(ISERROR(I84-H84),"-",I84-H84)</f>
        <v>1</v>
      </c>
      <c r="AR84" s="3">
        <f>IF(ISERROR(L84-K84),"-",L84-K84)</f>
        <v>1</v>
      </c>
      <c r="AS84" s="3">
        <f>IF(ISERROR(O84-N84),"-",O84-N84)</f>
        <v>1</v>
      </c>
      <c r="AT84" s="3">
        <f>IF(ISERROR(R84-Q84),"-",R84-Q84)</f>
        <v>1</v>
      </c>
      <c r="AU84" s="3">
        <f>IF(ISERROR(U84-T84),"-",U84-T84)</f>
        <v>1</v>
      </c>
      <c r="AV84" s="3">
        <f>IF(ISERROR(X84-W84),"-",X84-W84)</f>
        <v>11</v>
      </c>
      <c r="AW84" s="3">
        <f>IF(ISERROR(AA84-Z84),"-",AA84-Z84)</f>
        <v>5</v>
      </c>
      <c r="AX84" s="3">
        <f>IF(ISERROR(AD84-AC84),"-",AD84-AC84)</f>
        <v>5</v>
      </c>
      <c r="AY84" s="3">
        <f>IF(ISERROR(AG84-AF84),"-",AG84-AF84)</f>
        <v>3</v>
      </c>
      <c r="AZ84" s="3">
        <f>IF(ISERROR(AJ84-AI84),"-",AJ84-AI84)</f>
        <v>1</v>
      </c>
      <c r="BA84" s="3">
        <f>IF(ISERROR(LEN(VLOOKUP(A84,Seqs!A:E,2,FALSE))-AL84),"-",LEN(VLOOKUP(A84,Seqs!A:E,2,FALSE))-AL84)</f>
        <v>39</v>
      </c>
      <c r="BB84" s="16">
        <f>J84-D84</f>
        <v>28</v>
      </c>
      <c r="BC84" s="9">
        <f>IF(ISERROR(V84-S84),"-",V84-S84)</f>
        <v>20</v>
      </c>
      <c r="BD84" s="3">
        <f>J84-D84</f>
        <v>28</v>
      </c>
      <c r="BE84" s="3">
        <f>AE84-AB84</f>
        <v>43</v>
      </c>
    </row>
    <row r="85" spans="1:58" s="3" customFormat="1" x14ac:dyDescent="0.2">
      <c r="A85" s="3" t="s">
        <v>179</v>
      </c>
      <c r="B85" s="3" t="str">
        <f>LOWER(VLOOKUP(A85,Xtal_Templ!A:B,2,FALSE))</f>
        <v>p2ry1_human</v>
      </c>
      <c r="C85" s="3">
        <f>VLOOKUP($A85,'SegEnds_NonXtal_BW#'!$A:$Z,3,FALSE)+D85-50</f>
        <v>21</v>
      </c>
      <c r="D85" s="3">
        <v>41</v>
      </c>
      <c r="E85" s="3">
        <f>IF(ISERROR(VLOOKUP($A85,'SegEnds_NonXtal_BW#'!$A:$Z,4,FALSE)+VLOOKUP($A85,A:AL,4,FALSE)-50),"-",(VLOOKUP($A85,'SegEnds_NonXtal_BW#'!$A:$Z,4,FALSE)+VLOOKUP($A85,A:AL,4,FALSE)-50))</f>
        <v>51</v>
      </c>
      <c r="F85" s="3" t="str">
        <f>IF(ISERROR(VLOOKUP($A85,'SegEnds_NonXtal_BW#'!$A:$Z,5,FALSE)+VLOOKUP($A85,A:AL,7,FALSE)-50),"-",(VLOOKUP($A85,'SegEnds_NonXtal_BW#'!$A:$Z,5,FALSE)+VLOOKUP($A85,A:AL,7,FALSE)-50))</f>
        <v>-</v>
      </c>
      <c r="G85" s="3" t="s">
        <v>23</v>
      </c>
      <c r="H85" s="3" t="str">
        <f>IF(ISERROR(VLOOKUP($A85,'SegEnds_NonXtal_BW#'!$A:$Z,6,FALSE)+VLOOKUP($A85,A:AL,7,FALSE)-50),"-",(VLOOKUP($A85,'SegEnds_NonXtal_BW#'!$A:$Z,6,FALSE)+VLOOKUP($A85,A:AL,7,FALSE)-50))</f>
        <v>-</v>
      </c>
      <c r="I85" s="3">
        <f>VLOOKUP($A85,'SegEnds_NonXtal_BW#'!$A:$Z,7,FALSE)+J85-50</f>
        <v>56</v>
      </c>
      <c r="J85" s="3">
        <v>69</v>
      </c>
      <c r="K85" s="3">
        <f>VLOOKUP($A85,'SegEnds_NonXtal_BW#'!$A:$Z,8,FALSE)+VLOOKUP($A85,A:AL,10,FALSE)-50</f>
        <v>85</v>
      </c>
      <c r="L85" s="3">
        <f>M85-1</f>
        <v>88</v>
      </c>
      <c r="M85" s="3">
        <v>89</v>
      </c>
      <c r="N85" s="3">
        <f>M85+2</f>
        <v>91</v>
      </c>
      <c r="O85" s="3">
        <f>N85+1</f>
        <v>92</v>
      </c>
      <c r="P85" s="3">
        <v>121</v>
      </c>
      <c r="Q85" s="3">
        <f>VLOOKUP($A85,'SegEnds_NonXtal_BW#'!$A:$Z,12,FALSE)+VLOOKUP($A85,A:AL,16,FALSE)-50</f>
        <v>127</v>
      </c>
      <c r="R85" s="3">
        <f>IF(ISERROR(VLOOKUP($A85,'SegEnds_NonXtal_BW#'!$A:$Z,13,FALSE)+VLOOKUP($A85,A:AL,19,FALSE)-50),"-",VLOOKUP($A85,'SegEnds_NonXtal_BW#'!$A:$Z,13,FALSE)+VLOOKUP($A85,A:AL,19,FALSE)-50)</f>
        <v>128</v>
      </c>
      <c r="S85" s="3">
        <v>128</v>
      </c>
      <c r="T85" s="103">
        <f>IF(ISERROR(VLOOKUP($A85,'SegEnds_NonXtal_BW#'!$A:$Z,14,FALSE)+VLOOKUP($A85,A:AL,19,FALSE)-50),"-",(VLOOKUP($A85,'SegEnds_NonXtal_BW#'!$A:$Z,14,FALSE)+VLOOKUP($A85,A:AL,19,FALSE)-50))</f>
        <v>135</v>
      </c>
      <c r="U85" s="9">
        <f>IF(ISERROR(VLOOKUP($A85,'SegEnds_NonXtal_BW#'!$A:$Z,15,FALSE)+VLOOKUP($A85,A:AL,22,FALSE)-50),"-",VLOOKUP($A85,'SegEnds_NonXtal_BW#'!$A:$Z,15,FALSE)+VLOOKUP($A85,A:AL,22,FALSE)-50)</f>
        <v>136</v>
      </c>
      <c r="V85" s="3">
        <v>148</v>
      </c>
      <c r="W85" s="3">
        <f>IF(ISERROR(VLOOKUP($A85,'SegEnds_NonXtal_BW#'!$A:$Z,16,FALSE)+VLOOKUP($A85,A:AL,22,FALSE)-50),"-",(VLOOKUP($A85,'SegEnds_NonXtal_BW#'!$A:$Z,16,FALSE)+VLOOKUP($A85,A:AL,22,FALSE)-50))</f>
        <v>162</v>
      </c>
      <c r="X85" s="3">
        <f>IF(ISERROR(VLOOKUP($A85,'SegEnds_NonXtal_BW#'!$A:$Z,17,FALSE)+VLOOKUP($A85,A:AL,25,FALSE)-50),"-",(VLOOKUP($A85,'SegEnds_NonXtal_BW#'!$A:$Z,17,FALSE)+VLOOKUP($A85,A:AL,25,FALSE)-50))</f>
        <v>173</v>
      </c>
      <c r="Y85" s="3">
        <v>173</v>
      </c>
      <c r="Z85" s="3">
        <f>Y85+2</f>
        <v>175</v>
      </c>
      <c r="AA85" s="3">
        <f>IF(ISERROR(VLOOKUP($A85,'SegEnds_NonXtal_BW#'!$A:$Z,19,FALSE)+VLOOKUP($A85,A:AL,28,FALSE)-50),"-",(VLOOKUP($A85,'SegEnds_NonXtal_BW#'!$A:$Z,19,FALSE)+VLOOKUP($A85,A:AL,28,FALSE)-50))</f>
        <v>183</v>
      </c>
      <c r="AB85" s="3">
        <v>201</v>
      </c>
      <c r="AC85" s="3">
        <f>IF(ISERROR((VLOOKUP($A85,'SegEnds_NonXtal_BW#'!$A:$Z,20,FALSE)+VLOOKUP($A85,A:AL,28,FALSE)-50)),"-",(VLOOKUP($A85,'SegEnds_NonXtal_BW#'!$A:$Z,20,FALSE)+VLOOKUP($A85,A:AL,28,FALSE)-50))</f>
        <v>218</v>
      </c>
      <c r="AD85" s="3">
        <f>IF(ISERROR(VLOOKUP($A85,'SegEnds_NonXtal_BW#'!$A:$Z,21,FALSE)+VLOOKUP($A85,A:AL,31,FALSE)-50),"-",(VLOOKUP($A85,'SegEnds_NonXtal_BW#'!$A:$Z,21,FALSE)+VLOOKUP($A85,A:AL,31,FALSE)-50))</f>
        <v>224</v>
      </c>
      <c r="AE85" s="3">
        <v>248</v>
      </c>
      <c r="AF85" s="3">
        <f>IF(ISERROR((VLOOKUP($A85,'SegEnds_NonXtal_BW#'!$A:$Z,22,FALSE)+VLOOKUP($A85,A:AL,31,FALSE)-50)),"-",(VLOOKUP($A85,'SegEnds_NonXtal_BW#'!$A:$Z,22,FALSE)+VLOOKUP($A85,A:AL,31,FALSE)-50))</f>
        <v>262</v>
      </c>
      <c r="AG85" s="3">
        <f>IF(ISERROR(VLOOKUP($A85,'SegEnds_NonXtal_BW#'!$A:$Z,23,FALSE)+VLOOKUP($A85,A:AL,34,FALSE)-50),"-",(VLOOKUP($A85,'SegEnds_NonXtal_BW#'!$A:$Z,23,FALSE)+VLOOKUP($A85,A:AL,34,FALSE)-50))</f>
        <v>266</v>
      </c>
      <c r="AH85" s="3">
        <v>292</v>
      </c>
      <c r="AI85" s="3">
        <f>IF(ISERROR((VLOOKUP($A85,'SegEnds_NonXtal_BW#'!$A:$Z,24,FALSE)+VLOOKUP($A85,A:AL,34,FALSE)-50)),"-",(VLOOKUP($A85,'SegEnds_NonXtal_BW#'!$A:$Z,24,FALSE)+VLOOKUP($A85,A:AL,34,FALSE)-50))</f>
        <v>298</v>
      </c>
      <c r="AJ85" s="3">
        <f>IF(ISERROR(VLOOKUP($A85,'SegEnds_NonXtal_BW#'!$A:$Z,25,FALSE)+VLOOKUP($A85,A:AL,37,FALSE)-50),"-",(VLOOKUP($A85,'SegEnds_NonXtal_BW#'!$A:$Z,25,FALSE)+VLOOKUP($A85,A:AL,37,FALSE)-50))</f>
        <v>299</v>
      </c>
      <c r="AK85" s="3">
        <v>302</v>
      </c>
      <c r="AL85" s="3">
        <f>IF(ISERROR((VLOOKUP($A85,'SegEnds_NonXtal_BW#'!$A:$Z,26,FALSE)+VLOOKUP($A85,A:AL,37,FALSE)-50)),"-",(VLOOKUP($A85,'SegEnds_NonXtal_BW#'!$A:$Z,26,FALSE)+VLOOKUP($A85,A:AL,37,FALSE)-50))</f>
        <v>311</v>
      </c>
      <c r="AM85" s="28" t="str">
        <f>VLOOKUP(A85,Classification!A:B,2,FALSE)</f>
        <v>A</v>
      </c>
      <c r="AN85" s="28" t="b">
        <f>AND(IF(Y85="-",IF(AA85-W85&gt;3,TRUE,FALSE),TRUE),IF(M85="-",IF(O85-K85&gt;3,TRUE,FALSE),TRUE),C85&lt;E85,OR(E85&lt;F85,F85="-"),OR(F85&lt;H85,F85="-"),OR(H85&lt;I85,H85="-"),I85&lt;K85,OR(K85&lt;L85,L85="-"),OR(L85&lt;N85,L85="-"),OR(N85&lt;O85,N85="-"),O85&lt;Q85,OR(Q85&lt;R85,R85="-"),OR(R85&lt;T85,R85="-"),OR(T85&lt;U85,T85="-"),U85&lt;W85,OR(W85&lt;X85,X85="-"),OR(X85&lt;Z85,X85="-"),OR(Z85&lt;AA85,Z85="-"),AA85&lt;AC85,AC85&lt;AD85,AD85&lt;AF85,AF85&lt;AG85,AG85&lt;AI85,OR(AI85&lt;AJ85,AJ85="-"),OR(AJ85&lt;AL85,AJ85="-"))</f>
        <v>1</v>
      </c>
      <c r="AO85" s="3" t="str">
        <f>IF(ISERROR(MATCH(A85,'SegEnds_Xtal_Prot#'!B:B, 0)), "NoXtal", "Xtal")</f>
        <v>NoXtal</v>
      </c>
      <c r="AP85" s="3" t="str">
        <f>IF(ISERROR(F85-E85),"-",F85-E85)</f>
        <v>-</v>
      </c>
      <c r="AQ85" s="3" t="str">
        <f>IF(ISERROR(I85-H85),"-",I85-H85)</f>
        <v>-</v>
      </c>
      <c r="AR85" s="3">
        <f>IF(ISERROR(L85-K85),"-",L85-K85)</f>
        <v>3</v>
      </c>
      <c r="AS85" s="3">
        <f>IF(ISERROR(O85-N85),"-",O85-N85)</f>
        <v>1</v>
      </c>
      <c r="AT85" s="3">
        <f>IF(ISERROR(R85-Q85),"-",R85-Q85)</f>
        <v>1</v>
      </c>
      <c r="AU85" s="3">
        <f>IF(ISERROR(U85-T85),"-",U85-T85)</f>
        <v>1</v>
      </c>
      <c r="AV85" s="3">
        <f>IF(ISERROR(X85-W85),"-",X85-W85)</f>
        <v>11</v>
      </c>
      <c r="AW85" s="3">
        <f>IF(ISERROR(AA85-Z85),"-",AA85-Z85)</f>
        <v>8</v>
      </c>
      <c r="AX85" s="3">
        <f>IF(ISERROR(AD85-AC85),"-",AD85-AC85)</f>
        <v>6</v>
      </c>
      <c r="AY85" s="3">
        <f>IF(ISERROR(AG85-AF85),"-",AG85-AF85)</f>
        <v>4</v>
      </c>
      <c r="AZ85" s="3">
        <f>IF(ISERROR(AJ85-AI85),"-",AJ85-AI85)</f>
        <v>1</v>
      </c>
      <c r="BA85" s="3">
        <f>IF(ISERROR(LEN(VLOOKUP(A85,Seqs!A:E,2,FALSE))-AL85),"-",LEN(VLOOKUP(A85,Seqs!A:E,2,FALSE))-AL85)</f>
        <v>26</v>
      </c>
      <c r="BB85" s="16">
        <f>J85-D85</f>
        <v>28</v>
      </c>
      <c r="BC85" s="9">
        <f>IF(ISERROR(V85-S85),"-",V85-S85)</f>
        <v>20</v>
      </c>
      <c r="BD85" s="3">
        <f>J85-D85</f>
        <v>28</v>
      </c>
      <c r="BE85" s="3">
        <f>AE85-AB85</f>
        <v>47</v>
      </c>
      <c r="BF85" s="3">
        <f>AH85-AE85</f>
        <v>44</v>
      </c>
    </row>
    <row r="86" spans="1:58" s="3" customFormat="1" x14ac:dyDescent="0.2">
      <c r="A86" s="3" t="s">
        <v>180</v>
      </c>
      <c r="B86" s="3" t="str">
        <f>LOWER(VLOOKUP(A86,Xtal_Templ!A:B,2,FALSE))</f>
        <v>p2ry1_human</v>
      </c>
      <c r="C86" s="3">
        <f>VLOOKUP($A86,'SegEnds_NonXtal_BW#'!$A:$Z,3,FALSE)+D86-50</f>
        <v>36</v>
      </c>
      <c r="D86" s="3">
        <v>56</v>
      </c>
      <c r="E86" s="3">
        <f>IF(ISERROR(VLOOKUP($A86,'SegEnds_NonXtal_BW#'!$A:$Z,4,FALSE)+VLOOKUP($A86,A:AL,4,FALSE)-50),"-",(VLOOKUP($A86,'SegEnds_NonXtal_BW#'!$A:$Z,4,FALSE)+VLOOKUP($A86,A:AL,4,FALSE)-50))</f>
        <v>66</v>
      </c>
      <c r="F86" s="3" t="str">
        <f>IF(ISERROR(VLOOKUP($A86,'SegEnds_NonXtal_BW#'!$A:$Z,5,FALSE)+VLOOKUP($A86,A:AL,7,FALSE)-50),"-",(VLOOKUP($A86,'SegEnds_NonXtal_BW#'!$A:$Z,5,FALSE)+VLOOKUP($A86,A:AL,7,FALSE)-50))</f>
        <v>-</v>
      </c>
      <c r="G86" s="3" t="s">
        <v>23</v>
      </c>
      <c r="H86" s="3" t="str">
        <f>IF(ISERROR(VLOOKUP($A86,'SegEnds_NonXtal_BW#'!$A:$Z,6,FALSE)+VLOOKUP($A86,A:AL,7,FALSE)-50),"-",(VLOOKUP($A86,'SegEnds_NonXtal_BW#'!$A:$Z,6,FALSE)+VLOOKUP($A86,A:AL,7,FALSE)-50))</f>
        <v>-</v>
      </c>
      <c r="I86" s="3">
        <f>VLOOKUP($A86,'SegEnds_NonXtal_BW#'!$A:$Z,7,FALSE)+J86-50</f>
        <v>71</v>
      </c>
      <c r="J86" s="3">
        <v>84</v>
      </c>
      <c r="K86" s="3">
        <f>VLOOKUP($A86,'SegEnds_NonXtal_BW#'!$A:$Z,8,FALSE)+VLOOKUP($A86,A:AL,10,FALSE)-50</f>
        <v>100</v>
      </c>
      <c r="L86" s="3">
        <f>M86-1</f>
        <v>103</v>
      </c>
      <c r="M86" s="3">
        <v>104</v>
      </c>
      <c r="N86" s="3">
        <f>M86+2</f>
        <v>106</v>
      </c>
      <c r="O86" s="3">
        <f>N86+1</f>
        <v>107</v>
      </c>
      <c r="P86" s="3">
        <v>136</v>
      </c>
      <c r="Q86" s="3">
        <f>VLOOKUP($A86,'SegEnds_NonXtal_BW#'!$A:$Z,12,FALSE)+VLOOKUP($A86,A:AL,16,FALSE)-50</f>
        <v>142</v>
      </c>
      <c r="R86" s="3">
        <f>IF(ISERROR(VLOOKUP($A86,'SegEnds_NonXtal_BW#'!$A:$Z,13,FALSE)+VLOOKUP($A86,A:AL,19,FALSE)-50),"-",VLOOKUP($A86,'SegEnds_NonXtal_BW#'!$A:$Z,13,FALSE)+VLOOKUP($A86,A:AL,19,FALSE)-50)</f>
        <v>143</v>
      </c>
      <c r="S86" s="3">
        <v>143</v>
      </c>
      <c r="T86" s="103">
        <f>IF(ISERROR(VLOOKUP($A86,'SegEnds_NonXtal_BW#'!$A:$Z,14,FALSE)+VLOOKUP($A86,A:AL,19,FALSE)-50),"-",(VLOOKUP($A86,'SegEnds_NonXtal_BW#'!$A:$Z,14,FALSE)+VLOOKUP($A86,A:AL,19,FALSE)-50))</f>
        <v>150</v>
      </c>
      <c r="U86" s="9">
        <f>IF(ISERROR(VLOOKUP($A86,'SegEnds_NonXtal_BW#'!$A:$Z,15,FALSE)+VLOOKUP($A86,A:AL,22,FALSE)-50),"-",VLOOKUP($A86,'SegEnds_NonXtal_BW#'!$A:$Z,15,FALSE)+VLOOKUP($A86,A:AL,22,FALSE)-50)</f>
        <v>151</v>
      </c>
      <c r="V86" s="3">
        <v>163</v>
      </c>
      <c r="W86" s="3">
        <f>IF(ISERROR(VLOOKUP($A86,'SegEnds_NonXtal_BW#'!$A:$Z,16,FALSE)+VLOOKUP($A86,A:AL,22,FALSE)-50),"-",(VLOOKUP($A86,'SegEnds_NonXtal_BW#'!$A:$Z,16,FALSE)+VLOOKUP($A86,A:AL,22,FALSE)-50))</f>
        <v>177</v>
      </c>
      <c r="X86" s="3">
        <f>IF(ISERROR(VLOOKUP($A86,'SegEnds_NonXtal_BW#'!$A:$Z,17,FALSE)+VLOOKUP($A86,A:AL,25,FALSE)-50),"-",(VLOOKUP($A86,'SegEnds_NonXtal_BW#'!$A:$Z,17,FALSE)+VLOOKUP($A86,A:AL,25,FALSE)-50))</f>
        <v>187</v>
      </c>
      <c r="Y86" s="3">
        <v>187</v>
      </c>
      <c r="Z86" s="3">
        <f>Y86+2</f>
        <v>189</v>
      </c>
      <c r="AA86" s="3">
        <f>IF(ISERROR(VLOOKUP($A86,'SegEnds_NonXtal_BW#'!$A:$Z,19,FALSE)+VLOOKUP($A86,A:AL,28,FALSE)-50),"-",(VLOOKUP($A86,'SegEnds_NonXtal_BW#'!$A:$Z,19,FALSE)+VLOOKUP($A86,A:AL,28,FALSE)-50))</f>
        <v>195</v>
      </c>
      <c r="AB86" s="3">
        <v>213</v>
      </c>
      <c r="AC86" s="3">
        <f>IF(ISERROR((VLOOKUP($A86,'SegEnds_NonXtal_BW#'!$A:$Z,20,FALSE)+VLOOKUP($A86,A:AL,28,FALSE)-50)),"-",(VLOOKUP($A86,'SegEnds_NonXtal_BW#'!$A:$Z,20,FALSE)+VLOOKUP($A86,A:AL,28,FALSE)-50))</f>
        <v>231</v>
      </c>
      <c r="AD86" s="3">
        <f>IF(ISERROR(VLOOKUP($A86,'SegEnds_NonXtal_BW#'!$A:$Z,21,FALSE)+VLOOKUP($A86,A:AL,31,FALSE)-50),"-",(VLOOKUP($A86,'SegEnds_NonXtal_BW#'!$A:$Z,21,FALSE)+VLOOKUP($A86,A:AL,31,FALSE)-50))</f>
        <v>236</v>
      </c>
      <c r="AE86" s="3">
        <v>262</v>
      </c>
      <c r="AF86" s="3">
        <f>IF(ISERROR((VLOOKUP($A86,'SegEnds_NonXtal_BW#'!$A:$Z,22,FALSE)+VLOOKUP($A86,A:AL,31,FALSE)-50)),"-",(VLOOKUP($A86,'SegEnds_NonXtal_BW#'!$A:$Z,22,FALSE)+VLOOKUP($A86,A:AL,31,FALSE)-50))</f>
        <v>273</v>
      </c>
      <c r="AG86" s="3">
        <f>IF(ISERROR(VLOOKUP($A86,'SegEnds_NonXtal_BW#'!$A:$Z,23,FALSE)+VLOOKUP($A86,A:AL,34,FALSE)-50),"-",(VLOOKUP($A86,'SegEnds_NonXtal_BW#'!$A:$Z,23,FALSE)+VLOOKUP($A86,A:AL,34,FALSE)-50))</f>
        <v>280</v>
      </c>
      <c r="AH86" s="3">
        <v>302</v>
      </c>
      <c r="AI86" s="3">
        <f>IF(ISERROR((VLOOKUP($A86,'SegEnds_NonXtal_BW#'!$A:$Z,24,FALSE)+VLOOKUP($A86,A:AL,34,FALSE)-50)),"-",(VLOOKUP($A86,'SegEnds_NonXtal_BW#'!$A:$Z,24,FALSE)+VLOOKUP($A86,A:AL,34,FALSE)-50))</f>
        <v>308</v>
      </c>
      <c r="AJ86" s="3">
        <f>IF(ISERROR(VLOOKUP($A86,'SegEnds_NonXtal_BW#'!$A:$Z,25,FALSE)+VLOOKUP($A86,A:AL,37,FALSE)-50),"-",(VLOOKUP($A86,'SegEnds_NonXtal_BW#'!$A:$Z,25,FALSE)+VLOOKUP($A86,A:AL,37,FALSE)-50))</f>
        <v>309</v>
      </c>
      <c r="AK86" s="3">
        <v>312</v>
      </c>
      <c r="AL86" s="3">
        <f>IF(ISERROR((VLOOKUP($A86,'SegEnds_NonXtal_BW#'!$A:$Z,26,FALSE)+VLOOKUP($A86,A:AL,37,FALSE)-50)),"-",(VLOOKUP($A86,'SegEnds_NonXtal_BW#'!$A:$Z,26,FALSE)+VLOOKUP($A86,A:AL,37,FALSE)-50))</f>
        <v>321</v>
      </c>
      <c r="AM86" s="28" t="str">
        <f>VLOOKUP(A86,Classification!A:B,2,FALSE)</f>
        <v>A</v>
      </c>
      <c r="AN86" s="28" t="b">
        <f>AND(IF(Y86="-",IF(AA86-W86&gt;3,TRUE,FALSE),TRUE),IF(M86="-",IF(O86-K86&gt;3,TRUE,FALSE),TRUE),C86&lt;E86,OR(E86&lt;F86,F86="-"),OR(F86&lt;H86,F86="-"),OR(H86&lt;I86,H86="-"),I86&lt;K86,OR(K86&lt;L86,L86="-"),OR(L86&lt;N86,L86="-"),OR(N86&lt;O86,N86="-"),O86&lt;Q86,OR(Q86&lt;R86,R86="-"),OR(R86&lt;T86,R86="-"),OR(T86&lt;U86,T86="-"),U86&lt;W86,OR(W86&lt;X86,X86="-"),OR(X86&lt;Z86,X86="-"),OR(Z86&lt;AA86,Z86="-"),AA86&lt;AC86,AC86&lt;AD86,AD86&lt;AF86,AF86&lt;AG86,AG86&lt;AI86,OR(AI86&lt;AJ86,AJ86="-"),OR(AJ86&lt;AL86,AJ86="-"))</f>
        <v>1</v>
      </c>
      <c r="AO86" s="3" t="str">
        <f>IF(ISERROR(MATCH(A86,'SegEnds_Xtal_Prot#'!B:B, 0)), "NoXtal", "Xtal")</f>
        <v>NoXtal</v>
      </c>
      <c r="AP86" s="3" t="str">
        <f>IF(ISERROR(F86-E86),"-",F86-E86)</f>
        <v>-</v>
      </c>
      <c r="AQ86" s="3" t="str">
        <f>IF(ISERROR(I86-H86),"-",I86-H86)</f>
        <v>-</v>
      </c>
      <c r="AR86" s="3">
        <f>IF(ISERROR(L86-K86),"-",L86-K86)</f>
        <v>3</v>
      </c>
      <c r="AS86" s="3">
        <f>IF(ISERROR(O86-N86),"-",O86-N86)</f>
        <v>1</v>
      </c>
      <c r="AT86" s="3">
        <f>IF(ISERROR(R86-Q86),"-",R86-Q86)</f>
        <v>1</v>
      </c>
      <c r="AU86" s="3">
        <f>IF(ISERROR(U86-T86),"-",U86-T86)</f>
        <v>1</v>
      </c>
      <c r="AV86" s="3">
        <f>IF(ISERROR(X86-W86),"-",X86-W86)</f>
        <v>10</v>
      </c>
      <c r="AW86" s="3">
        <f>IF(ISERROR(AA86-Z86),"-",AA86-Z86)</f>
        <v>6</v>
      </c>
      <c r="AX86" s="3">
        <f>IF(ISERROR(AD86-AC86),"-",AD86-AC86)</f>
        <v>5</v>
      </c>
      <c r="AY86" s="3">
        <f>IF(ISERROR(AG86-AF86),"-",AG86-AF86)</f>
        <v>7</v>
      </c>
      <c r="AZ86" s="3">
        <f>IF(ISERROR(AJ86-AI86),"-",AJ86-AI86)</f>
        <v>1</v>
      </c>
      <c r="BA86" s="3">
        <f>IF(ISERROR(LEN(VLOOKUP(A86,Seqs!A:E,2,FALSE))-AL86),"-",LEN(VLOOKUP(A86,Seqs!A:E,2,FALSE))-AL86)</f>
        <v>25</v>
      </c>
      <c r="BB86" s="16">
        <f>J86-D86</f>
        <v>28</v>
      </c>
      <c r="BC86" s="9">
        <f>IF(ISERROR(V86-S86),"-",V86-S86)</f>
        <v>20</v>
      </c>
      <c r="BD86" s="3">
        <f>J86-D86</f>
        <v>28</v>
      </c>
      <c r="BE86" s="3">
        <f>AE86-AB86</f>
        <v>49</v>
      </c>
      <c r="BF86" s="3">
        <f>AH86-AE86</f>
        <v>40</v>
      </c>
    </row>
    <row r="87" spans="1:58" s="3" customFormat="1" x14ac:dyDescent="0.2">
      <c r="A87" s="3" t="s">
        <v>181</v>
      </c>
      <c r="B87" s="3" t="str">
        <f>LOWER(VLOOKUP(A87,Xtal_Templ!A:B,2,FALSE))</f>
        <v>agtr1_human</v>
      </c>
      <c r="C87" s="3">
        <f>VLOOKUP($A87,'SegEnds_NonXtal_BW#'!$A:$Z,3,FALSE)+D87-50</f>
        <v>38</v>
      </c>
      <c r="D87" s="3">
        <v>58</v>
      </c>
      <c r="E87" s="3">
        <f>IF(ISERROR(VLOOKUP($A87,'SegEnds_NonXtal_BW#'!$A:$Z,4,FALSE)+VLOOKUP($A87,A:AL,4,FALSE)-50),"-",(VLOOKUP($A87,'SegEnds_NonXtal_BW#'!$A:$Z,4,FALSE)+VLOOKUP($A87,A:AL,4,FALSE)-50))</f>
        <v>68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72</v>
      </c>
      <c r="J87" s="3">
        <v>85</v>
      </c>
      <c r="K87" s="3">
        <f>VLOOKUP($A87,'SegEnds_NonXtal_BW#'!$A:$Z,8,FALSE)+VLOOKUP($A87,A:AL,10,FALSE)-50</f>
        <v>101</v>
      </c>
      <c r="L87" s="3">
        <f>M87-1</f>
        <v>104</v>
      </c>
      <c r="M87" s="3">
        <v>105</v>
      </c>
      <c r="N87" s="3">
        <f>M87+2</f>
        <v>107</v>
      </c>
      <c r="O87" s="3">
        <f>N87+1</f>
        <v>108</v>
      </c>
      <c r="P87" s="3">
        <v>137</v>
      </c>
      <c r="Q87" s="3">
        <f>VLOOKUP($A87,'SegEnds_NonXtal_BW#'!$A:$Z,12,FALSE)+VLOOKUP($A87,A:AL,16,FALSE)-50</f>
        <v>143</v>
      </c>
      <c r="R87" s="3">
        <f>IF(ISERROR(VLOOKUP($A87,'SegEnds_NonXtal_BW#'!$A:$Z,13,FALSE)+VLOOKUP($A87,A:AL,19,FALSE)-50),"-",VLOOKUP($A87,'SegEnds_NonXtal_BW#'!$A:$Z,13,FALSE)+VLOOKUP($A87,A:AL,19,FALSE)-50)</f>
        <v>144</v>
      </c>
      <c r="S87" s="3">
        <v>144</v>
      </c>
      <c r="T87" s="103">
        <f>IF(ISERROR(VLOOKUP($A87,'SegEnds_NonXtal_BW#'!$A:$Z,14,FALSE)+VLOOKUP($A87,A:AL,19,FALSE)-50),"-",(VLOOKUP($A87,'SegEnds_NonXtal_BW#'!$A:$Z,14,FALSE)+VLOOKUP($A87,A:AL,19,FALSE)-50))</f>
        <v>151</v>
      </c>
      <c r="U87" s="9">
        <f>IF(ISERROR(VLOOKUP($A87,'SegEnds_NonXtal_BW#'!$A:$Z,15,FALSE)+VLOOKUP($A87,A:AL,22,FALSE)-50),"-",VLOOKUP($A87,'SegEnds_NonXtal_BW#'!$A:$Z,15,FALSE)+VLOOKUP($A87,A:AL,22,FALSE)-50)</f>
        <v>152</v>
      </c>
      <c r="V87" s="3">
        <v>164</v>
      </c>
      <c r="W87" s="3">
        <f>IF(ISERROR(VLOOKUP($A87,'SegEnds_NonXtal_BW#'!$A:$Z,16,FALSE)+VLOOKUP($A87,A:AL,22,FALSE)-50),"-",(VLOOKUP($A87,'SegEnds_NonXtal_BW#'!$A:$Z,16,FALSE)+VLOOKUP($A87,A:AL,22,FALSE)-50))</f>
        <v>178</v>
      </c>
      <c r="X87" s="3">
        <f>IF(ISERROR(VLOOKUP($A87,'SegEnds_NonXtal_BW#'!$A:$Z,17,FALSE)+VLOOKUP($A87,A:AL,25,FALSE)-50),"-",(VLOOKUP($A87,'SegEnds_NonXtal_BW#'!$A:$Z,17,FALSE)+VLOOKUP($A87,A:AL,25,FALSE)-50))</f>
        <v>189</v>
      </c>
      <c r="Y87" s="3">
        <v>189</v>
      </c>
      <c r="Z87" s="3">
        <f>Y87+2</f>
        <v>191</v>
      </c>
      <c r="AA87" s="3">
        <f>IF(ISERROR(VLOOKUP($A87,'SegEnds_NonXtal_BW#'!$A:$Z,19,FALSE)+VLOOKUP($A87,A:AL,28,FALSE)-50),"-",(VLOOKUP($A87,'SegEnds_NonXtal_BW#'!$A:$Z,19,FALSE)+VLOOKUP($A87,A:AL,28,FALSE)-50))</f>
        <v>216</v>
      </c>
      <c r="AB87" s="3">
        <v>232</v>
      </c>
      <c r="AC87" s="3">
        <f>IF(ISERROR((VLOOKUP($A87,'SegEnds_NonXtal_BW#'!$A:$Z,20,FALSE)+VLOOKUP($A87,A:AL,28,FALSE)-50)),"-",(VLOOKUP($A87,'SegEnds_NonXtal_BW#'!$A:$Z,20,FALSE)+VLOOKUP($A87,A:AL,28,FALSE)-50))</f>
        <v>250</v>
      </c>
      <c r="AD87" s="3">
        <f>IF(ISERROR(VLOOKUP($A87,'SegEnds_NonXtal_BW#'!$A:$Z,21,FALSE)+VLOOKUP($A87,A:AL,31,FALSE)-50),"-",(VLOOKUP($A87,'SegEnds_NonXtal_BW#'!$A:$Z,21,FALSE)+VLOOKUP($A87,A:AL,31,FALSE)-50))</f>
        <v>255</v>
      </c>
      <c r="AE87" s="3">
        <v>275</v>
      </c>
      <c r="AF87" s="3">
        <f>IF(ISERROR((VLOOKUP($A87,'SegEnds_NonXtal_BW#'!$A:$Z,22,FALSE)+VLOOKUP($A87,A:AL,31,FALSE)-50)),"-",(VLOOKUP($A87,'SegEnds_NonXtal_BW#'!$A:$Z,22,FALSE)+VLOOKUP($A87,A:AL,31,FALSE)-50))</f>
        <v>286</v>
      </c>
      <c r="AG87" s="3">
        <f>IF(ISERROR(VLOOKUP($A87,'SegEnds_NonXtal_BW#'!$A:$Z,23,FALSE)+VLOOKUP($A87,A:AL,34,FALSE)-50),"-",(VLOOKUP($A87,'SegEnds_NonXtal_BW#'!$A:$Z,23,FALSE)+VLOOKUP($A87,A:AL,34,FALSE)-50))</f>
        <v>291</v>
      </c>
      <c r="AH87" s="3">
        <v>313</v>
      </c>
      <c r="AI87" s="3">
        <f>IF(ISERROR((VLOOKUP($A87,'SegEnds_NonXtal_BW#'!$A:$Z,24,FALSE)+VLOOKUP($A87,A:AL,34,FALSE)-50)),"-",(VLOOKUP($A87,'SegEnds_NonXtal_BW#'!$A:$Z,24,FALSE)+VLOOKUP($A87,A:AL,34,FALSE)-50))</f>
        <v>319</v>
      </c>
      <c r="AJ87" s="3">
        <f>IF(ISERROR(VLOOKUP($A87,'SegEnds_NonXtal_BW#'!$A:$Z,25,FALSE)+VLOOKUP($A87,A:AL,37,FALSE)-50),"-",(VLOOKUP($A87,'SegEnds_NonXtal_BW#'!$A:$Z,25,FALSE)+VLOOKUP($A87,A:AL,37,FALSE)-50))</f>
        <v>320</v>
      </c>
      <c r="AK87" s="3">
        <v>323</v>
      </c>
      <c r="AL87" s="3">
        <f>IF(ISERROR((VLOOKUP($A87,'SegEnds_NonXtal_BW#'!$A:$Z,26,FALSE)+VLOOKUP($A87,A:AL,37,FALSE)-50)),"-",(VLOOKUP($A87,'SegEnds_NonXtal_BW#'!$A:$Z,26,FALSE)+VLOOKUP($A87,A:AL,37,FALSE)-50))</f>
        <v>334</v>
      </c>
      <c r="AM87" s="28" t="str">
        <f>VLOOKUP(A87,Classification!A:B,2,FALSE)</f>
        <v>A</v>
      </c>
      <c r="AN87" s="28" t="b">
        <f>AND(IF(Y87="-",IF(AA87-W87&gt;3,TRUE,FALSE),TRUE),IF(M87="-",IF(O87-K87&gt;3,TRUE,FALSE),TRUE),C87&lt;E87,OR(E87&lt;F87,F87="-"),OR(F87&lt;H87,F87="-"),OR(H87&lt;I87,H87="-"),I87&lt;K87,OR(K87&lt;L87,L87="-"),OR(L87&lt;N87,L87="-"),OR(N87&lt;O87,N87="-"),O87&lt;Q87,OR(Q87&lt;R87,R87="-"),OR(R87&lt;T87,R87="-"),OR(T87&lt;U87,T87="-"),U87&lt;W87,OR(W87&lt;X87,X87="-"),OR(X87&lt;Z87,X87="-"),OR(Z87&lt;AA87,Z87="-"),AA87&lt;AC87,AC87&lt;AD87,AD87&lt;AF87,AF87&lt;AG87,AG87&lt;AI87,OR(AI87&lt;AJ87,AJ87="-"),OR(AJ87&lt;AL87,AJ87="-"))</f>
        <v>1</v>
      </c>
      <c r="AO87" s="3" t="str">
        <f>IF(ISERROR(MATCH(A87,'SegEnds_Xtal_Prot#'!B:B, 0)), "NoXtal", "Xtal")</f>
        <v>NoXtal</v>
      </c>
      <c r="AP87" s="3" t="str">
        <f>IF(ISERROR(F87-E87),"-",F87-E87)</f>
        <v>-</v>
      </c>
      <c r="AQ87" s="3" t="str">
        <f>IF(ISERROR(I87-H87),"-",I87-H87)</f>
        <v>-</v>
      </c>
      <c r="AR87" s="3">
        <f>IF(ISERROR(L87-K87),"-",L87-K87)</f>
        <v>3</v>
      </c>
      <c r="AS87" s="3">
        <f>IF(ISERROR(O87-N87),"-",O87-N87)</f>
        <v>1</v>
      </c>
      <c r="AT87" s="3">
        <f>IF(ISERROR(R87-Q87),"-",R87-Q87)</f>
        <v>1</v>
      </c>
      <c r="AU87" s="3">
        <f>IF(ISERROR(U87-T87),"-",U87-T87)</f>
        <v>1</v>
      </c>
      <c r="AV87" s="3">
        <f>IF(ISERROR(X87-W87),"-",X87-W87)</f>
        <v>11</v>
      </c>
      <c r="AW87" s="3">
        <f>IF(ISERROR(AA87-Z87),"-",AA87-Z87)</f>
        <v>25</v>
      </c>
      <c r="AX87" s="3">
        <f>IF(ISERROR(AD87-AC87),"-",AD87-AC87)</f>
        <v>5</v>
      </c>
      <c r="AY87" s="3">
        <f>IF(ISERROR(AG87-AF87),"-",AG87-AF87)</f>
        <v>5</v>
      </c>
      <c r="AZ87" s="3">
        <f>IF(ISERROR(AJ87-AI87),"-",AJ87-AI87)</f>
        <v>1</v>
      </c>
      <c r="BA87" s="3">
        <f>IF(ISERROR(LEN(VLOOKUP(A87,Seqs!A:E,2,FALSE))-AL87),"-",LEN(VLOOKUP(A87,Seqs!A:E,2,FALSE))-AL87)</f>
        <v>39</v>
      </c>
      <c r="BB87" s="16">
        <f>J87-D87</f>
        <v>27</v>
      </c>
      <c r="BC87" s="9">
        <f>IF(ISERROR(V87-S87),"-",V87-S87)</f>
        <v>20</v>
      </c>
      <c r="BD87" s="3">
        <f>J87-D87</f>
        <v>27</v>
      </c>
      <c r="BE87" s="3">
        <f>AE87-AB87</f>
        <v>43</v>
      </c>
    </row>
    <row r="88" spans="1:58" s="3" customFormat="1" x14ac:dyDescent="0.2">
      <c r="A88" s="3" t="s">
        <v>182</v>
      </c>
      <c r="B88" s="3" t="str">
        <f>LOWER(VLOOKUP(A88,Xtal_Templ!A:B,2,FALSE))</f>
        <v>cnr1_human</v>
      </c>
      <c r="C88" s="3">
        <f>VLOOKUP($A88,'SegEnds_NonXtal_BW#'!$A:$Z,3,FALSE)+D88-50</f>
        <v>112</v>
      </c>
      <c r="D88" s="3">
        <v>134</v>
      </c>
      <c r="E88" s="3">
        <f>IF(ISERROR(VLOOKUP($A88,'SegEnds_NonXtal_BW#'!$A:$Z,4,FALSE)+VLOOKUP($A88,A:AL,4,FALSE)-50),"-",(VLOOKUP($A88,'SegEnds_NonXtal_BW#'!$A:$Z,4,FALSE)+VLOOKUP($A88,A:AL,4,FALSE)-50))</f>
        <v>144</v>
      </c>
      <c r="F88" s="3">
        <f>G88-2</f>
        <v>145</v>
      </c>
      <c r="G88" s="3">
        <v>147</v>
      </c>
      <c r="H88" s="3">
        <f>G88+1</f>
        <v>148</v>
      </c>
      <c r="I88" s="3">
        <f>VLOOKUP($A88,'SegEnds_NonXtal_BW#'!$A:$Z,7,FALSE)+J88-50</f>
        <v>150</v>
      </c>
      <c r="J88" s="3">
        <v>163</v>
      </c>
      <c r="K88" s="3">
        <f>VLOOKUP($A88,'SegEnds_NonXtal_BW#'!$A:$Z,8,FALSE)+VLOOKUP($A88,A:AL,10,FALSE)-50</f>
        <v>179</v>
      </c>
      <c r="L88" s="3" t="str">
        <f>IF(ISERROR(VLOOKUP($A88,'SegEnds_NonXtal_BW#'!$A:$Z,9,FALSE)+VLOOKUP($A88,A:AL,13,FALSE)-50),"-",(VLOOKUP($A88,'SegEnds_NonXtal_BW#'!$A:$Z,9,FALSE)+VLOOKUP($A88,A:AL,13,FALSE)-50))</f>
        <v>-</v>
      </c>
      <c r="M88" s="3" t="s">
        <v>23</v>
      </c>
      <c r="N88" s="3" t="str">
        <f>IF(ISERROR(VLOOKUP($A88,'SegEnds_NonXtal_BW#'!$A:$Z,10,FALSE)+VLOOKUP($A88,A:AL,13,FALSE)-50),"-",(VLOOKUP($A88,'SegEnds_NonXtal_BW#'!$A:$Z,10,FALSE)+VLOOKUP($A88,A:AL,13,FALSE)-50))</f>
        <v>-</v>
      </c>
      <c r="O88" s="3">
        <f>VLOOKUP($A88,'SegEnds_NonXtal_BW#'!$A:$Z,11,FALSE)+VLOOKUP($A88,A:AL,16,FALSE)-50</f>
        <v>185</v>
      </c>
      <c r="P88" s="3">
        <v>214</v>
      </c>
      <c r="Q88" s="3">
        <f>VLOOKUP($A88,'SegEnds_NonXtal_BW#'!$A:$Z,12,FALSE)+VLOOKUP($A88,A:AL,16,FALSE)-50</f>
        <v>220</v>
      </c>
      <c r="R88" s="3">
        <f>S88</f>
        <v>221</v>
      </c>
      <c r="S88" s="3">
        <v>221</v>
      </c>
      <c r="T88" s="103">
        <f>S88+7</f>
        <v>228</v>
      </c>
      <c r="U88" s="9">
        <f>IF(ISERROR(VLOOKUP($A88,'SegEnds_NonXtal_BW#'!$A:$Z,15,FALSE)+VLOOKUP($A88,A:AL,22,FALSE)-50),"-",VLOOKUP($A88,'SegEnds_NonXtal_BW#'!$A:$Z,15,FALSE)+VLOOKUP($A88,A:AL,22,FALSE)-50)</f>
        <v>229</v>
      </c>
      <c r="V88" s="3">
        <v>241</v>
      </c>
      <c r="W88" s="3">
        <f>IF(ISERROR(VLOOKUP($A88,'SegEnds_NonXtal_BW#'!$A:$Z,16,FALSE)+VLOOKUP($A88,A:AL,22,FALSE)-50),"-",(VLOOKUP($A88,'SegEnds_NonXtal_BW#'!$A:$Z,16,FALSE)+VLOOKUP($A88,A:AL,22,FALSE)-50))</f>
        <v>254</v>
      </c>
      <c r="X88" s="3" t="str">
        <f>IF(ISERROR(VLOOKUP($A88,'SegEnds_NonXtal_BW#'!$A:$Z,17,FALSE)+VLOOKUP($A88,A:AL,25,FALSE)-50),"-",(VLOOKUP($A88,'SegEnds_NonXtal_BW#'!$A:$Z,17,FALSE)+VLOOKUP($A88,A:AL,25,FALSE)-50))</f>
        <v>-</v>
      </c>
      <c r="Y88" s="3" t="s">
        <v>23</v>
      </c>
      <c r="Z88" s="3" t="str">
        <f>IF(ISERROR(VLOOKUP($A88,'SegEnds_NonXtal_BW#'!$A:$Z,18,FALSE)+VLOOKUP($A88,A:AL,25,FALSE)-50),"-",(VLOOKUP($A88,'SegEnds_NonXtal_BW#'!$A:$Z,18,FALSE)+VLOOKUP($A88,A:AL,25,FALSE)-50))</f>
        <v>-</v>
      </c>
      <c r="AA88" s="3">
        <f>IF(ISERROR(VLOOKUP($A88,'SegEnds_NonXtal_BW#'!$A:$Z,19,FALSE)+VLOOKUP($A88,A:AL,28,FALSE)-50),"-",(VLOOKUP($A88,'SegEnds_NonXtal_BW#'!$A:$Z,19,FALSE)+VLOOKUP($A88,A:AL,28,FALSE)-50))</f>
        <v>272</v>
      </c>
      <c r="AB88" s="3">
        <v>286</v>
      </c>
      <c r="AC88" s="3">
        <f>IF(ISERROR((VLOOKUP($A88,'SegEnds_NonXtal_BW#'!$A:$Z,20,FALSE)+VLOOKUP($A88,A:AL,28,FALSE)-50)),"-",(VLOOKUP($A88,'SegEnds_NonXtal_BW#'!$A:$Z,20,FALSE)+VLOOKUP($A88,A:AL,28,FALSE)-50))</f>
        <v>312</v>
      </c>
      <c r="AD88" s="3">
        <f>IF(ISERROR(VLOOKUP($A88,'SegEnds_NonXtal_BW#'!$A:$Z,21,FALSE)+VLOOKUP($A88,A:AL,31,FALSE)-50),"-",(VLOOKUP($A88,'SegEnds_NonXtal_BW#'!$A:$Z,21,FALSE)+VLOOKUP($A88,A:AL,31,FALSE)-50))</f>
        <v>332</v>
      </c>
      <c r="AE88" s="3">
        <v>358</v>
      </c>
      <c r="AF88" s="3">
        <f>IF(ISERROR((VLOOKUP($A88,'SegEnds_NonXtal_BW#'!$A:$Z,22,FALSE)+VLOOKUP($A88,A:AL,31,FALSE)-50)),"-",(VLOOKUP($A88,'SegEnds_NonXtal_BW#'!$A:$Z,22,FALSE)+VLOOKUP($A88,A:AL,31,FALSE)-50))</f>
        <v>369</v>
      </c>
      <c r="AG88" s="3">
        <f>IF(ISERROR(VLOOKUP($A88,'SegEnds_NonXtal_BW#'!$A:$Z,23,FALSE)+VLOOKUP($A88,A:AL,34,FALSE)-50),"-",(VLOOKUP($A88,'SegEnds_NonXtal_BW#'!$A:$Z,23,FALSE)+VLOOKUP($A88,A:AL,34,FALSE)-50))</f>
        <v>372</v>
      </c>
      <c r="AH88" s="3">
        <v>394</v>
      </c>
      <c r="AI88" s="3">
        <f>IF(ISERROR((VLOOKUP($A88,'SegEnds_NonXtal_BW#'!$A:$Z,24,FALSE)+VLOOKUP($A88,A:AL,34,FALSE)-50)),"-",(VLOOKUP($A88,'SegEnds_NonXtal_BW#'!$A:$Z,24,FALSE)+VLOOKUP($A88,A:AL,34,FALSE)-50))</f>
        <v>400</v>
      </c>
      <c r="AJ88" s="3">
        <f>IF(ISERROR(VLOOKUP($A88,'SegEnds_NonXtal_BW#'!$A:$Z,25,FALSE)+VLOOKUP($A88,A:AL,37,FALSE)-50),"-",(VLOOKUP($A88,'SegEnds_NonXtal_BW#'!$A:$Z,25,FALSE)+VLOOKUP($A88,A:AL,37,FALSE)-50))</f>
        <v>401</v>
      </c>
      <c r="AK88" s="3">
        <v>404</v>
      </c>
      <c r="AL88" s="3">
        <f>IF(ISERROR((VLOOKUP($A88,'SegEnds_NonXtal_BW#'!$A:$Z,26,FALSE)+VLOOKUP($A88,A:AL,37,FALSE)-50)),"-",(VLOOKUP($A88,'SegEnds_NonXtal_BW#'!$A:$Z,26,FALSE)+VLOOKUP($A88,A:AL,37,FALSE)-50))</f>
        <v>413</v>
      </c>
      <c r="AM88" s="28" t="str">
        <f>VLOOKUP(A88,Classification!A:B,2,FALSE)</f>
        <v>A</v>
      </c>
      <c r="AN88" s="28" t="b">
        <f>AND(IF(Y88="-",IF(AA88-W88&gt;3,TRUE,FALSE),TRUE),IF(M88="-",IF(O88-K88&gt;3,TRUE,FALSE),TRUE),C88&lt;E88,OR(E88&lt;F88,F88="-"),OR(F88&lt;H88,F88="-"),OR(H88&lt;I88,H88="-"),I88&lt;K88,OR(K88&lt;L88,L88="-"),OR(L88&lt;N88,L88="-"),OR(N88&lt;O88,N88="-"),O88&lt;Q88,OR(Q88&lt;R88,R88="-"),OR(R88&lt;T88,R88="-"),OR(T88&lt;U88,T88="-"),U88&lt;W88,OR(W88&lt;X88,X88="-"),OR(X88&lt;Z88,X88="-"),OR(Z88&lt;AA88,Z88="-"),AA88&lt;AC88,AC88&lt;AD88,AD88&lt;AF88,AF88&lt;AG88,AG88&lt;AI88,OR(AI88&lt;AJ88,AJ88="-"),OR(AJ88&lt;AL88,AJ88="-"))</f>
        <v>1</v>
      </c>
      <c r="AO88" s="3" t="str">
        <f>IF(ISERROR(MATCH(A88,'SegEnds_Xtal_Prot#'!B:B, 0)), "NoXtal", "Xtal")</f>
        <v>Xtal</v>
      </c>
      <c r="AP88" s="3">
        <f>IF(ISERROR(F88-E88),"-",F88-E88)</f>
        <v>1</v>
      </c>
      <c r="AQ88" s="3">
        <f>IF(ISERROR(I88-H88),"-",I88-H88)</f>
        <v>2</v>
      </c>
      <c r="AR88" s="3" t="str">
        <f>IF(ISERROR(L88-K88),"-",L88-K88)</f>
        <v>-</v>
      </c>
      <c r="AS88" s="3" t="str">
        <f>IF(ISERROR(O88-N88),"-",O88-N88)</f>
        <v>-</v>
      </c>
      <c r="AT88" s="3">
        <f>IF(ISERROR(R88-Q88),"-",R88-Q88)</f>
        <v>1</v>
      </c>
      <c r="AU88" s="3">
        <f>IF(ISERROR(U88-T88),"-",U88-T88)</f>
        <v>1</v>
      </c>
      <c r="AV88" s="3" t="str">
        <f>IF(ISERROR(X88-W88),"-",X88-W88)</f>
        <v>-</v>
      </c>
      <c r="AW88" s="3" t="str">
        <f>IF(ISERROR(AA88-Z88),"-",AA88-Z88)</f>
        <v>-</v>
      </c>
      <c r="AX88" s="3">
        <f>IF(ISERROR(AD88-AC88),"-",AD88-AC88)</f>
        <v>20</v>
      </c>
      <c r="AY88" s="3">
        <f>IF(ISERROR(AG88-AF88),"-",AG88-AF88)</f>
        <v>3</v>
      </c>
      <c r="AZ88" s="3">
        <f>IF(ISERROR(AJ88-AI88),"-",AJ88-AI88)</f>
        <v>1</v>
      </c>
      <c r="BA88" s="3">
        <f>IF(ISERROR(LEN(VLOOKUP(A88,Seqs!A:E,2,FALSE))-AL88),"-",LEN(VLOOKUP(A88,Seqs!A:E,2,FALSE))-AL88)</f>
        <v>59</v>
      </c>
      <c r="BB88" s="16">
        <f>J88-D88</f>
        <v>29</v>
      </c>
      <c r="BC88" s="9">
        <f>IF(ISERROR(V88-S88),"-",V88-S88)</f>
        <v>20</v>
      </c>
      <c r="BD88" s="3">
        <f>J88-D88</f>
        <v>29</v>
      </c>
      <c r="BE88" s="3">
        <f>AE88-AB88</f>
        <v>72</v>
      </c>
    </row>
    <row r="89" spans="1:58" s="3" customFormat="1" x14ac:dyDescent="0.2">
      <c r="A89" s="3" t="s">
        <v>183</v>
      </c>
      <c r="B89" s="3" t="str">
        <f>LOWER(VLOOKUP(A89,Xtal_Templ!A:B,2,FALSE))</f>
        <v>cnr1_human</v>
      </c>
      <c r="C89" s="3">
        <f>VLOOKUP($A89,'SegEnds_NonXtal_BW#'!$A:$Z,3,FALSE)+D89-50</f>
        <v>29</v>
      </c>
      <c r="D89" s="3">
        <v>51</v>
      </c>
      <c r="E89" s="3">
        <f>IF(ISERROR(VLOOKUP($A89,'SegEnds_NonXtal_BW#'!$A:$Z,4,FALSE)+VLOOKUP($A89,A:AL,4,FALSE)-50),"-",(VLOOKUP($A89,'SegEnds_NonXtal_BW#'!$A:$Z,4,FALSE)+VLOOKUP($A89,A:AL,4,FALSE)-50))</f>
        <v>61</v>
      </c>
      <c r="F89" s="3">
        <f>G89-2</f>
        <v>62</v>
      </c>
      <c r="G89" s="3">
        <v>64</v>
      </c>
      <c r="H89" s="3">
        <f>G89+1</f>
        <v>65</v>
      </c>
      <c r="I89" s="3">
        <f>H89+1</f>
        <v>66</v>
      </c>
      <c r="J89" s="3">
        <v>80</v>
      </c>
      <c r="K89" s="3">
        <f>VLOOKUP($A89,'SegEnds_NonXtal_BW#'!$A:$Z,8,FALSE)+VLOOKUP($A89,A:AL,10,FALSE)-50</f>
        <v>96</v>
      </c>
      <c r="L89" s="3" t="str">
        <f>IF(ISERROR(VLOOKUP($A89,'SegEnds_NonXtal_BW#'!$A:$Z,9,FALSE)+VLOOKUP($A89,A:AL,13,FALSE)-50),"-",(VLOOKUP($A89,'SegEnds_NonXtal_BW#'!$A:$Z,9,FALSE)+VLOOKUP($A89,A:AL,13,FALSE)-50))</f>
        <v>-</v>
      </c>
      <c r="M89" s="3" t="s">
        <v>23</v>
      </c>
      <c r="N89" s="3" t="str">
        <f>IF(ISERROR(VLOOKUP($A89,'SegEnds_NonXtal_BW#'!$A:$Z,10,FALSE)+VLOOKUP($A89,A:AL,13,FALSE)-50),"-",(VLOOKUP($A89,'SegEnds_NonXtal_BW#'!$A:$Z,10,FALSE)+VLOOKUP($A89,A:AL,13,FALSE)-50))</f>
        <v>-</v>
      </c>
      <c r="O89" s="3">
        <f>VLOOKUP($A89,'SegEnds_NonXtal_BW#'!$A:$Z,11,FALSE)+VLOOKUP($A89,A:AL,16,FALSE)-50</f>
        <v>102</v>
      </c>
      <c r="P89" s="3">
        <v>131</v>
      </c>
      <c r="Q89" s="3">
        <f>VLOOKUP($A89,'SegEnds_NonXtal_BW#'!$A:$Z,12,FALSE)+VLOOKUP($A89,A:AL,16,FALSE)-50</f>
        <v>137</v>
      </c>
      <c r="R89" s="3">
        <f>S89</f>
        <v>138</v>
      </c>
      <c r="S89" s="3">
        <v>138</v>
      </c>
      <c r="T89" s="103">
        <f>S89+7</f>
        <v>145</v>
      </c>
      <c r="U89" s="9">
        <f>IF(ISERROR(VLOOKUP($A89,'SegEnds_NonXtal_BW#'!$A:$Z,15,FALSE)+VLOOKUP($A89,A:AL,22,FALSE)-50),"-",VLOOKUP($A89,'SegEnds_NonXtal_BW#'!$A:$Z,15,FALSE)+VLOOKUP($A89,A:AL,22,FALSE)-50)</f>
        <v>146</v>
      </c>
      <c r="V89" s="3">
        <v>158</v>
      </c>
      <c r="W89" s="3">
        <f>IF(ISERROR(VLOOKUP($A89,'SegEnds_NonXtal_BW#'!$A:$Z,16,FALSE)+VLOOKUP($A89,A:AL,22,FALSE)-50),"-",(VLOOKUP($A89,'SegEnds_NonXtal_BW#'!$A:$Z,16,FALSE)+VLOOKUP($A89,A:AL,22,FALSE)-50))</f>
        <v>171</v>
      </c>
      <c r="X89" s="3" t="str">
        <f>IF(ISERROR(VLOOKUP($A89,'SegEnds_NonXtal_BW#'!$A:$Z,17,FALSE)+VLOOKUP($A89,A:AL,25,FALSE)-50),"-",(VLOOKUP($A89,'SegEnds_NonXtal_BW#'!$A:$Z,17,FALSE)+VLOOKUP($A89,A:AL,25,FALSE)-50))</f>
        <v>-</v>
      </c>
      <c r="Y89" s="3" t="s">
        <v>23</v>
      </c>
      <c r="Z89" s="3" t="str">
        <f>IF(ISERROR(VLOOKUP($A89,'SegEnds_NonXtal_BW#'!$A:$Z,18,FALSE)+VLOOKUP($A89,A:AL,25,FALSE)-50),"-",(VLOOKUP($A89,'SegEnds_NonXtal_BW#'!$A:$Z,18,FALSE)+VLOOKUP($A89,A:AL,25,FALSE)-50))</f>
        <v>-</v>
      </c>
      <c r="AA89" s="3">
        <f>IF(ISERROR(VLOOKUP($A89,'SegEnds_NonXtal_BW#'!$A:$Z,19,FALSE)+VLOOKUP($A89,A:AL,28,FALSE)-50),"-",(VLOOKUP($A89,'SegEnds_NonXtal_BW#'!$A:$Z,19,FALSE)+VLOOKUP($A89,A:AL,28,FALSE)-50))</f>
        <v>187</v>
      </c>
      <c r="AB89" s="3">
        <v>201</v>
      </c>
      <c r="AC89" s="3">
        <f>IF(ISERROR((VLOOKUP($A89,'SegEnds_NonXtal_BW#'!$A:$Z,20,FALSE)+VLOOKUP($A89,A:AL,28,FALSE)-50)),"-",(VLOOKUP($A89,'SegEnds_NonXtal_BW#'!$A:$Z,20,FALSE)+VLOOKUP($A89,A:AL,28,FALSE)-50))</f>
        <v>225</v>
      </c>
      <c r="AD89" s="3">
        <f>IF(ISERROR(VLOOKUP($A89,'SegEnds_NonXtal_BW#'!$A:$Z,21,FALSE)+VLOOKUP($A89,A:AL,31,FALSE)-50),"-",(VLOOKUP($A89,'SegEnds_NonXtal_BW#'!$A:$Z,21,FALSE)+VLOOKUP($A89,A:AL,31,FALSE)-50))</f>
        <v>231</v>
      </c>
      <c r="AE89" s="3">
        <v>260</v>
      </c>
      <c r="AF89" s="3">
        <f>IF(ISERROR((VLOOKUP($A89,'SegEnds_NonXtal_BW#'!$A:$Z,22,FALSE)+VLOOKUP($A89,A:AL,31,FALSE)-50)),"-",(VLOOKUP($A89,'SegEnds_NonXtal_BW#'!$A:$Z,22,FALSE)+VLOOKUP($A89,A:AL,31,FALSE)-50))</f>
        <v>271</v>
      </c>
      <c r="AG89" s="3">
        <f>IF(ISERROR(VLOOKUP($A89,'SegEnds_NonXtal_BW#'!$A:$Z,23,FALSE)+VLOOKUP($A89,A:AL,34,FALSE)-50),"-",(VLOOKUP($A89,'SegEnds_NonXtal_BW#'!$A:$Z,23,FALSE)+VLOOKUP($A89,A:AL,34,FALSE)-50))</f>
        <v>277</v>
      </c>
      <c r="AH89" s="3">
        <v>296</v>
      </c>
      <c r="AI89" s="3">
        <f>IF(ISERROR((VLOOKUP($A89,'SegEnds_NonXtal_BW#'!$A:$Z,24,FALSE)+VLOOKUP($A89,A:AL,34,FALSE)-50)),"-",(VLOOKUP($A89,'SegEnds_NonXtal_BW#'!$A:$Z,24,FALSE)+VLOOKUP($A89,A:AL,34,FALSE)-50))</f>
        <v>302</v>
      </c>
      <c r="AJ89" s="3">
        <f>IF(ISERROR(VLOOKUP($A89,'SegEnds_NonXtal_BW#'!$A:$Z,25,FALSE)+VLOOKUP($A89,A:AL,37,FALSE)-50),"-",(VLOOKUP($A89,'SegEnds_NonXtal_BW#'!$A:$Z,25,FALSE)+VLOOKUP($A89,A:AL,37,FALSE)-50))</f>
        <v>303</v>
      </c>
      <c r="AK89" s="3">
        <v>306</v>
      </c>
      <c r="AL89" s="3">
        <f>IF(ISERROR((VLOOKUP($A89,'SegEnds_NonXtal_BW#'!$A:$Z,26,FALSE)+VLOOKUP($A89,A:AL,37,FALSE)-50)),"-",(VLOOKUP($A89,'SegEnds_NonXtal_BW#'!$A:$Z,26,FALSE)+VLOOKUP($A89,A:AL,37,FALSE)-50))</f>
        <v>315</v>
      </c>
      <c r="AM89" s="28" t="str">
        <f>VLOOKUP(A89,Classification!A:B,2,FALSE)</f>
        <v>A</v>
      </c>
      <c r="AN89" s="28" t="b">
        <f>AND(IF(Y89="-",IF(AA89-W89&gt;3,TRUE,FALSE),TRUE),IF(M89="-",IF(O89-K89&gt;3,TRUE,FALSE),TRUE),C89&lt;E89,OR(E89&lt;F89,F89="-"),OR(F89&lt;H89,F89="-"),OR(H89&lt;I89,H89="-"),I89&lt;K89,OR(K89&lt;L89,L89="-"),OR(L89&lt;N89,L89="-"),OR(N89&lt;O89,N89="-"),O89&lt;Q89,OR(Q89&lt;R89,R89="-"),OR(R89&lt;T89,R89="-"),OR(T89&lt;U89,T89="-"),U89&lt;W89,OR(W89&lt;X89,X89="-"),OR(X89&lt;Z89,X89="-"),OR(Z89&lt;AA89,Z89="-"),AA89&lt;AC89,AC89&lt;AD89,AD89&lt;AF89,AF89&lt;AG89,AG89&lt;AI89,OR(AI89&lt;AJ89,AJ89="-"),OR(AJ89&lt;AL89,AJ89="-"))</f>
        <v>1</v>
      </c>
      <c r="AO89" s="3" t="str">
        <f>IF(ISERROR(MATCH(A89,'SegEnds_Xtal_Prot#'!B:B, 0)), "NoXtal", "Xtal")</f>
        <v>NoXtal</v>
      </c>
      <c r="AP89" s="3">
        <f>IF(ISERROR(F89-E89),"-",F89-E89)</f>
        <v>1</v>
      </c>
      <c r="AQ89" s="3">
        <f>IF(ISERROR(I89-H89),"-",I89-H89)</f>
        <v>1</v>
      </c>
      <c r="AR89" s="3" t="str">
        <f>IF(ISERROR(L89-K89),"-",L89-K89)</f>
        <v>-</v>
      </c>
      <c r="AS89" s="3" t="str">
        <f>IF(ISERROR(O89-N89),"-",O89-N89)</f>
        <v>-</v>
      </c>
      <c r="AT89" s="3">
        <f>IF(ISERROR(R89-Q89),"-",R89-Q89)</f>
        <v>1</v>
      </c>
      <c r="AU89" s="3">
        <f>IF(ISERROR(U89-T89),"-",U89-T89)</f>
        <v>1</v>
      </c>
      <c r="AV89" s="3" t="str">
        <f>IF(ISERROR(X89-W89),"-",X89-W89)</f>
        <v>-</v>
      </c>
      <c r="AW89" s="3" t="str">
        <f>IF(ISERROR(AA89-Z89),"-",AA89-Z89)</f>
        <v>-</v>
      </c>
      <c r="AX89" s="3">
        <f>IF(ISERROR(AD89-AC89),"-",AD89-AC89)</f>
        <v>6</v>
      </c>
      <c r="AY89" s="3">
        <f>IF(ISERROR(AG89-AF89),"-",AG89-AF89)</f>
        <v>6</v>
      </c>
      <c r="AZ89" s="3">
        <f>IF(ISERROR(AJ89-AI89),"-",AJ89-AI89)</f>
        <v>1</v>
      </c>
      <c r="BA89" s="3">
        <f>IF(ISERROR(LEN(VLOOKUP(A89,Seqs!A:E,2,FALSE))-AL89),"-",LEN(VLOOKUP(A89,Seqs!A:E,2,FALSE))-AL89)</f>
        <v>45</v>
      </c>
      <c r="BB89" s="16">
        <f>J89-D89</f>
        <v>29</v>
      </c>
      <c r="BC89" s="9">
        <f>IF(ISERROR(V89-S89),"-",V89-S89)</f>
        <v>20</v>
      </c>
      <c r="BD89" s="3">
        <f>J89-D89</f>
        <v>29</v>
      </c>
      <c r="BE89" s="3">
        <f>AE89-AB89</f>
        <v>59</v>
      </c>
    </row>
    <row r="90" spans="1:58" s="3" customFormat="1" x14ac:dyDescent="0.2">
      <c r="A90" s="3" t="s">
        <v>184</v>
      </c>
      <c r="B90" s="3" t="str">
        <f>LOWER(VLOOKUP(A90,Xtal_Templ!A:B,2,FALSE))</f>
        <v>ccr5_human</v>
      </c>
      <c r="C90" s="3">
        <f>VLOOKUP($A90,'SegEnds_NonXtal_BW#'!$A:$Z,3,FALSE)+D90-50</f>
        <v>23</v>
      </c>
      <c r="D90" s="3">
        <v>49</v>
      </c>
      <c r="E90" s="3">
        <f>IF(ISERROR(VLOOKUP($A90,'SegEnds_NonXtal_BW#'!$A:$Z,4,FALSE)+VLOOKUP($A90,A:AL,4,FALSE)-50),"-",(VLOOKUP($A90,'SegEnds_NonXtal_BW#'!$A:$Z,4,FALSE)+VLOOKUP($A90,A:AL,4,FALSE)-50))</f>
        <v>59</v>
      </c>
      <c r="F90" s="3">
        <f>G90-2</f>
        <v>60</v>
      </c>
      <c r="G90" s="3">
        <v>62</v>
      </c>
      <c r="H90" s="3">
        <f>G90+1</f>
        <v>63</v>
      </c>
      <c r="I90" s="3">
        <f>H90+1</f>
        <v>64</v>
      </c>
      <c r="J90" s="3">
        <v>77</v>
      </c>
      <c r="K90" s="3">
        <f>VLOOKUP($A90,'SegEnds_NonXtal_BW#'!$A:$Z,8,FALSE)+VLOOKUP($A90,A:AL,10,FALSE)-50</f>
        <v>93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101</v>
      </c>
      <c r="P90" s="3">
        <v>127</v>
      </c>
      <c r="Q90" s="3">
        <f>VLOOKUP($A90,'SegEnds_NonXtal_BW#'!$A:$Z,12,FALSE)+VLOOKUP($A90,A:AL,16,FALSE)-50</f>
        <v>133</v>
      </c>
      <c r="R90" s="3">
        <f>IF(ISERROR(VLOOKUP($A90,'SegEnds_NonXtal_BW#'!$A:$Z,13,FALSE)+VLOOKUP($A90,A:AL,19,FALSE)-50),"-",VLOOKUP($A90,'SegEnds_NonXtal_BW#'!$A:$Z,13,FALSE)+VLOOKUP($A90,A:AL,19,FALSE)-50)</f>
        <v>134</v>
      </c>
      <c r="S90" s="3">
        <v>134</v>
      </c>
      <c r="T90" s="103">
        <f>IF(ISERROR(VLOOKUP($A90,'SegEnds_NonXtal_BW#'!$A:$Z,14,FALSE)+VLOOKUP($A90,A:AL,19,FALSE)-50),"-",(VLOOKUP($A90,'SegEnds_NonXtal_BW#'!$A:$Z,14,FALSE)+VLOOKUP($A90,A:AL,19,FALSE)-50))</f>
        <v>141</v>
      </c>
      <c r="U90" s="9">
        <f>IF(ISERROR(VLOOKUP($A90,'SegEnds_NonXtal_BW#'!$A:$Z,15,FALSE)+VLOOKUP($A90,A:AL,22,FALSE)-50),"-",VLOOKUP($A90,'SegEnds_NonXtal_BW#'!$A:$Z,15,FALSE)+VLOOKUP($A90,A:AL,22,FALSE)-50)</f>
        <v>142</v>
      </c>
      <c r="V90" s="3">
        <v>154</v>
      </c>
      <c r="W90" s="3">
        <f>IF(ISERROR(VLOOKUP($A90,'SegEnds_NonXtal_BW#'!$A:$Z,16,FALSE)+VLOOKUP($A90,A:AL,22,FALSE)-50),"-",(VLOOKUP($A90,'SegEnds_NonXtal_BW#'!$A:$Z,16,FALSE)+VLOOKUP($A90,A:AL,22,FALSE)-50))</f>
        <v>168</v>
      </c>
      <c r="X90" s="3">
        <f>IF(ISERROR(VLOOKUP($A90,'SegEnds_NonXtal_BW#'!$A:$Z,17,FALSE)+VLOOKUP($A90,A:AL,25,FALSE)-50),"-",(VLOOKUP($A90,'SegEnds_NonXtal_BW#'!$A:$Z,17,FALSE)+VLOOKUP($A90,A:AL,25,FALSE)-50))</f>
        <v>175</v>
      </c>
      <c r="Y90" s="3">
        <v>175</v>
      </c>
      <c r="Z90" s="3">
        <f>Y90+2</f>
        <v>177</v>
      </c>
      <c r="AA90" s="3">
        <f>IF(ISERROR(VLOOKUP($A90,'SegEnds_NonXtal_BW#'!$A:$Z,19,FALSE)+VLOOKUP($A90,A:AL,28,FALSE)-50),"-",(VLOOKUP($A90,'SegEnds_NonXtal_BW#'!$A:$Z,19,FALSE)+VLOOKUP($A90,A:AL,28,FALSE)-50))</f>
        <v>183</v>
      </c>
      <c r="AB90" s="3">
        <v>203</v>
      </c>
      <c r="AC90" s="3">
        <f>IF(ISERROR((VLOOKUP($A90,'SegEnds_NonXtal_BW#'!$A:$Z,20,FALSE)+VLOOKUP($A90,A:AL,28,FALSE)-50)),"-",(VLOOKUP($A90,'SegEnds_NonXtal_BW#'!$A:$Z,20,FALSE)+VLOOKUP($A90,A:AL,28,FALSE)-50))</f>
        <v>221</v>
      </c>
      <c r="AD90" s="3">
        <f>IF(ISERROR(VLOOKUP($A90,'SegEnds_NonXtal_BW#'!$A:$Z,21,FALSE)+VLOOKUP($A90,A:AL,31,FALSE)-50),"-",(VLOOKUP($A90,'SegEnds_NonXtal_BW#'!$A:$Z,21,FALSE)+VLOOKUP($A90,A:AL,31,FALSE)-50))</f>
        <v>226</v>
      </c>
      <c r="AE90" s="3">
        <v>246</v>
      </c>
      <c r="AF90" s="3">
        <f>IF(ISERROR((VLOOKUP($A90,'SegEnds_NonXtal_BW#'!$A:$Z,22,FALSE)+VLOOKUP($A90,A:AL,31,FALSE)-50)),"-",(VLOOKUP($A90,'SegEnds_NonXtal_BW#'!$A:$Z,22,FALSE)+VLOOKUP($A90,A:AL,31,FALSE)-50))</f>
        <v>260</v>
      </c>
      <c r="AG90" s="3">
        <f>IF(ISERROR(VLOOKUP($A90,'SegEnds_NonXtal_BW#'!$A:$Z,23,FALSE)+VLOOKUP($A90,A:AL,34,FALSE)-50),"-",(VLOOKUP($A90,'SegEnds_NonXtal_BW#'!$A:$Z,23,FALSE)+VLOOKUP($A90,A:AL,34,FALSE)-50))</f>
        <v>264</v>
      </c>
      <c r="AH90" s="3">
        <v>290</v>
      </c>
      <c r="AI90" s="3">
        <f>IF(ISERROR((VLOOKUP($A90,'SegEnds_NonXtal_BW#'!$A:$Z,24,FALSE)+VLOOKUP($A90,A:AL,34,FALSE)-50)),"-",(VLOOKUP($A90,'SegEnds_NonXtal_BW#'!$A:$Z,24,FALSE)+VLOOKUP($A90,A:AL,34,FALSE)-50))</f>
        <v>296</v>
      </c>
      <c r="AJ90" s="3">
        <f>IF(ISERROR(VLOOKUP($A90,'SegEnds_NonXtal_BW#'!$A:$Z,25,FALSE)+VLOOKUP($A90,A:AL,37,FALSE)-50),"-",(VLOOKUP($A90,'SegEnds_NonXtal_BW#'!$A:$Z,25,FALSE)+VLOOKUP($A90,A:AL,37,FALSE)-50))</f>
        <v>297</v>
      </c>
      <c r="AK90" s="3">
        <v>300</v>
      </c>
      <c r="AL90" s="3">
        <f>IF(ISERROR((VLOOKUP($A90,'SegEnds_NonXtal_BW#'!$A:$Z,26,FALSE)+VLOOKUP($A90,A:AL,37,FALSE)-50)),"-",(VLOOKUP($A90,'SegEnds_NonXtal_BW#'!$A:$Z,26,FALSE)+VLOOKUP($A90,A:AL,37,FALSE)-50))</f>
        <v>309</v>
      </c>
      <c r="AM90" s="28" t="str">
        <f>VLOOKUP(A90,Classification!A:B,2,FALSE)</f>
        <v>A</v>
      </c>
      <c r="AN90" s="28" t="b">
        <f>AND(IF(Y90="-",IF(AA90-W90&gt;3,TRUE,FALSE),TRUE),IF(M90="-",IF(O90-K90&gt;3,TRUE,FALSE),TRUE),C90&lt;E90,OR(E90&lt;F90,F90="-"),OR(F90&lt;H90,F90="-"),OR(H90&lt;I90,H90="-"),I90&lt;K90,OR(K90&lt;L90,L90="-"),OR(L90&lt;N90,L90="-"),OR(N90&lt;O90,N90="-"),O90&lt;Q90,OR(Q90&lt;R90,R90="-"),OR(R90&lt;T90,R90="-"),OR(T90&lt;U90,T90="-"),U90&lt;W90,OR(W90&lt;X90,X90="-"),OR(X90&lt;Z90,X90="-"),OR(Z90&lt;AA90,Z90="-"),AA90&lt;AC90,AC90&lt;AD90,AD90&lt;AF90,AF90&lt;AG90,AG90&lt;AI90,OR(AI90&lt;AJ90,AJ90="-"),OR(AJ90&lt;AL90,AJ90="-"))</f>
        <v>1</v>
      </c>
      <c r="AO90" s="3" t="str">
        <f>IF(ISERROR(MATCH(A90,'SegEnds_Xtal_Prot#'!B:B, 0)), "NoXtal", "Xtal")</f>
        <v>NoXtal</v>
      </c>
      <c r="AP90" s="3">
        <f>IF(ISERROR(F90-E90),"-",F90-E90)</f>
        <v>1</v>
      </c>
      <c r="AQ90" s="3">
        <f>IF(ISERROR(I90-H90),"-",I90-H90)</f>
        <v>1</v>
      </c>
      <c r="AR90" s="3" t="str">
        <f>IF(ISERROR(L90-K90),"-",L90-K90)</f>
        <v>-</v>
      </c>
      <c r="AS90" s="3" t="str">
        <f>IF(ISERROR(O90-N90),"-",O90-N90)</f>
        <v>-</v>
      </c>
      <c r="AT90" s="3">
        <f>IF(ISERROR(R90-Q90),"-",R90-Q90)</f>
        <v>1</v>
      </c>
      <c r="AU90" s="3">
        <f>IF(ISERROR(U90-T90),"-",U90-T90)</f>
        <v>1</v>
      </c>
      <c r="AV90" s="3">
        <f>IF(ISERROR(X90-W90),"-",X90-W90)</f>
        <v>7</v>
      </c>
      <c r="AW90" s="3">
        <f>IF(ISERROR(AA90-Z90),"-",AA90-Z90)</f>
        <v>6</v>
      </c>
      <c r="AX90" s="3">
        <f>IF(ISERROR(AD90-AC90),"-",AD90-AC90)</f>
        <v>5</v>
      </c>
      <c r="AY90" s="3">
        <f>IF(ISERROR(AG90-AF90),"-",AG90-AF90)</f>
        <v>4</v>
      </c>
      <c r="AZ90" s="3">
        <f>IF(ISERROR(AJ90-AI90),"-",AJ90-AI90)</f>
        <v>1</v>
      </c>
      <c r="BA90" s="3">
        <f>IF(ISERROR(LEN(VLOOKUP(A90,Seqs!A:E,2,FALSE))-AL90),"-",LEN(VLOOKUP(A90,Seqs!A:E,2,FALSE))-AL90)</f>
        <v>46</v>
      </c>
      <c r="BB90" s="16">
        <f>J90-D90</f>
        <v>28</v>
      </c>
      <c r="BC90" s="9">
        <f>IF(ISERROR(V90-S90),"-",V90-S90)</f>
        <v>20</v>
      </c>
      <c r="BD90" s="3">
        <f>J90-D90</f>
        <v>28</v>
      </c>
      <c r="BE90" s="3">
        <f>AE90-AB90</f>
        <v>43</v>
      </c>
    </row>
    <row r="91" spans="1:58" s="3" customFormat="1" x14ac:dyDescent="0.2">
      <c r="A91" s="3" t="s">
        <v>187</v>
      </c>
      <c r="B91" s="3" t="str">
        <f>LOWER(VLOOKUP(A91,Xtal_Templ!A:B,2,FALSE))</f>
        <v>cxcr4_human</v>
      </c>
      <c r="C91" s="3">
        <f>VLOOKUP($A91,'SegEnds_NonXtal_BW#'!$A:$Z,3,FALSE)+D91-50</f>
        <v>45</v>
      </c>
      <c r="D91" s="3">
        <v>71</v>
      </c>
      <c r="E91" s="3">
        <f>IF(ISERROR(VLOOKUP($A91,'SegEnds_NonXtal_BW#'!$A:$Z,4,FALSE)+VLOOKUP($A91,A:AL,4,FALSE)-50),"-",(VLOOKUP($A91,'SegEnds_NonXtal_BW#'!$A:$Z,4,FALSE)+VLOOKUP($A91,A:AL,4,FALSE)-50))</f>
        <v>81</v>
      </c>
      <c r="F91" s="3">
        <f>G91-2</f>
        <v>82</v>
      </c>
      <c r="G91" s="3">
        <v>84</v>
      </c>
      <c r="H91" s="3">
        <f>G91+1</f>
        <v>85</v>
      </c>
      <c r="I91" s="3">
        <f>H91+1</f>
        <v>86</v>
      </c>
      <c r="J91" s="3">
        <v>99</v>
      </c>
      <c r="K91" s="3">
        <f>VLOOKUP($A91,'SegEnds_NonXtal_BW#'!$A:$Z,8,FALSE)+VLOOKUP($A91,A:AL,10,FALSE)-50</f>
        <v>115</v>
      </c>
      <c r="L91" s="3">
        <f>M91-1</f>
        <v>116</v>
      </c>
      <c r="M91" s="3">
        <v>117</v>
      </c>
      <c r="N91" s="3">
        <f>M91+2</f>
        <v>119</v>
      </c>
      <c r="O91" s="3">
        <f>N91+1</f>
        <v>120</v>
      </c>
      <c r="P91" s="3">
        <v>149</v>
      </c>
      <c r="Q91" s="3">
        <f>VLOOKUP($A91,'SegEnds_NonXtal_BW#'!$A:$Z,12,FALSE)+VLOOKUP($A91,A:AL,16,FALSE)-50</f>
        <v>155</v>
      </c>
      <c r="R91" s="3">
        <f>IF(ISERROR(VLOOKUP($A91,'SegEnds_NonXtal_BW#'!$A:$Z,13,FALSE)+VLOOKUP($A91,A:AL,19,FALSE)-50),"-",VLOOKUP($A91,'SegEnds_NonXtal_BW#'!$A:$Z,13,FALSE)+VLOOKUP($A91,A:AL,19,FALSE)-50)</f>
        <v>156</v>
      </c>
      <c r="S91" s="3">
        <v>156</v>
      </c>
      <c r="T91" s="103">
        <f>IF(ISERROR(VLOOKUP($A91,'SegEnds_NonXtal_BW#'!$A:$Z,14,FALSE)+VLOOKUP($A91,A:AL,19,FALSE)-50),"-",(VLOOKUP($A91,'SegEnds_NonXtal_BW#'!$A:$Z,14,FALSE)+VLOOKUP($A91,A:AL,19,FALSE)-50))</f>
        <v>163</v>
      </c>
      <c r="U91" s="9">
        <f>IF(ISERROR(VLOOKUP($A91,'SegEnds_NonXtal_BW#'!$A:$Z,15,FALSE)+VLOOKUP($A91,A:AL,22,FALSE)-50),"-",VLOOKUP($A91,'SegEnds_NonXtal_BW#'!$A:$Z,15,FALSE)+VLOOKUP($A91,A:AL,22,FALSE)-50)</f>
        <v>164</v>
      </c>
      <c r="V91" s="3">
        <v>176</v>
      </c>
      <c r="W91" s="3">
        <f>IF(ISERROR(VLOOKUP($A91,'SegEnds_NonXtal_BW#'!$A:$Z,16,FALSE)+VLOOKUP($A91,A:AL,22,FALSE)-50),"-",(VLOOKUP($A91,'SegEnds_NonXtal_BW#'!$A:$Z,16,FALSE)+VLOOKUP($A91,A:AL,22,FALSE)-50))</f>
        <v>190</v>
      </c>
      <c r="X91" s="3">
        <f>IF(ISERROR(VLOOKUP($A91,'SegEnds_NonXtal_BW#'!$A:$Z,17,FALSE)+VLOOKUP($A91,A:AL,25,FALSE)-50),"-",(VLOOKUP($A91,'SegEnds_NonXtal_BW#'!$A:$Z,17,FALSE)+VLOOKUP($A91,A:AL,25,FALSE)-50))</f>
        <v>203</v>
      </c>
      <c r="Y91" s="3">
        <v>203</v>
      </c>
      <c r="Z91" s="3">
        <f>Y91+2</f>
        <v>205</v>
      </c>
      <c r="AA91" s="3">
        <f>IF(ISERROR(VLOOKUP($A91,'SegEnds_NonXtal_BW#'!$A:$Z,19,FALSE)+VLOOKUP($A91,A:AL,28,FALSE)-50),"-",(VLOOKUP($A91,'SegEnds_NonXtal_BW#'!$A:$Z,19,FALSE)+VLOOKUP($A91,A:AL,28,FALSE)-50))</f>
        <v>209</v>
      </c>
      <c r="AB91" s="3">
        <v>227</v>
      </c>
      <c r="AC91" s="3">
        <f>IF(ISERROR((VLOOKUP($A91,'SegEnds_NonXtal_BW#'!$A:$Z,20,FALSE)+VLOOKUP($A91,A:AL,28,FALSE)-50)),"-",(VLOOKUP($A91,'SegEnds_NonXtal_BW#'!$A:$Z,20,FALSE)+VLOOKUP($A91,A:AL,28,FALSE)-50))</f>
        <v>245</v>
      </c>
      <c r="AD91" s="3">
        <f>IF(ISERROR(VLOOKUP($A91,'SegEnds_NonXtal_BW#'!$A:$Z,21,FALSE)+VLOOKUP($A91,A:AL,31,FALSE)-50),"-",(VLOOKUP($A91,'SegEnds_NonXtal_BW#'!$A:$Z,21,FALSE)+VLOOKUP($A91,A:AL,31,FALSE)-50))</f>
        <v>250</v>
      </c>
      <c r="AE91" s="3">
        <v>270</v>
      </c>
      <c r="AF91" s="3">
        <f>IF(ISERROR((VLOOKUP($A91,'SegEnds_NonXtal_BW#'!$A:$Z,22,FALSE)+VLOOKUP($A91,A:AL,31,FALSE)-50)),"-",(VLOOKUP($A91,'SegEnds_NonXtal_BW#'!$A:$Z,22,FALSE)+VLOOKUP($A91,A:AL,31,FALSE)-50))</f>
        <v>284</v>
      </c>
      <c r="AG91" s="3">
        <f>IF(ISERROR(VLOOKUP($A91,'SegEnds_NonXtal_BW#'!$A:$Z,23,FALSE)+VLOOKUP($A91,A:AL,34,FALSE)-50),"-",(VLOOKUP($A91,'SegEnds_NonXtal_BW#'!$A:$Z,23,FALSE)+VLOOKUP($A91,A:AL,34,FALSE)-50))</f>
        <v>289</v>
      </c>
      <c r="AH91" s="3">
        <v>315</v>
      </c>
      <c r="AI91" s="3">
        <f>IF(ISERROR((VLOOKUP($A91,'SegEnds_NonXtal_BW#'!$A:$Z,24,FALSE)+VLOOKUP($A91,A:AL,34,FALSE)-50)),"-",(VLOOKUP($A91,'SegEnds_NonXtal_BW#'!$A:$Z,24,FALSE)+VLOOKUP($A91,A:AL,34,FALSE)-50))</f>
        <v>321</v>
      </c>
      <c r="AJ91" s="3">
        <f>IF(ISERROR(VLOOKUP($A91,'SegEnds_NonXtal_BW#'!$A:$Z,25,FALSE)+VLOOKUP($A91,A:AL,37,FALSE)-50),"-",(VLOOKUP($A91,'SegEnds_NonXtal_BW#'!$A:$Z,25,FALSE)+VLOOKUP($A91,A:AL,37,FALSE)-50))</f>
        <v>322</v>
      </c>
      <c r="AK91" s="3">
        <v>325</v>
      </c>
      <c r="AL91" s="3">
        <f>IF(ISERROR((VLOOKUP($A91,'SegEnds_NonXtal_BW#'!$A:$Z,26,FALSE)+VLOOKUP($A91,A:AL,37,FALSE)-50)),"-",(VLOOKUP($A91,'SegEnds_NonXtal_BW#'!$A:$Z,26,FALSE)+VLOOKUP($A91,A:AL,37,FALSE)-50))</f>
        <v>334</v>
      </c>
      <c r="AM91" s="28" t="str">
        <f>VLOOKUP(A91,Classification!A:B,2,FALSE)</f>
        <v>A</v>
      </c>
      <c r="AN91" s="28" t="b">
        <f>AND(IF(Y91="-",IF(AA91-W91&gt;3,TRUE,FALSE),TRUE),IF(M91="-",IF(O91-K91&gt;3,TRUE,FALSE),TRUE),C91&lt;E91,OR(E91&lt;F91,F91="-"),OR(F91&lt;H91,F91="-"),OR(H91&lt;I91,H91="-"),I91&lt;K91,OR(K91&lt;L91,L91="-"),OR(L91&lt;N91,L91="-"),OR(N91&lt;O91,N91="-"),O91&lt;Q91,OR(Q91&lt;R91,R91="-"),OR(R91&lt;T91,R91="-"),OR(T91&lt;U91,T91="-"),U91&lt;W91,OR(W91&lt;X91,X91="-"),OR(X91&lt;Z91,X91="-"),OR(Z91&lt;AA91,Z91="-"),AA91&lt;AC91,AC91&lt;AD91,AD91&lt;AF91,AF91&lt;AG91,AG91&lt;AI91,OR(AI91&lt;AJ91,AJ91="-"),OR(AJ91&lt;AL91,AJ91="-"))</f>
        <v>1</v>
      </c>
      <c r="AO91" s="3" t="str">
        <f>IF(ISERROR(MATCH(A91,'SegEnds_Xtal_Prot#'!B:B, 0)), "NoXtal", "Xtal")</f>
        <v>NoXtal</v>
      </c>
      <c r="AP91" s="3">
        <f>IF(ISERROR(F91-E91),"-",F91-E91)</f>
        <v>1</v>
      </c>
      <c r="AQ91" s="3">
        <f>IF(ISERROR(I91-H91),"-",I91-H91)</f>
        <v>1</v>
      </c>
      <c r="AR91" s="3">
        <f>IF(ISERROR(L91-K91),"-",L91-K91)</f>
        <v>1</v>
      </c>
      <c r="AS91" s="3">
        <f>IF(ISERROR(O91-N91),"-",O91-N91)</f>
        <v>1</v>
      </c>
      <c r="AT91" s="3">
        <f>IF(ISERROR(R91-Q91),"-",R91-Q91)</f>
        <v>1</v>
      </c>
      <c r="AU91" s="3">
        <f>IF(ISERROR(U91-T91),"-",U91-T91)</f>
        <v>1</v>
      </c>
      <c r="AV91" s="3">
        <f>IF(ISERROR(X91-W91),"-",X91-W91)</f>
        <v>13</v>
      </c>
      <c r="AW91" s="3">
        <f>IF(ISERROR(AA91-Z91),"-",AA91-Z91)</f>
        <v>4</v>
      </c>
      <c r="AX91" s="3">
        <f>IF(ISERROR(AD91-AC91),"-",AD91-AC91)</f>
        <v>5</v>
      </c>
      <c r="AY91" s="3">
        <f>IF(ISERROR(AG91-AF91),"-",AG91-AF91)</f>
        <v>5</v>
      </c>
      <c r="AZ91" s="3">
        <f>IF(ISERROR(AJ91-AI91),"-",AJ91-AI91)</f>
        <v>1</v>
      </c>
      <c r="BA91" s="3">
        <f>IF(ISERROR(LEN(VLOOKUP(A91,Seqs!A:E,2,FALSE))-AL91),"-",LEN(VLOOKUP(A91,Seqs!A:E,2,FALSE))-AL91)</f>
        <v>34</v>
      </c>
      <c r="BB91" s="16">
        <f>J91-D91</f>
        <v>28</v>
      </c>
      <c r="BC91" s="9">
        <f>IF(ISERROR(V91-S91),"-",V91-S91)</f>
        <v>20</v>
      </c>
      <c r="BD91" s="3">
        <f>J91-D91</f>
        <v>28</v>
      </c>
      <c r="BE91" s="3">
        <f>AE91-AB91</f>
        <v>43</v>
      </c>
    </row>
    <row r="92" spans="1:58" s="3" customFormat="1" x14ac:dyDescent="0.2">
      <c r="A92" s="3" t="s">
        <v>1172</v>
      </c>
      <c r="B92" s="3" t="str">
        <f>LOWER(VLOOKUP(A92,Xtal_Templ!A:B,2,FALSE))</f>
        <v>cxcr4_human</v>
      </c>
      <c r="C92" s="3">
        <f>VLOOKUP($A92,'SegEnds_NonXtal_BW#'!$A:$Z,3,FALSE)+D92-50</f>
        <v>30</v>
      </c>
      <c r="D92" s="3">
        <v>56</v>
      </c>
      <c r="E92" s="3">
        <f>IF(ISERROR(VLOOKUP($A92,'SegEnds_NonXtal_BW#'!$A:$Z,4,FALSE)+VLOOKUP($A92,A:AL,4,FALSE)-50),"-",(VLOOKUP($A92,'SegEnds_NonXtal_BW#'!$A:$Z,4,FALSE)+VLOOKUP($A92,A:AL,4,FALSE)-50))</f>
        <v>66</v>
      </c>
      <c r="F92" s="3">
        <f>G92-2</f>
        <v>67</v>
      </c>
      <c r="G92" s="3">
        <v>69</v>
      </c>
      <c r="H92" s="3">
        <f>G92+1</f>
        <v>70</v>
      </c>
      <c r="I92" s="3">
        <f>H92+1</f>
        <v>71</v>
      </c>
      <c r="J92" s="3">
        <v>84</v>
      </c>
      <c r="K92" s="3">
        <f>VLOOKUP($A92,'SegEnds_NonXtal_BW#'!$A:$Z,8,FALSE)+VLOOKUP($A92,A:AL,10,FALSE)-50</f>
        <v>100</v>
      </c>
      <c r="L92" s="3">
        <f>M92-1</f>
        <v>101</v>
      </c>
      <c r="M92" s="3">
        <v>102</v>
      </c>
      <c r="N92" s="3">
        <f>M92+2</f>
        <v>104</v>
      </c>
      <c r="O92" s="3">
        <f>N92+1</f>
        <v>105</v>
      </c>
      <c r="P92" s="3">
        <v>134</v>
      </c>
      <c r="Q92" s="3">
        <f>VLOOKUP($A92,'SegEnds_NonXtal_BW#'!$A:$Z,12,FALSE)+VLOOKUP($A92,A:AL,16,FALSE)-50</f>
        <v>140</v>
      </c>
      <c r="R92" s="3">
        <f>IF(ISERROR(VLOOKUP($A92,'SegEnds_NonXtal_BW#'!$A:$Z,13,FALSE)+VLOOKUP($A92,A:AL,19,FALSE)-50),"-",VLOOKUP($A92,'SegEnds_NonXtal_BW#'!$A:$Z,13,FALSE)+VLOOKUP($A92,A:AL,19,FALSE)-50)</f>
        <v>141</v>
      </c>
      <c r="S92" s="3">
        <v>141</v>
      </c>
      <c r="T92" s="103">
        <f>IF(ISERROR(VLOOKUP($A92,'SegEnds_NonXtal_BW#'!$A:$Z,14,FALSE)+VLOOKUP($A92,A:AL,19,FALSE)-50),"-",(VLOOKUP($A92,'SegEnds_NonXtal_BW#'!$A:$Z,14,FALSE)+VLOOKUP($A92,A:AL,19,FALSE)-50))</f>
        <v>148</v>
      </c>
      <c r="U92" s="9">
        <f>IF(ISERROR(VLOOKUP($A92,'SegEnds_NonXtal_BW#'!$A:$Z,15,FALSE)+VLOOKUP($A92,A:AL,22,FALSE)-50),"-",VLOOKUP($A92,'SegEnds_NonXtal_BW#'!$A:$Z,15,FALSE)+VLOOKUP($A92,A:AL,22,FALSE)-50)</f>
        <v>149</v>
      </c>
      <c r="V92" s="3">
        <v>161</v>
      </c>
      <c r="W92" s="3">
        <f>IF(ISERROR(VLOOKUP($A92,'SegEnds_NonXtal_BW#'!$A:$Z,16,FALSE)+VLOOKUP($A92,A:AL,22,FALSE)-50),"-",(VLOOKUP($A92,'SegEnds_NonXtal_BW#'!$A:$Z,16,FALSE)+VLOOKUP($A92,A:AL,22,FALSE)-50))</f>
        <v>175</v>
      </c>
      <c r="X92" s="3">
        <f>IF(ISERROR(VLOOKUP($A92,'SegEnds_NonXtal_BW#'!$A:$Z,17,FALSE)+VLOOKUP($A92,A:AL,25,FALSE)-50),"-",(VLOOKUP($A92,'SegEnds_NonXtal_BW#'!$A:$Z,17,FALSE)+VLOOKUP($A92,A:AL,25,FALSE)-50))</f>
        <v>186</v>
      </c>
      <c r="Y92" s="3">
        <v>186</v>
      </c>
      <c r="Z92" s="3">
        <f>Y92+2</f>
        <v>188</v>
      </c>
      <c r="AA92" s="3">
        <f>IF(ISERROR(VLOOKUP($A92,'SegEnds_NonXtal_BW#'!$A:$Z,19,FALSE)+VLOOKUP($A92,A:AL,28,FALSE)-50),"-",(VLOOKUP($A92,'SegEnds_NonXtal_BW#'!$A:$Z,19,FALSE)+VLOOKUP($A92,A:AL,28,FALSE)-50))</f>
        <v>193</v>
      </c>
      <c r="AB92" s="3">
        <v>211</v>
      </c>
      <c r="AC92" s="3">
        <f>IF(ISERROR((VLOOKUP($A92,'SegEnds_NonXtal_BW#'!$A:$Z,20,FALSE)+VLOOKUP($A92,A:AL,28,FALSE)-50)),"-",(VLOOKUP($A92,'SegEnds_NonXtal_BW#'!$A:$Z,20,FALSE)+VLOOKUP($A92,A:AL,28,FALSE)-50))</f>
        <v>229</v>
      </c>
      <c r="AD92" s="3">
        <f>IF(ISERROR(VLOOKUP($A92,'SegEnds_NonXtal_BW#'!$A:$Z,21,FALSE)+VLOOKUP($A92,A:AL,31,FALSE)-50),"-",(VLOOKUP($A92,'SegEnds_NonXtal_BW#'!$A:$Z,21,FALSE)+VLOOKUP($A92,A:AL,31,FALSE)-50))</f>
        <v>234</v>
      </c>
      <c r="AE92" s="3">
        <v>254</v>
      </c>
      <c r="AF92" s="3">
        <f>IF(ISERROR((VLOOKUP($A92,'SegEnds_NonXtal_BW#'!$A:$Z,22,FALSE)+VLOOKUP($A92,A:AL,31,FALSE)-50)),"-",(VLOOKUP($A92,'SegEnds_NonXtal_BW#'!$A:$Z,22,FALSE)+VLOOKUP($A92,A:AL,31,FALSE)-50))</f>
        <v>268</v>
      </c>
      <c r="AG92" s="3">
        <f>IF(ISERROR(VLOOKUP($A92,'SegEnds_NonXtal_BW#'!$A:$Z,23,FALSE)+VLOOKUP($A92,A:AL,34,FALSE)-50),"-",(VLOOKUP($A92,'SegEnds_NonXtal_BW#'!$A:$Z,23,FALSE)+VLOOKUP($A92,A:AL,34,FALSE)-50))</f>
        <v>273</v>
      </c>
      <c r="AH92" s="3">
        <v>299</v>
      </c>
      <c r="AI92" s="3">
        <f>IF(ISERROR((VLOOKUP($A92,'SegEnds_NonXtal_BW#'!$A:$Z,24,FALSE)+VLOOKUP($A92,A:AL,34,FALSE)-50)),"-",(VLOOKUP($A92,'SegEnds_NonXtal_BW#'!$A:$Z,24,FALSE)+VLOOKUP($A92,A:AL,34,FALSE)-50))</f>
        <v>305</v>
      </c>
      <c r="AJ92" s="3">
        <f>IF(ISERROR(VLOOKUP($A92,'SegEnds_NonXtal_BW#'!$A:$Z,25,FALSE)+VLOOKUP($A92,A:AL,37,FALSE)-50),"-",(VLOOKUP($A92,'SegEnds_NonXtal_BW#'!$A:$Z,25,FALSE)+VLOOKUP($A92,A:AL,37,FALSE)-50))</f>
        <v>306</v>
      </c>
      <c r="AK92" s="3">
        <v>309</v>
      </c>
      <c r="AL92" s="3">
        <f>IF(ISERROR((VLOOKUP($A92,'SegEnds_NonXtal_BW#'!$A:$Z,26,FALSE)+VLOOKUP($A92,A:AL,37,FALSE)-50)),"-",(VLOOKUP($A92,'SegEnds_NonXtal_BW#'!$A:$Z,26,FALSE)+VLOOKUP($A92,A:AL,37,FALSE)-50))</f>
        <v>318</v>
      </c>
      <c r="AM92" s="28" t="str">
        <f>VLOOKUP(A92,Classification!A:B,2,FALSE)</f>
        <v>A</v>
      </c>
      <c r="AN92" s="28" t="b">
        <f>AND(IF(Y92="-",IF(AA92-W92&gt;3,TRUE,FALSE),TRUE),IF(M92="-",IF(O92-K92&gt;3,TRUE,FALSE),TRUE),C92&lt;E92,OR(E92&lt;F92,F92="-"),OR(F92&lt;H92,F92="-"),OR(H92&lt;I92,H92="-"),I92&lt;K92,OR(K92&lt;L92,L92="-"),OR(L92&lt;N92,L92="-"),OR(N92&lt;O92,N92="-"),O92&lt;Q92,OR(Q92&lt;R92,R92="-"),OR(R92&lt;T92,R92="-"),OR(T92&lt;U92,T92="-"),U92&lt;W92,OR(W92&lt;X92,X92="-"),OR(X92&lt;Z92,X92="-"),OR(Z92&lt;AA92,Z92="-"),AA92&lt;AC92,AC92&lt;AD92,AD92&lt;AF92,AF92&lt;AG92,AG92&lt;AI92,OR(AI92&lt;AJ92,AJ92="-"),OR(AJ92&lt;AL92,AJ92="-"))</f>
        <v>1</v>
      </c>
      <c r="AO92" s="3" t="str">
        <f>IF(ISERROR(MATCH(A92,'SegEnds_Xtal_Prot#'!B:B, 0)), "NoXtal", "Xtal")</f>
        <v>Xtal</v>
      </c>
      <c r="AP92" s="3">
        <f>IF(ISERROR(F92-E92),"-",F92-E92)</f>
        <v>1</v>
      </c>
      <c r="AQ92" s="3">
        <f>IF(ISERROR(I92-H92),"-",I92-H92)</f>
        <v>1</v>
      </c>
      <c r="AR92" s="3">
        <f>IF(ISERROR(L92-K92),"-",L92-K92)</f>
        <v>1</v>
      </c>
      <c r="AS92" s="3">
        <f>IF(ISERROR(O92-N92),"-",O92-N92)</f>
        <v>1</v>
      </c>
      <c r="AT92" s="3">
        <f>IF(ISERROR(R92-Q92),"-",R92-Q92)</f>
        <v>1</v>
      </c>
      <c r="AU92" s="3">
        <f>IF(ISERROR(U92-T92),"-",U92-T92)</f>
        <v>1</v>
      </c>
      <c r="AV92" s="3">
        <f>IF(ISERROR(X92-W92),"-",X92-W92)</f>
        <v>11</v>
      </c>
      <c r="AW92" s="3">
        <f>IF(ISERROR(AA92-Z92),"-",AA92-Z92)</f>
        <v>5</v>
      </c>
      <c r="AX92" s="3">
        <f>IF(ISERROR(AD92-AC92),"-",AD92-AC92)</f>
        <v>5</v>
      </c>
      <c r="AY92" s="3">
        <f>IF(ISERROR(AG92-AF92),"-",AG92-AF92)</f>
        <v>5</v>
      </c>
      <c r="AZ92" s="3">
        <f>IF(ISERROR(AJ92-AI92),"-",AJ92-AI92)</f>
        <v>1</v>
      </c>
      <c r="BA92" s="3">
        <f>IF(ISERROR(LEN(VLOOKUP(A92,Seqs!A:E,2,FALSE))-AL92),"-",LEN(VLOOKUP(A92,Seqs!A:E,2,FALSE))-AL92)</f>
        <v>34</v>
      </c>
      <c r="BB92" s="16">
        <f>J92-D92</f>
        <v>28</v>
      </c>
      <c r="BC92" s="9">
        <f>IF(ISERROR(V92-S92),"-",V92-S92)</f>
        <v>20</v>
      </c>
      <c r="BD92" s="3">
        <f>J92-D92</f>
        <v>28</v>
      </c>
      <c r="BE92" s="3">
        <f>AE92-AB92</f>
        <v>43</v>
      </c>
    </row>
    <row r="93" spans="1:58" s="3" customFormat="1" x14ac:dyDescent="0.2">
      <c r="A93" s="3" t="s">
        <v>188</v>
      </c>
      <c r="B93" s="3" t="str">
        <f>LOWER(VLOOKUP(A93,Xtal_Templ!A:B,2,FALSE))</f>
        <v>cxcr4_human</v>
      </c>
      <c r="C93" s="3">
        <f>VLOOKUP($A93,'SegEnds_NonXtal_BW#'!$A:$Z,3,FALSE)+D93-50</f>
        <v>43</v>
      </c>
      <c r="D93" s="3">
        <v>69</v>
      </c>
      <c r="E93" s="3">
        <f>IF(ISERROR(VLOOKUP($A93,'SegEnds_NonXtal_BW#'!$A:$Z,4,FALSE)+VLOOKUP($A93,A:AL,4,FALSE)-50),"-",(VLOOKUP($A93,'SegEnds_NonXtal_BW#'!$A:$Z,4,FALSE)+VLOOKUP($A93,A:AL,4,FALSE)-50))</f>
        <v>79</v>
      </c>
      <c r="F93" s="3">
        <f>G93-2</f>
        <v>80</v>
      </c>
      <c r="G93" s="3">
        <v>82</v>
      </c>
      <c r="H93" s="3">
        <f>G93+1</f>
        <v>83</v>
      </c>
      <c r="I93" s="3">
        <f>H93+1</f>
        <v>84</v>
      </c>
      <c r="J93" s="3">
        <v>97</v>
      </c>
      <c r="K93" s="3">
        <f>VLOOKUP($A93,'SegEnds_NonXtal_BW#'!$A:$Z,8,FALSE)+VLOOKUP($A93,A:AL,10,FALSE)-50</f>
        <v>113</v>
      </c>
      <c r="L93" s="3">
        <f>M93-1</f>
        <v>114</v>
      </c>
      <c r="M93" s="3">
        <v>115</v>
      </c>
      <c r="N93" s="3">
        <f>M93+2</f>
        <v>117</v>
      </c>
      <c r="O93" s="3">
        <f>N93+1</f>
        <v>118</v>
      </c>
      <c r="P93" s="3">
        <v>147</v>
      </c>
      <c r="Q93" s="3">
        <f>VLOOKUP($A93,'SegEnds_NonXtal_BW#'!$A:$Z,12,FALSE)+VLOOKUP($A93,A:AL,16,FALSE)-50</f>
        <v>153</v>
      </c>
      <c r="R93" s="3">
        <f>IF(ISERROR(VLOOKUP($A93,'SegEnds_NonXtal_BW#'!$A:$Z,13,FALSE)+VLOOKUP($A93,A:AL,19,FALSE)-50),"-",VLOOKUP($A93,'SegEnds_NonXtal_BW#'!$A:$Z,13,FALSE)+VLOOKUP($A93,A:AL,19,FALSE)-50)</f>
        <v>154</v>
      </c>
      <c r="S93" s="3">
        <v>154</v>
      </c>
      <c r="T93" s="103">
        <f>IF(ISERROR(VLOOKUP($A93,'SegEnds_NonXtal_BW#'!$A:$Z,14,FALSE)+VLOOKUP($A93,A:AL,19,FALSE)-50),"-",(VLOOKUP($A93,'SegEnds_NonXtal_BW#'!$A:$Z,14,FALSE)+VLOOKUP($A93,A:AL,19,FALSE)-50))</f>
        <v>161</v>
      </c>
      <c r="U93" s="9">
        <f>IF(ISERROR(VLOOKUP($A93,'SegEnds_NonXtal_BW#'!$A:$Z,15,FALSE)+VLOOKUP($A93,A:AL,22,FALSE)-50),"-",VLOOKUP($A93,'SegEnds_NonXtal_BW#'!$A:$Z,15,FALSE)+VLOOKUP($A93,A:AL,22,FALSE)-50)</f>
        <v>162</v>
      </c>
      <c r="V93" s="3">
        <v>174</v>
      </c>
      <c r="W93" s="3">
        <f>IF(ISERROR(VLOOKUP($A93,'SegEnds_NonXtal_BW#'!$A:$Z,16,FALSE)+VLOOKUP($A93,A:AL,22,FALSE)-50),"-",(VLOOKUP($A93,'SegEnds_NonXtal_BW#'!$A:$Z,16,FALSE)+VLOOKUP($A93,A:AL,22,FALSE)-50))</f>
        <v>188</v>
      </c>
      <c r="X93" s="3">
        <f>IF(ISERROR(VLOOKUP($A93,'SegEnds_NonXtal_BW#'!$A:$Z,17,FALSE)+VLOOKUP($A93,A:AL,25,FALSE)-50),"-",(VLOOKUP($A93,'SegEnds_NonXtal_BW#'!$A:$Z,17,FALSE)+VLOOKUP($A93,A:AL,25,FALSE)-50))</f>
        <v>202</v>
      </c>
      <c r="Y93" s="3">
        <v>202</v>
      </c>
      <c r="Z93" s="3">
        <f>Y93+2</f>
        <v>204</v>
      </c>
      <c r="AA93" s="3">
        <f>IF(ISERROR(VLOOKUP($A93,'SegEnds_NonXtal_BW#'!$A:$Z,19,FALSE)+VLOOKUP($A93,A:AL,28,FALSE)-50),"-",(VLOOKUP($A93,'SegEnds_NonXtal_BW#'!$A:$Z,19,FALSE)+VLOOKUP($A93,A:AL,28,FALSE)-50))</f>
        <v>212</v>
      </c>
      <c r="AB93" s="3">
        <v>230</v>
      </c>
      <c r="AC93" s="3">
        <f>IF(ISERROR((VLOOKUP($A93,'SegEnds_NonXtal_BW#'!$A:$Z,20,FALSE)+VLOOKUP($A93,A:AL,28,FALSE)-50)),"-",(VLOOKUP($A93,'SegEnds_NonXtal_BW#'!$A:$Z,20,FALSE)+VLOOKUP($A93,A:AL,28,FALSE)-50))</f>
        <v>248</v>
      </c>
      <c r="AD93" s="3">
        <f>IF(ISERROR(VLOOKUP($A93,'SegEnds_NonXtal_BW#'!$A:$Z,21,FALSE)+VLOOKUP($A93,A:AL,31,FALSE)-50),"-",(VLOOKUP($A93,'SegEnds_NonXtal_BW#'!$A:$Z,21,FALSE)+VLOOKUP($A93,A:AL,31,FALSE)-50))</f>
        <v>252</v>
      </c>
      <c r="AE93" s="3">
        <v>274</v>
      </c>
      <c r="AF93" s="3">
        <f>IF(ISERROR((VLOOKUP($A93,'SegEnds_NonXtal_BW#'!$A:$Z,22,FALSE)+VLOOKUP($A93,A:AL,31,FALSE)-50)),"-",(VLOOKUP($A93,'SegEnds_NonXtal_BW#'!$A:$Z,22,FALSE)+VLOOKUP($A93,A:AL,31,FALSE)-50))</f>
        <v>288</v>
      </c>
      <c r="AG93" s="3">
        <f>IF(ISERROR(VLOOKUP($A93,'SegEnds_NonXtal_BW#'!$A:$Z,23,FALSE)+VLOOKUP($A93,A:AL,34,FALSE)-50),"-",(VLOOKUP($A93,'SegEnds_NonXtal_BW#'!$A:$Z,23,FALSE)+VLOOKUP($A93,A:AL,34,FALSE)-50))</f>
        <v>293</v>
      </c>
      <c r="AH93" s="3">
        <v>319</v>
      </c>
      <c r="AI93" s="3">
        <f>IF(ISERROR((VLOOKUP($A93,'SegEnds_NonXtal_BW#'!$A:$Z,24,FALSE)+VLOOKUP($A93,A:AL,34,FALSE)-50)),"-",(VLOOKUP($A93,'SegEnds_NonXtal_BW#'!$A:$Z,24,FALSE)+VLOOKUP($A93,A:AL,34,FALSE)-50))</f>
        <v>325</v>
      </c>
      <c r="AJ93" s="3">
        <f>IF(ISERROR(VLOOKUP($A93,'SegEnds_NonXtal_BW#'!$A:$Z,25,FALSE)+VLOOKUP($A93,A:AL,37,FALSE)-50),"-",(VLOOKUP($A93,'SegEnds_NonXtal_BW#'!$A:$Z,25,FALSE)+VLOOKUP($A93,A:AL,37,FALSE)-50))</f>
        <v>326</v>
      </c>
      <c r="AK93" s="3">
        <v>329</v>
      </c>
      <c r="AL93" s="3">
        <f>IF(ISERROR((VLOOKUP($A93,'SegEnds_NonXtal_BW#'!$A:$Z,26,FALSE)+VLOOKUP($A93,A:AL,37,FALSE)-50)),"-",(VLOOKUP($A93,'SegEnds_NonXtal_BW#'!$A:$Z,26,FALSE)+VLOOKUP($A93,A:AL,37,FALSE)-50))</f>
        <v>338</v>
      </c>
      <c r="AM93" s="28" t="str">
        <f>VLOOKUP(A93,Classification!A:B,2,FALSE)</f>
        <v>A</v>
      </c>
      <c r="AN93" s="28" t="b">
        <f>AND(IF(Y93="-",IF(AA93-W93&gt;3,TRUE,FALSE),TRUE),IF(M93="-",IF(O93-K93&gt;3,TRUE,FALSE),TRUE),C93&lt;E93,OR(E93&lt;F93,F93="-"),OR(F93&lt;H93,F93="-"),OR(H93&lt;I93,H93="-"),I93&lt;K93,OR(K93&lt;L93,L93="-"),OR(L93&lt;N93,L93="-"),OR(N93&lt;O93,N93="-"),O93&lt;Q93,OR(Q93&lt;R93,R93="-"),OR(R93&lt;T93,R93="-"),OR(T93&lt;U93,T93="-"),U93&lt;W93,OR(W93&lt;X93,X93="-"),OR(X93&lt;Z93,X93="-"),OR(Z93&lt;AA93,Z93="-"),AA93&lt;AC93,AC93&lt;AD93,AD93&lt;AF93,AF93&lt;AG93,AG93&lt;AI93,OR(AI93&lt;AJ93,AJ93="-"),OR(AJ93&lt;AL93,AJ93="-"))</f>
        <v>1</v>
      </c>
      <c r="AO93" s="3" t="str">
        <f>IF(ISERROR(MATCH(A93,'SegEnds_Xtal_Prot#'!B:B, 0)), "NoXtal", "Xtal")</f>
        <v>NoXtal</v>
      </c>
      <c r="AP93" s="3">
        <f>IF(ISERROR(F93-E93),"-",F93-E93)</f>
        <v>1</v>
      </c>
      <c r="AQ93" s="3">
        <f>IF(ISERROR(I93-H93),"-",I93-H93)</f>
        <v>1</v>
      </c>
      <c r="AR93" s="3">
        <f>IF(ISERROR(L93-K93),"-",L93-K93)</f>
        <v>1</v>
      </c>
      <c r="AS93" s="3">
        <f>IF(ISERROR(O93-N93),"-",O93-N93)</f>
        <v>1</v>
      </c>
      <c r="AT93" s="3">
        <f>IF(ISERROR(R93-Q93),"-",R93-Q93)</f>
        <v>1</v>
      </c>
      <c r="AU93" s="3">
        <f>IF(ISERROR(U93-T93),"-",U93-T93)</f>
        <v>1</v>
      </c>
      <c r="AV93" s="3">
        <f>IF(ISERROR(X93-W93),"-",X93-W93)</f>
        <v>14</v>
      </c>
      <c r="AW93" s="3">
        <f>IF(ISERROR(AA93-Z93),"-",AA93-Z93)</f>
        <v>8</v>
      </c>
      <c r="AX93" s="3">
        <f>IF(ISERROR(AD93-AC93),"-",AD93-AC93)</f>
        <v>4</v>
      </c>
      <c r="AY93" s="3">
        <f>IF(ISERROR(AG93-AF93),"-",AG93-AF93)</f>
        <v>5</v>
      </c>
      <c r="AZ93" s="3">
        <f>IF(ISERROR(AJ93-AI93),"-",AJ93-AI93)</f>
        <v>1</v>
      </c>
      <c r="BA93" s="3">
        <f>IF(ISERROR(LEN(VLOOKUP(A93,Seqs!A:E,2,FALSE))-AL93),"-",LEN(VLOOKUP(A93,Seqs!A:E,2,FALSE))-AL93)</f>
        <v>34</v>
      </c>
      <c r="BB93" s="16">
        <f>J93-D93</f>
        <v>28</v>
      </c>
      <c r="BC93" s="9">
        <f>IF(ISERROR(V93-S93),"-",V93-S93)</f>
        <v>20</v>
      </c>
      <c r="BD93" s="3">
        <f>J93-D93</f>
        <v>28</v>
      </c>
      <c r="BE93" s="3">
        <f>AE93-AB93</f>
        <v>44</v>
      </c>
    </row>
    <row r="94" spans="1:58" s="3" customFormat="1" x14ac:dyDescent="0.2">
      <c r="A94" s="3" t="s">
        <v>190</v>
      </c>
      <c r="B94" s="3" t="str">
        <f>LOWER(VLOOKUP(A94,Xtal_Templ!A:B,2,FALSE))</f>
        <v>adrb2_human</v>
      </c>
      <c r="C94" s="3">
        <f>VLOOKUP($A94,'SegEnds_NonXtal_BW#'!$A:$Z,3,FALSE)+D94-50</f>
        <v>16</v>
      </c>
      <c r="D94" s="3">
        <v>41</v>
      </c>
      <c r="E94" s="3">
        <f>IF(ISERROR(VLOOKUP($A94,'SegEnds_NonXtal_BW#'!$A:$Z,4,FALSE)+VLOOKUP($A94,A:AL,4,FALSE)-50),"-",(VLOOKUP($A94,'SegEnds_NonXtal_BW#'!$A:$Z,4,FALSE)+VLOOKUP($A94,A:AL,4,FALSE)-50))</f>
        <v>51</v>
      </c>
      <c r="F94" s="3">
        <f>G94-2</f>
        <v>52</v>
      </c>
      <c r="G94" s="3">
        <v>54</v>
      </c>
      <c r="H94" s="3">
        <f>G94+1</f>
        <v>55</v>
      </c>
      <c r="I94" s="3">
        <f>H94+1</f>
        <v>56</v>
      </c>
      <c r="J94" s="3">
        <v>70</v>
      </c>
      <c r="K94" s="3">
        <f>VLOOKUP($A94,'SegEnds_NonXtal_BW#'!$A:$Z,8,FALSE)+VLOOKUP($A94,A:AL,10,FALSE)-50</f>
        <v>86</v>
      </c>
      <c r="L94" s="3">
        <f>M94-1</f>
        <v>89</v>
      </c>
      <c r="M94" s="3">
        <v>90</v>
      </c>
      <c r="N94" s="3">
        <f>M94+2</f>
        <v>92</v>
      </c>
      <c r="O94" s="3">
        <f>N94+1</f>
        <v>93</v>
      </c>
      <c r="P94" s="3">
        <v>121</v>
      </c>
      <c r="Q94" s="3">
        <f>VLOOKUP($A94,'SegEnds_NonXtal_BW#'!$A:$Z,12,FALSE)+VLOOKUP($A94,A:AL,16,FALSE)-50</f>
        <v>127</v>
      </c>
      <c r="R94" s="3">
        <f>IF(ISERROR(VLOOKUP($A94,'SegEnds_NonXtal_BW#'!$A:$Z,13,FALSE)+VLOOKUP($A94,A:AL,19,FALSE)-50),"-",VLOOKUP($A94,'SegEnds_NonXtal_BW#'!$A:$Z,13,FALSE)+VLOOKUP($A94,A:AL,19,FALSE)-50)</f>
        <v>128</v>
      </c>
      <c r="S94" s="3">
        <v>128</v>
      </c>
      <c r="T94" s="103">
        <f>IF(ISERROR(VLOOKUP($A94,'SegEnds_NonXtal_BW#'!$A:$Z,14,FALSE)+VLOOKUP($A94,A:AL,19,FALSE)-50),"-",(VLOOKUP($A94,'SegEnds_NonXtal_BW#'!$A:$Z,14,FALSE)+VLOOKUP($A94,A:AL,19,FALSE)-50))</f>
        <v>135</v>
      </c>
      <c r="U94" s="9">
        <f>IF(ISERROR(VLOOKUP($A94,'SegEnds_NonXtal_BW#'!$A:$Z,15,FALSE)+VLOOKUP($A94,A:AL,22,FALSE)-50),"-",VLOOKUP($A94,'SegEnds_NonXtal_BW#'!$A:$Z,15,FALSE)+VLOOKUP($A94,A:AL,22,FALSE)-50)</f>
        <v>136</v>
      </c>
      <c r="V94" s="3">
        <v>148</v>
      </c>
      <c r="W94" s="3">
        <f>IF(ISERROR(VLOOKUP($A94,'SegEnds_NonXtal_BW#'!$A:$Z,16,FALSE)+VLOOKUP($A94,A:AL,22,FALSE)-50),"-",(VLOOKUP($A94,'SegEnds_NonXtal_BW#'!$A:$Z,16,FALSE)+VLOOKUP($A94,A:AL,22,FALSE)-50))</f>
        <v>162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>Y94+2</f>
        <v>188</v>
      </c>
      <c r="AA94" s="3">
        <f>IF(ISERROR(VLOOKUP($A94,'SegEnds_NonXtal_BW#'!$A:$Z,19,FALSE)+VLOOKUP($A94,A:AL,28,FALSE)-50),"-",(VLOOKUP($A94,'SegEnds_NonXtal_BW#'!$A:$Z,19,FALSE)+VLOOKUP($A94,A:AL,28,FALSE)-50))</f>
        <v>191</v>
      </c>
      <c r="AB94" s="3">
        <v>206</v>
      </c>
      <c r="AC94" s="3">
        <f>IF(ISERROR((VLOOKUP($A94,'SegEnds_NonXtal_BW#'!$A:$Z,20,FALSE)+VLOOKUP($A94,A:AL,28,FALSE)-50)),"-",(VLOOKUP($A94,'SegEnds_NonXtal_BW#'!$A:$Z,20,FALSE)+VLOOKUP($A94,A:AL,28,FALSE)-50))</f>
        <v>232</v>
      </c>
      <c r="AD94" s="3">
        <f>IF(ISERROR(VLOOKUP($A94,'SegEnds_NonXtal_BW#'!$A:$Z,21,FALSE)+VLOOKUP($A94,A:AL,31,FALSE)-50),"-",(VLOOKUP($A94,'SegEnds_NonXtal_BW#'!$A:$Z,21,FALSE)+VLOOKUP($A94,A:AL,31,FALSE)-50))</f>
        <v>261</v>
      </c>
      <c r="AE94" s="3">
        <v>287</v>
      </c>
      <c r="AF94" s="3">
        <f>IF(ISERROR((VLOOKUP($A94,'SegEnds_NonXtal_BW#'!$A:$Z,22,FALSE)+VLOOKUP($A94,A:AL,31,FALSE)-50)),"-",(VLOOKUP($A94,'SegEnds_NonXtal_BW#'!$A:$Z,22,FALSE)+VLOOKUP($A94,A:AL,31,FALSE)-50))</f>
        <v>298</v>
      </c>
      <c r="AG94" s="3">
        <f>IF(ISERROR(VLOOKUP($A94,'SegEnds_NonXtal_BW#'!$A:$Z,23,FALSE)+VLOOKUP($A94,A:AL,34,FALSE)-50),"-",(VLOOKUP($A94,'SegEnds_NonXtal_BW#'!$A:$Z,23,FALSE)+VLOOKUP($A94,A:AL,34,FALSE)-50))</f>
        <v>306</v>
      </c>
      <c r="AH94" s="3">
        <v>328</v>
      </c>
      <c r="AI94" s="3">
        <v>334</v>
      </c>
      <c r="AJ94" s="3">
        <f>IF(ISERROR(VLOOKUP($A94,'SegEnds_NonXtal_BW#'!$A:$Z,25,FALSE)+VLOOKUP($A94,A:AL,37,FALSE)-50),"-",(VLOOKUP($A94,'SegEnds_NonXtal_BW#'!$A:$Z,25,FALSE)+VLOOKUP($A94,A:AL,37,FALSE)-50))</f>
        <v>335</v>
      </c>
      <c r="AK94" s="3">
        <v>338</v>
      </c>
      <c r="AL94" s="3">
        <f>IF(ISERROR((VLOOKUP($A94,'SegEnds_NonXtal_BW#'!$A:$Z,26,FALSE)+VLOOKUP($A94,A:AL,37,FALSE)-50)),"-",(VLOOKUP($A94,'SegEnds_NonXtal_BW#'!$A:$Z,26,FALSE)+VLOOKUP($A94,A:AL,37,FALSE)-50))</f>
        <v>347</v>
      </c>
      <c r="AM94" s="28" t="str">
        <f>VLOOKUP(A94,Classification!A:B,2,FALSE)</f>
        <v>A</v>
      </c>
      <c r="AN94" s="28" t="b">
        <f>AND(IF(Y94="-",IF(AA94-W94&gt;3,TRUE,FALSE),TRUE),IF(M94="-",IF(O94-K94&gt;3,TRUE,FALSE),TRUE),C94&lt;E94,OR(E94&lt;F94,F94="-"),OR(F94&lt;H94,F94="-"),OR(H94&lt;I94,H94="-"),I94&lt;K94,OR(K94&lt;L94,L94="-"),OR(L94&lt;N94,L94="-"),OR(N94&lt;O94,N94="-"),O94&lt;Q94,OR(Q94&lt;R94,R94="-"),OR(R94&lt;T94,R94="-"),OR(T94&lt;U94,T94="-"),U94&lt;W94,OR(W94&lt;X94,X94="-"),OR(X94&lt;Z94,X94="-"),OR(Z94&lt;AA94,Z94="-"),AA94&lt;AC94,AC94&lt;AD94,AD94&lt;AF94,AF94&lt;AG94,AG94&lt;AI94,OR(AI94&lt;AJ94,AJ94="-"),OR(AJ94&lt;AL94,AJ94="-"))</f>
        <v>1</v>
      </c>
      <c r="AO94" s="3" t="str">
        <f>IF(ISERROR(MATCH(A94,'SegEnds_Xtal_Prot#'!B:B, 0)), "NoXtal", "Xtal")</f>
        <v>NoXtal</v>
      </c>
      <c r="AP94" s="3">
        <f>IF(ISERROR(F94-E94),"-",F94-E94)</f>
        <v>1</v>
      </c>
      <c r="AQ94" s="3">
        <f>IF(ISERROR(I94-H94),"-",I94-H94)</f>
        <v>1</v>
      </c>
      <c r="AR94" s="3">
        <f>IF(ISERROR(L94-K94),"-",L94-K94)</f>
        <v>3</v>
      </c>
      <c r="AS94" s="3">
        <f>IF(ISERROR(O94-N94),"-",O94-N94)</f>
        <v>1</v>
      </c>
      <c r="AT94" s="3">
        <f>IF(ISERROR(R94-Q94),"-",R94-Q94)</f>
        <v>1</v>
      </c>
      <c r="AU94" s="3">
        <f>IF(ISERROR(U94-T94),"-",U94-T94)</f>
        <v>1</v>
      </c>
      <c r="AV94" s="3">
        <f>IF(ISERROR(X94-W94),"-",X94-W94)</f>
        <v>24</v>
      </c>
      <c r="AW94" s="3">
        <f>IF(ISERROR(AA94-Z94),"-",AA94-Z94)</f>
        <v>3</v>
      </c>
      <c r="AX94" s="3">
        <f>IF(ISERROR(AD94-AC94),"-",AD94-AC94)</f>
        <v>29</v>
      </c>
      <c r="AY94" s="3">
        <f>IF(ISERROR(AG94-AF94),"-",AG94-AF94)</f>
        <v>8</v>
      </c>
      <c r="AZ94" s="3">
        <f>IF(ISERROR(AJ94-AI94),"-",AJ94-AI94)</f>
        <v>1</v>
      </c>
      <c r="BA94" s="3">
        <f>IF(ISERROR(LEN(VLOOKUP(A94,Seqs!A:E,2,FALSE))-AL94),"-",LEN(VLOOKUP(A94,Seqs!A:E,2,FALSE))-AL94)</f>
        <v>99</v>
      </c>
      <c r="BB94" s="16">
        <f>J94-D94</f>
        <v>29</v>
      </c>
      <c r="BC94" s="9">
        <f>IF(ISERROR(V94-S94),"-",V94-S94)</f>
        <v>20</v>
      </c>
      <c r="BD94" s="3">
        <f>J94-D94</f>
        <v>29</v>
      </c>
      <c r="BE94" s="3">
        <f>AE94-AB94</f>
        <v>81</v>
      </c>
    </row>
    <row r="95" spans="1:58" s="3" customFormat="1" x14ac:dyDescent="0.2">
      <c r="A95" s="3" t="s">
        <v>193</v>
      </c>
      <c r="B95" s="3" t="str">
        <f>LOWER(VLOOKUP(A95,Xtal_Templ!A:B,2,FALSE))</f>
        <v>drd3_human</v>
      </c>
      <c r="C95" s="3">
        <f>VLOOKUP($A95,'SegEnds_NonXtal_BW#'!$A:$Z,3,FALSE)+D95-50</f>
        <v>31</v>
      </c>
      <c r="D95" s="3">
        <v>52</v>
      </c>
      <c r="E95" s="3">
        <f>IF(ISERROR(VLOOKUP($A95,'SegEnds_NonXtal_BW#'!$A:$Z,4,FALSE)+VLOOKUP($A95,A:AL,4,FALSE)-50),"-",(VLOOKUP($A95,'SegEnds_NonXtal_BW#'!$A:$Z,4,FALSE)+VLOOKUP($A95,A:AL,4,FALSE)-50))</f>
        <v>62</v>
      </c>
      <c r="F95" s="3">
        <f>G95-2</f>
        <v>63</v>
      </c>
      <c r="G95" s="3">
        <v>65</v>
      </c>
      <c r="H95" s="3">
        <f>G95+1</f>
        <v>66</v>
      </c>
      <c r="I95" s="3">
        <f>H95+1</f>
        <v>67</v>
      </c>
      <c r="J95" s="3">
        <v>80</v>
      </c>
      <c r="K95" s="3">
        <f>VLOOKUP($A95,'SegEnds_NonXtal_BW#'!$A:$Z,8,FALSE)+VLOOKUP($A95,A:AL,10,FALSE)-50</f>
        <v>97</v>
      </c>
      <c r="L95" s="3">
        <f>M95-1</f>
        <v>100</v>
      </c>
      <c r="M95" s="3">
        <v>101</v>
      </c>
      <c r="N95" s="3">
        <f>M95+2</f>
        <v>103</v>
      </c>
      <c r="O95" s="3">
        <f>N95+1</f>
        <v>104</v>
      </c>
      <c r="P95" s="3">
        <v>133</v>
      </c>
      <c r="Q95" s="3">
        <f>VLOOKUP($A95,'SegEnds_NonXtal_BW#'!$A:$Z,12,FALSE)+VLOOKUP($A95,A:AL,16,FALSE)-50</f>
        <v>139</v>
      </c>
      <c r="R95" s="3">
        <f>IF(ISERROR(VLOOKUP($A95,'SegEnds_NonXtal_BW#'!$A:$Z,13,FALSE)+VLOOKUP($A95,A:AL,19,FALSE)-50),"-",VLOOKUP($A95,'SegEnds_NonXtal_BW#'!$A:$Z,13,FALSE)+VLOOKUP($A95,A:AL,19,FALSE)-50)</f>
        <v>140</v>
      </c>
      <c r="S95" s="3">
        <v>140</v>
      </c>
      <c r="T95" s="103">
        <f>IF(ISERROR(VLOOKUP($A95,'SegEnds_NonXtal_BW#'!$A:$Z,14,FALSE)+VLOOKUP($A95,A:AL,19,FALSE)-50),"-",(VLOOKUP($A95,'SegEnds_NonXtal_BW#'!$A:$Z,14,FALSE)+VLOOKUP($A95,A:AL,19,FALSE)-50))</f>
        <v>147</v>
      </c>
      <c r="U95" s="9">
        <f>IF(ISERROR(VLOOKUP($A95,'SegEnds_NonXtal_BW#'!$A:$Z,15,FALSE)+VLOOKUP($A95,A:AL,22,FALSE)-50),"-",VLOOKUP($A95,'SegEnds_NonXtal_BW#'!$A:$Z,15,FALSE)+VLOOKUP($A95,A:AL,22,FALSE)-50)</f>
        <v>148</v>
      </c>
      <c r="V95" s="3">
        <v>160</v>
      </c>
      <c r="W95" s="3">
        <f>IF(ISERROR(VLOOKUP($A95,'SegEnds_NonXtal_BW#'!$A:$Z,16,FALSE)+VLOOKUP($A95,A:AL,22,FALSE)-50),"-",(VLOOKUP($A95,'SegEnds_NonXtal_BW#'!$A:$Z,16,FALSE)+VLOOKUP($A95,A:AL,22,FALSE)-50))</f>
        <v>173</v>
      </c>
      <c r="X95" s="3">
        <f>IF(ISERROR(VLOOKUP($A95,'SegEnds_NonXtal_BW#'!$A:$Z,17,FALSE)+VLOOKUP($A95,A:AL,25,FALSE)-50),"-",(VLOOKUP($A95,'SegEnds_NonXtal_BW#'!$A:$Z,17,FALSE)+VLOOKUP($A95,A:AL,25,FALSE)-50))</f>
        <v>185</v>
      </c>
      <c r="Y95" s="3">
        <v>185</v>
      </c>
      <c r="Z95" s="3">
        <f>Y95+2</f>
        <v>187</v>
      </c>
      <c r="AA95" s="3">
        <f>IF(ISERROR(VLOOKUP($A95,'SegEnds_NonXtal_BW#'!$A:$Z,19,FALSE)+VLOOKUP($A95,A:AL,28,FALSE)-50),"-",(VLOOKUP($A95,'SegEnds_NonXtal_BW#'!$A:$Z,19,FALSE)+VLOOKUP($A95,A:AL,28,FALSE)-50))</f>
        <v>189</v>
      </c>
      <c r="AB95" s="3">
        <v>204</v>
      </c>
      <c r="AC95" s="3">
        <f>IF(ISERROR((VLOOKUP($A95,'SegEnds_NonXtal_BW#'!$A:$Z,20,FALSE)+VLOOKUP($A95,A:AL,28,FALSE)-50)),"-",(VLOOKUP($A95,'SegEnds_NonXtal_BW#'!$A:$Z,20,FALSE)+VLOOKUP($A95,A:AL,28,FALSE)-50))</f>
        <v>229</v>
      </c>
      <c r="AD95" s="3">
        <f>IF(ISERROR(VLOOKUP($A95,'SegEnds_NonXtal_BW#'!$A:$Z,21,FALSE)+VLOOKUP($A95,A:AL,31,FALSE)-50),"-",(VLOOKUP($A95,'SegEnds_NonXtal_BW#'!$A:$Z,21,FALSE)+VLOOKUP($A95,A:AL,31,FALSE)-50))</f>
        <v>383</v>
      </c>
      <c r="AE95" s="3">
        <v>409</v>
      </c>
      <c r="AF95" s="3">
        <f>IF(ISERROR((VLOOKUP($A95,'SegEnds_NonXtal_BW#'!$A:$Z,22,FALSE)+VLOOKUP($A95,A:AL,31,FALSE)-50)),"-",(VLOOKUP($A95,'SegEnds_NonXtal_BW#'!$A:$Z,22,FALSE)+VLOOKUP($A95,A:AL,31,FALSE)-50))</f>
        <v>419</v>
      </c>
      <c r="AG95" s="3">
        <f>IF(ISERROR(VLOOKUP($A95,'SegEnds_NonXtal_BW#'!$A:$Z,23,FALSE)+VLOOKUP($A95,A:AL,34,FALSE)-50),"-",(VLOOKUP($A95,'SegEnds_NonXtal_BW#'!$A:$Z,23,FALSE)+VLOOKUP($A95,A:AL,34,FALSE)-50))</f>
        <v>426</v>
      </c>
      <c r="AH95" s="3">
        <v>445</v>
      </c>
      <c r="AI95" s="3">
        <f>IF(ISERROR((VLOOKUP($A95,'SegEnds_NonXtal_BW#'!$A:$Z,24,FALSE)+VLOOKUP($A95,A:AL,34,FALSE)-50)),"-",(VLOOKUP($A95,'SegEnds_NonXtal_BW#'!$A:$Z,24,FALSE)+VLOOKUP($A95,A:AL,34,FALSE)-50))</f>
        <v>451</v>
      </c>
      <c r="AJ95" s="3">
        <f>IF(ISERROR(VLOOKUP($A95,'SegEnds_NonXtal_BW#'!$A:$Z,25,FALSE)+VLOOKUP($A95,A:AL,37,FALSE)-50),"-",(VLOOKUP($A95,'SegEnds_NonXtal_BW#'!$A:$Z,25,FALSE)+VLOOKUP($A95,A:AL,37,FALSE)-50))</f>
        <v>452</v>
      </c>
      <c r="AK95" s="3">
        <v>455</v>
      </c>
      <c r="AL95" s="3">
        <f>IF(ISERROR((VLOOKUP($A95,'SegEnds_NonXtal_BW#'!$A:$Z,26,FALSE)+VLOOKUP($A95,A:AL,37,FALSE)-50)),"-",(VLOOKUP($A95,'SegEnds_NonXtal_BW#'!$A:$Z,26,FALSE)+VLOOKUP($A95,A:AL,37,FALSE)-50))</f>
        <v>464</v>
      </c>
      <c r="AM95" s="28" t="str">
        <f>VLOOKUP(A95,Classification!A:B,2,FALSE)</f>
        <v>A</v>
      </c>
      <c r="AN95" s="28" t="b">
        <f>AND(IF(Y95="-",IF(AA95-W95&gt;3,TRUE,FALSE),TRUE),IF(M95="-",IF(O95-K95&gt;3,TRUE,FALSE),TRUE),C95&lt;E95,OR(E95&lt;F95,F95="-"),OR(F95&lt;H95,F95="-"),OR(H95&lt;I95,H95="-"),I95&lt;K95,OR(K95&lt;L95,L95="-"),OR(L95&lt;N95,L95="-"),OR(N95&lt;O95,N95="-"),O95&lt;Q95,OR(Q95&lt;R95,R95="-"),OR(R95&lt;T95,R95="-"),OR(T95&lt;U95,T95="-"),U95&lt;W95,OR(W95&lt;X95,X95="-"),OR(X95&lt;Z95,X95="-"),OR(Z95&lt;AA95,Z95="-"),AA95&lt;AC95,AC95&lt;AD95,AD95&lt;AF95,AF95&lt;AG95,AG95&lt;AI95,OR(AI95&lt;AJ95,AJ95="-"),OR(AJ95&lt;AL95,AJ95="-"))</f>
        <v>1</v>
      </c>
      <c r="AO95" s="3" t="str">
        <f>IF(ISERROR(MATCH(A95,'SegEnds_Xtal_Prot#'!B:B, 0)), "NoXtal", "Xtal")</f>
        <v>NoXtal</v>
      </c>
      <c r="AP95" s="3">
        <f>IF(ISERROR(F95-E95),"-",F95-E95)</f>
        <v>1</v>
      </c>
      <c r="AQ95" s="3">
        <f>IF(ISERROR(I95-H95),"-",I95-H95)</f>
        <v>1</v>
      </c>
      <c r="AR95" s="3">
        <f>IF(ISERROR(L95-K95),"-",L95-K95)</f>
        <v>3</v>
      </c>
      <c r="AS95" s="3">
        <f>IF(ISERROR(O95-N95),"-",O95-N95)</f>
        <v>1</v>
      </c>
      <c r="AT95" s="3">
        <f>IF(ISERROR(R95-Q95),"-",R95-Q95)</f>
        <v>1</v>
      </c>
      <c r="AU95" s="3">
        <f>IF(ISERROR(U95-T95),"-",U95-T95)</f>
        <v>1</v>
      </c>
      <c r="AV95" s="3">
        <f>IF(ISERROR(X95-W95),"-",X95-W95)</f>
        <v>12</v>
      </c>
      <c r="AW95" s="3">
        <f>IF(ISERROR(AA95-Z95),"-",AA95-Z95)</f>
        <v>2</v>
      </c>
      <c r="AX95" s="3">
        <f>IF(ISERROR(AD95-AC95),"-",AD95-AC95)</f>
        <v>154</v>
      </c>
      <c r="AY95" s="3">
        <f>IF(ISERROR(AG95-AF95),"-",AG95-AF95)</f>
        <v>7</v>
      </c>
      <c r="AZ95" s="3">
        <f>IF(ISERROR(AJ95-AI95),"-",AJ95-AI95)</f>
        <v>1</v>
      </c>
      <c r="BA95" s="3">
        <f>IF(ISERROR(LEN(VLOOKUP(A95,Seqs!A:E,2,FALSE))-AL95),"-",LEN(VLOOKUP(A95,Seqs!A:E,2,FALSE))-AL95)</f>
        <v>3</v>
      </c>
      <c r="BB95" s="16">
        <f>J95-D95</f>
        <v>28</v>
      </c>
      <c r="BC95" s="9">
        <f>IF(ISERROR(V95-S95),"-",V95-S95)</f>
        <v>20</v>
      </c>
      <c r="BD95" s="3">
        <f>J95-D95</f>
        <v>28</v>
      </c>
      <c r="BE95" s="3">
        <f>AE95-AB95</f>
        <v>205</v>
      </c>
      <c r="BF95" s="3">
        <f>AH95-AE95</f>
        <v>36</v>
      </c>
    </row>
    <row r="96" spans="1:58" s="3" customFormat="1" x14ac:dyDescent="0.2">
      <c r="A96" s="3" t="s">
        <v>194</v>
      </c>
      <c r="B96" s="3" t="str">
        <f>LOWER(VLOOKUP(A96,Xtal_Templ!A:B,2,FALSE))</f>
        <v>adrb2_human</v>
      </c>
      <c r="C96" s="3">
        <f>VLOOKUP($A96,'SegEnds_NonXtal_BW#'!$A:$Z,3,FALSE)+D96-50</f>
        <v>33</v>
      </c>
      <c r="D96" s="3">
        <v>58</v>
      </c>
      <c r="E96" s="3">
        <f>IF(ISERROR(VLOOKUP($A96,'SegEnds_NonXtal_BW#'!$A:$Z,4,FALSE)+VLOOKUP($A96,A:AL,4,FALSE)-50),"-",(VLOOKUP($A96,'SegEnds_NonXtal_BW#'!$A:$Z,4,FALSE)+VLOOKUP($A96,A:AL,4,FALSE)-50))</f>
        <v>68</v>
      </c>
      <c r="F96" s="3">
        <f>G96-2</f>
        <v>69</v>
      </c>
      <c r="G96" s="3">
        <v>71</v>
      </c>
      <c r="H96" s="3">
        <f>G96+1</f>
        <v>72</v>
      </c>
      <c r="I96" s="3">
        <f>H96+1</f>
        <v>73</v>
      </c>
      <c r="J96" s="3">
        <v>87</v>
      </c>
      <c r="K96" s="3">
        <f>VLOOKUP($A96,'SegEnds_NonXtal_BW#'!$A:$Z,8,FALSE)+VLOOKUP($A96,A:AL,10,FALSE)-50</f>
        <v>103</v>
      </c>
      <c r="L96" s="3">
        <f>M96-1</f>
        <v>106</v>
      </c>
      <c r="M96" s="3">
        <v>107</v>
      </c>
      <c r="N96" s="3">
        <f>M96+2</f>
        <v>109</v>
      </c>
      <c r="O96" s="3">
        <f>N96+1</f>
        <v>110</v>
      </c>
      <c r="P96" s="3">
        <v>138</v>
      </c>
      <c r="Q96" s="3">
        <f>VLOOKUP($A96,'SegEnds_NonXtal_BW#'!$A:$Z,12,FALSE)+VLOOKUP($A96,A:AL,16,FALSE)-50</f>
        <v>144</v>
      </c>
      <c r="R96" s="3">
        <f>IF(ISERROR(VLOOKUP($A96,'SegEnds_NonXtal_BW#'!$A:$Z,13,FALSE)+VLOOKUP($A96,A:AL,19,FALSE)-50),"-",VLOOKUP($A96,'SegEnds_NonXtal_BW#'!$A:$Z,13,FALSE)+VLOOKUP($A96,A:AL,19,FALSE)-50)</f>
        <v>145</v>
      </c>
      <c r="S96" s="3">
        <v>145</v>
      </c>
      <c r="T96" s="103">
        <f>IF(ISERROR(VLOOKUP($A96,'SegEnds_NonXtal_BW#'!$A:$Z,14,FALSE)+VLOOKUP($A96,A:AL,19,FALSE)-50),"-",(VLOOKUP($A96,'SegEnds_NonXtal_BW#'!$A:$Z,14,FALSE)+VLOOKUP($A96,A:AL,19,FALSE)-50))</f>
        <v>152</v>
      </c>
      <c r="U96" s="9">
        <f>IF(ISERROR(VLOOKUP($A96,'SegEnds_NonXtal_BW#'!$A:$Z,15,FALSE)+VLOOKUP($A96,A:AL,22,FALSE)-50),"-",VLOOKUP($A96,'SegEnds_NonXtal_BW#'!$A:$Z,15,FALSE)+VLOOKUP($A96,A:AL,22,FALSE)-50)</f>
        <v>153</v>
      </c>
      <c r="V96" s="3">
        <v>165</v>
      </c>
      <c r="W96" s="3">
        <f>IF(ISERROR(VLOOKUP($A96,'SegEnds_NonXtal_BW#'!$A:$Z,16,FALSE)+VLOOKUP($A96,A:AL,22,FALSE)-50),"-",(VLOOKUP($A96,'SegEnds_NonXtal_BW#'!$A:$Z,16,FALSE)+VLOOKUP($A96,A:AL,22,FALSE)-50))</f>
        <v>179</v>
      </c>
      <c r="X96" s="3">
        <f>IF(ISERROR(VLOOKUP($A96,'SegEnds_NonXtal_BW#'!$A:$Z,17,FALSE)+VLOOKUP($A96,A:AL,25,FALSE)-50),"-",(VLOOKUP($A96,'SegEnds_NonXtal_BW#'!$A:$Z,17,FALSE)+VLOOKUP($A96,A:AL,25,FALSE)-50))</f>
        <v>217</v>
      </c>
      <c r="Y96" s="3">
        <v>217</v>
      </c>
      <c r="Z96" s="3">
        <f>Y96+2</f>
        <v>219</v>
      </c>
      <c r="AA96" s="3">
        <f>IF(ISERROR(VLOOKUP($A96,'SegEnds_NonXtal_BW#'!$A:$Z,19,FALSE)+VLOOKUP($A96,A:AL,28,FALSE)-50),"-",(VLOOKUP($A96,'SegEnds_NonXtal_BW#'!$A:$Z,19,FALSE)+VLOOKUP($A96,A:AL,28,FALSE)-50))</f>
        <v>222</v>
      </c>
      <c r="AB96" s="3">
        <v>237</v>
      </c>
      <c r="AC96" s="3">
        <f>IF(ISERROR((VLOOKUP($A96,'SegEnds_NonXtal_BW#'!$A:$Z,20,FALSE)+VLOOKUP($A96,A:AL,28,FALSE)-50)),"-",(VLOOKUP($A96,'SegEnds_NonXtal_BW#'!$A:$Z,20,FALSE)+VLOOKUP($A96,A:AL,28,FALSE)-50))</f>
        <v>263</v>
      </c>
      <c r="AD96" s="3">
        <f>IF(ISERROR(VLOOKUP($A96,'SegEnds_NonXtal_BW#'!$A:$Z,21,FALSE)+VLOOKUP($A96,A:AL,31,FALSE)-50),"-",(VLOOKUP($A96,'SegEnds_NonXtal_BW#'!$A:$Z,21,FALSE)+VLOOKUP($A96,A:AL,31,FALSE)-50))</f>
        <v>285</v>
      </c>
      <c r="AE96" s="3">
        <v>311</v>
      </c>
      <c r="AF96" s="3">
        <f>IF(ISERROR((VLOOKUP($A96,'SegEnds_NonXtal_BW#'!$A:$Z,22,FALSE)+VLOOKUP($A96,A:AL,31,FALSE)-50)),"-",(VLOOKUP($A96,'SegEnds_NonXtal_BW#'!$A:$Z,22,FALSE)+VLOOKUP($A96,A:AL,31,FALSE)-50))</f>
        <v>325</v>
      </c>
      <c r="AG96" s="3">
        <f>IF(ISERROR(VLOOKUP($A96,'SegEnds_NonXtal_BW#'!$A:$Z,23,FALSE)+VLOOKUP($A96,A:AL,34,FALSE)-50),"-",(VLOOKUP($A96,'SegEnds_NonXtal_BW#'!$A:$Z,23,FALSE)+VLOOKUP($A96,A:AL,34,FALSE)-50))</f>
        <v>330</v>
      </c>
      <c r="AH96" s="3">
        <v>356</v>
      </c>
      <c r="AI96" s="3">
        <v>362</v>
      </c>
      <c r="AJ96" s="3">
        <f>IF(ISERROR(VLOOKUP($A96,'SegEnds_NonXtal_BW#'!$A:$Z,25,FALSE)+VLOOKUP($A96,A:AL,37,FALSE)-50),"-",(VLOOKUP($A96,'SegEnds_NonXtal_BW#'!$A:$Z,25,FALSE)+VLOOKUP($A96,A:AL,37,FALSE)-50))</f>
        <v>363</v>
      </c>
      <c r="AK96" s="3">
        <v>366</v>
      </c>
      <c r="AL96" s="3">
        <f>IF(ISERROR((VLOOKUP($A96,'SegEnds_NonXtal_BW#'!$A:$Z,26,FALSE)+VLOOKUP($A96,A:AL,37,FALSE)-50)),"-",(VLOOKUP($A96,'SegEnds_NonXtal_BW#'!$A:$Z,26,FALSE)+VLOOKUP($A96,A:AL,37,FALSE)-50))</f>
        <v>375</v>
      </c>
      <c r="AM96" s="28" t="str">
        <f>VLOOKUP(A96,Classification!A:B,2,FALSE)</f>
        <v>A</v>
      </c>
      <c r="AN96" s="28" t="b">
        <f>AND(IF(Y96="-",IF(AA96-W96&gt;3,TRUE,FALSE),TRUE),IF(M96="-",IF(O96-K96&gt;3,TRUE,FALSE),TRUE),C96&lt;E96,OR(E96&lt;F96,F96="-"),OR(F96&lt;H96,F96="-"),OR(H96&lt;I96,H96="-"),I96&lt;K96,OR(K96&lt;L96,L96="-"),OR(L96&lt;N96,L96="-"),OR(N96&lt;O96,N96="-"),O96&lt;Q96,OR(Q96&lt;R96,R96="-"),OR(R96&lt;T96,R96="-"),OR(T96&lt;U96,T96="-"),U96&lt;W96,OR(W96&lt;X96,X96="-"),OR(X96&lt;Z96,X96="-"),OR(Z96&lt;AA96,Z96="-"),AA96&lt;AC96,AC96&lt;AD96,AD96&lt;AF96,AF96&lt;AG96,AG96&lt;AI96,OR(AI96&lt;AJ96,AJ96="-"),OR(AJ96&lt;AL96,AJ96="-"))</f>
        <v>1</v>
      </c>
      <c r="AO96" s="3" t="str">
        <f>IF(ISERROR(MATCH(A96,'SegEnds_Xtal_Prot#'!B:B, 0)), "NoXtal", "Xtal")</f>
        <v>NoXtal</v>
      </c>
      <c r="AP96" s="3">
        <f>IF(ISERROR(F96-E96),"-",F96-E96)</f>
        <v>1</v>
      </c>
      <c r="AQ96" s="3">
        <f>IF(ISERROR(I96-H96),"-",I96-H96)</f>
        <v>1</v>
      </c>
      <c r="AR96" s="3">
        <f>IF(ISERROR(L96-K96),"-",L96-K96)</f>
        <v>3</v>
      </c>
      <c r="AS96" s="3">
        <f>IF(ISERROR(O96-N96),"-",O96-N96)</f>
        <v>1</v>
      </c>
      <c r="AT96" s="3">
        <f>IF(ISERROR(R96-Q96),"-",R96-Q96)</f>
        <v>1</v>
      </c>
      <c r="AU96" s="3">
        <f>IF(ISERROR(U96-T96),"-",U96-T96)</f>
        <v>1</v>
      </c>
      <c r="AV96" s="3">
        <f>IF(ISERROR(X96-W96),"-",X96-W96)</f>
        <v>38</v>
      </c>
      <c r="AW96" s="3">
        <f>IF(ISERROR(AA96-Z96),"-",AA96-Z96)</f>
        <v>3</v>
      </c>
      <c r="AX96" s="3">
        <f>IF(ISERROR(AD96-AC96),"-",AD96-AC96)</f>
        <v>22</v>
      </c>
      <c r="AY96" s="3">
        <f>IF(ISERROR(AG96-AF96),"-",AG96-AF96)</f>
        <v>5</v>
      </c>
      <c r="AZ96" s="3">
        <f>IF(ISERROR(AJ96-AI96),"-",AJ96-AI96)</f>
        <v>1</v>
      </c>
      <c r="BA96" s="3">
        <f>IF(ISERROR(LEN(VLOOKUP(A96,Seqs!A:E,2,FALSE))-AL96),"-",LEN(VLOOKUP(A96,Seqs!A:E,2,FALSE))-AL96)</f>
        <v>102</v>
      </c>
      <c r="BB96" s="16">
        <f>J96-D96</f>
        <v>29</v>
      </c>
      <c r="BC96" s="9">
        <f>IF(ISERROR(V96-S96),"-",V96-S96)</f>
        <v>20</v>
      </c>
      <c r="BD96" s="3">
        <f>J96-D96</f>
        <v>29</v>
      </c>
      <c r="BE96" s="3">
        <f>AE96-AB96</f>
        <v>74</v>
      </c>
    </row>
    <row r="97" spans="1:58" s="3" customFormat="1" x14ac:dyDescent="0.2">
      <c r="A97" s="3" t="s">
        <v>195</v>
      </c>
      <c r="B97" s="3" t="str">
        <f>LOWER(VLOOKUP(A97,Xtal_Templ!A:B,2,FALSE))</f>
        <v>ednrb_human</v>
      </c>
      <c r="C97" s="3">
        <f>VLOOKUP($A97,'SegEnds_NonXtal_BW#'!$A:$Z,3,FALSE)+D97-50</f>
        <v>70</v>
      </c>
      <c r="D97" s="3">
        <v>98</v>
      </c>
      <c r="E97" s="3">
        <f>IF(ISERROR(VLOOKUP($A97,'SegEnds_NonXtal_BW#'!$A:$Z,4,FALSE)+VLOOKUP($A97,A:AL,4,FALSE)-50),"-",(VLOOKUP($A97,'SegEnds_NonXtal_BW#'!$A:$Z,4,FALSE)+VLOOKUP($A97,A:AL,4,FALSE)-50))</f>
        <v>108</v>
      </c>
      <c r="F97" s="3">
        <f>G97-2</f>
        <v>109</v>
      </c>
      <c r="G97" s="3">
        <v>111</v>
      </c>
      <c r="H97" s="3">
        <v>113</v>
      </c>
      <c r="I97" s="3">
        <f>H97+1</f>
        <v>114</v>
      </c>
      <c r="J97" s="3">
        <v>126</v>
      </c>
      <c r="K97" s="3">
        <f>VLOOKUP($A97,'SegEnds_NonXtal_BW#'!$A:$Z,8,FALSE)+VLOOKUP($A97,A:AL,10,FALSE)-50</f>
        <v>143</v>
      </c>
      <c r="L97" s="3">
        <f>M97-1</f>
        <v>145</v>
      </c>
      <c r="M97" s="3">
        <v>146</v>
      </c>
      <c r="N97" s="3">
        <f>M97+2</f>
        <v>148</v>
      </c>
      <c r="O97" s="3">
        <f>N97+1</f>
        <v>149</v>
      </c>
      <c r="P97" s="3">
        <v>183</v>
      </c>
      <c r="Q97" s="3">
        <f>VLOOKUP($A97,'SegEnds_NonXtal_BW#'!$A:$Z,12,FALSE)+VLOOKUP($A97,A:AL,16,FALSE)-50</f>
        <v>189</v>
      </c>
      <c r="R97" s="3">
        <f>IF(ISERROR(VLOOKUP($A97,'SegEnds_NonXtal_BW#'!$A:$Z,13,FALSE)+VLOOKUP($A97,A:AL,19,FALSE)-50),"-",VLOOKUP($A97,'SegEnds_NonXtal_BW#'!$A:$Z,13,FALSE)+VLOOKUP($A97,A:AL,19,FALSE)-50)</f>
        <v>190</v>
      </c>
      <c r="S97" s="3">
        <v>190</v>
      </c>
      <c r="T97" s="103">
        <f>IF(ISERROR(VLOOKUP($A97,'SegEnds_NonXtal_BW#'!$A:$Z,14,FALSE)+VLOOKUP($A97,A:AL,19,FALSE)-50),"-",(VLOOKUP($A97,'SegEnds_NonXtal_BW#'!$A:$Z,14,FALSE)+VLOOKUP($A97,A:AL,19,FALSE)-50))</f>
        <v>197</v>
      </c>
      <c r="U97" s="9">
        <f>IF(ISERROR(VLOOKUP($A97,'SegEnds_NonXtal_BW#'!$A:$Z,15,FALSE)+VLOOKUP($A97,A:AL,22,FALSE)-50),"-",VLOOKUP($A97,'SegEnds_NonXtal_BW#'!$A:$Z,15,FALSE)+VLOOKUP($A97,A:AL,22,FALSE)-50)</f>
        <v>198</v>
      </c>
      <c r="V97" s="3">
        <v>210</v>
      </c>
      <c r="W97" s="3">
        <f>IF(ISERROR(VLOOKUP($A97,'SegEnds_NonXtal_BW#'!$A:$Z,16,FALSE)+VLOOKUP($A97,A:AL,22,FALSE)-50),"-",(VLOOKUP($A97,'SegEnds_NonXtal_BW#'!$A:$Z,16,FALSE)+VLOOKUP($A97,A:AL,22,FALSE)-50))</f>
        <v>224</v>
      </c>
      <c r="X97" s="3">
        <f>IF(ISERROR(VLOOKUP($A97,'SegEnds_NonXtal_BW#'!$A:$Z,17,FALSE)+VLOOKUP($A97,A:AL,25,FALSE)-50),"-",(VLOOKUP($A97,'SegEnds_NonXtal_BW#'!$A:$Z,17,FALSE)+VLOOKUP($A97,A:AL,25,FALSE)-50))</f>
        <v>239</v>
      </c>
      <c r="Y97" s="3">
        <v>239</v>
      </c>
      <c r="Z97" s="3">
        <f>Y97+2</f>
        <v>241</v>
      </c>
      <c r="AA97" s="3">
        <f>IF(ISERROR(VLOOKUP($A97,'SegEnds_NonXtal_BW#'!$A:$Z,19,FALSE)+VLOOKUP($A97,A:AL,28,FALSE)-50),"-",(VLOOKUP($A97,'SegEnds_NonXtal_BW#'!$A:$Z,19,FALSE)+VLOOKUP($A97,A:AL,28,FALSE)-50))</f>
        <v>245</v>
      </c>
      <c r="AB97" s="3">
        <v>267</v>
      </c>
      <c r="AC97" s="3">
        <f>IF(ISERROR((VLOOKUP($A97,'SegEnds_NonXtal_BW#'!$A:$Z,20,FALSE)+VLOOKUP($A97,A:AL,28,FALSE)-50)),"-",(VLOOKUP($A97,'SegEnds_NonXtal_BW#'!$A:$Z,20,FALSE)+VLOOKUP($A97,A:AL,28,FALSE)-50))</f>
        <v>289</v>
      </c>
      <c r="AD97" s="3">
        <f>IF(ISERROR(VLOOKUP($A97,'SegEnds_NonXtal_BW#'!$A:$Z,21,FALSE)+VLOOKUP($A97,A:AL,31,FALSE)-50),"-",(VLOOKUP($A97,'SegEnds_NonXtal_BW#'!$A:$Z,21,FALSE)+VLOOKUP($A97,A:AL,31,FALSE)-50))</f>
        <v>295</v>
      </c>
      <c r="AE97" s="3">
        <v>321</v>
      </c>
      <c r="AF97" s="3">
        <f>IF(ISERROR((VLOOKUP($A97,'SegEnds_NonXtal_BW#'!$A:$Z,22,FALSE)+VLOOKUP($A97,A:AL,31,FALSE)-50)),"-",(VLOOKUP($A97,'SegEnds_NonXtal_BW#'!$A:$Z,22,FALSE)+VLOOKUP($A97,A:AL,31,FALSE)-50))</f>
        <v>333</v>
      </c>
      <c r="AG97" s="3">
        <f>IF(ISERROR(VLOOKUP($A97,'SegEnds_NonXtal_BW#'!$A:$Z,23,FALSE)+VLOOKUP($A97,A:AL,34,FALSE)-50),"-",(VLOOKUP($A97,'SegEnds_NonXtal_BW#'!$A:$Z,23,FALSE)+VLOOKUP($A97,A:AL,34,FALSE)-50))</f>
        <v>340</v>
      </c>
      <c r="AH97" s="3">
        <v>366</v>
      </c>
      <c r="AI97" s="3">
        <f>IF(ISERROR((VLOOKUP($A97,'SegEnds_NonXtal_BW#'!$A:$Z,24,FALSE)+VLOOKUP($A97,A:AL,34,FALSE)-50)),"-",(VLOOKUP($A97,'SegEnds_NonXtal_BW#'!$A:$Z,24,FALSE)+VLOOKUP($A97,A:AL,34,FALSE)-50))</f>
        <v>372</v>
      </c>
      <c r="AJ97" s="3">
        <f>IF(ISERROR(VLOOKUP($A97,'SegEnds_NonXtal_BW#'!$A:$Z,25,FALSE)+VLOOKUP($A97,A:AL,37,FALSE)-50),"-",(VLOOKUP($A97,'SegEnds_NonXtal_BW#'!$A:$Z,25,FALSE)+VLOOKUP($A97,A:AL,37,FALSE)-50))</f>
        <v>373</v>
      </c>
      <c r="AK97" s="3">
        <v>376</v>
      </c>
      <c r="AL97" s="3">
        <f>IF(ISERROR((VLOOKUP($A97,'SegEnds_NonXtal_BW#'!$A:$Z,26,FALSE)+VLOOKUP($A97,A:AL,37,FALSE)-50)),"-",(VLOOKUP($A97,'SegEnds_NonXtal_BW#'!$A:$Z,26,FALSE)+VLOOKUP($A97,A:AL,37,FALSE)-50))</f>
        <v>386</v>
      </c>
      <c r="AM97" s="28" t="str">
        <f>VLOOKUP(A97,Classification!A:B,2,FALSE)</f>
        <v>A</v>
      </c>
      <c r="AN97" s="28" t="b">
        <f>AND(IF(Y97="-",IF(AA97-W97&gt;3,TRUE,FALSE),TRUE),IF(M97="-",IF(O97-K97&gt;3,TRUE,FALSE),TRUE),C97&lt;E97,OR(E97&lt;F97,F97="-"),OR(F97&lt;H97,F97="-"),OR(H97&lt;I97,H97="-"),I97&lt;K97,OR(K97&lt;L97,L97="-"),OR(L97&lt;N97,L97="-"),OR(N97&lt;O97,N97="-"),O97&lt;Q97,OR(Q97&lt;R97,R97="-"),OR(R97&lt;T97,R97="-"),OR(T97&lt;U97,T97="-"),U97&lt;W97,OR(W97&lt;X97,X97="-"),OR(X97&lt;Z97,X97="-"),OR(Z97&lt;AA97,Z97="-"),AA97&lt;AC97,AC97&lt;AD97,AD97&lt;AF97,AF97&lt;AG97,AG97&lt;AI97,OR(AI97&lt;AJ97,AJ97="-"),OR(AJ97&lt;AL97,AJ97="-"))</f>
        <v>1</v>
      </c>
      <c r="AO97" s="3" t="str">
        <f>IF(ISERROR(MATCH(A97,'SegEnds_Xtal_Prot#'!B:B, 0)), "NoXtal", "Xtal")</f>
        <v>NoXtal</v>
      </c>
      <c r="AP97" s="3">
        <f>IF(ISERROR(F97-E97),"-",F97-E97)</f>
        <v>1</v>
      </c>
      <c r="AQ97" s="3">
        <f>IF(ISERROR(I97-H97),"-",I97-H97)</f>
        <v>1</v>
      </c>
      <c r="AR97" s="3">
        <f>IF(ISERROR(L97-K97),"-",L97-K97)</f>
        <v>2</v>
      </c>
      <c r="AS97" s="3">
        <f>IF(ISERROR(O97-N97),"-",O97-N97)</f>
        <v>1</v>
      </c>
      <c r="AT97" s="3">
        <f>IF(ISERROR(R97-Q97),"-",R97-Q97)</f>
        <v>1</v>
      </c>
      <c r="AU97" s="3">
        <f>IF(ISERROR(U97-T97),"-",U97-T97)</f>
        <v>1</v>
      </c>
      <c r="AV97" s="3">
        <f>IF(ISERROR(X97-W97),"-",X97-W97)</f>
        <v>15</v>
      </c>
      <c r="AW97" s="3">
        <f>IF(ISERROR(AA97-Z97),"-",AA97-Z97)</f>
        <v>4</v>
      </c>
      <c r="AX97" s="3">
        <f>IF(ISERROR(AD97-AC97),"-",AD97-AC97)</f>
        <v>6</v>
      </c>
      <c r="AY97" s="3">
        <f>IF(ISERROR(AG97-AF97),"-",AG97-AF97)</f>
        <v>7</v>
      </c>
      <c r="AZ97" s="3">
        <f>IF(ISERROR(AJ97-AI97),"-",AJ97-AI97)</f>
        <v>1</v>
      </c>
      <c r="BA97" s="3">
        <f>IF(ISERROR(LEN(VLOOKUP(A97,Seqs!A:E,2,FALSE))-AL97),"-",LEN(VLOOKUP(A97,Seqs!A:E,2,FALSE))-AL97)</f>
        <v>41</v>
      </c>
      <c r="BB97" s="16">
        <f>J97-D97</f>
        <v>28</v>
      </c>
      <c r="BC97" s="9">
        <f>IF(ISERROR(V97-S97),"-",V97-S97)</f>
        <v>20</v>
      </c>
      <c r="BD97" s="3">
        <f>J97-D97</f>
        <v>28</v>
      </c>
      <c r="BE97" s="3">
        <f>AE97-AB97</f>
        <v>54</v>
      </c>
    </row>
    <row r="98" spans="1:58" s="3" customFormat="1" x14ac:dyDescent="0.2">
      <c r="A98" s="3" t="s">
        <v>196</v>
      </c>
      <c r="B98" s="3" t="str">
        <f>LOWER(VLOOKUP(A98,Xtal_Templ!A:B,2,FALSE))</f>
        <v>ednrb_human</v>
      </c>
      <c r="C98" s="3">
        <f>VLOOKUP($A98,'SegEnds_NonXtal_BW#'!$A:$Z,3,FALSE)+D98-50</f>
        <v>91</v>
      </c>
      <c r="D98" s="3">
        <v>119</v>
      </c>
      <c r="E98" s="3">
        <f>IF(ISERROR(VLOOKUP($A98,'SegEnds_NonXtal_BW#'!$A:$Z,4,FALSE)+VLOOKUP($A98,A:AL,4,FALSE)-50),"-",(VLOOKUP($A98,'SegEnds_NonXtal_BW#'!$A:$Z,4,FALSE)+VLOOKUP($A98,A:AL,4,FALSE)-50))</f>
        <v>129</v>
      </c>
      <c r="F98" s="3">
        <f>G98-2</f>
        <v>130</v>
      </c>
      <c r="G98" s="3">
        <v>132</v>
      </c>
      <c r="H98" s="3">
        <v>134</v>
      </c>
      <c r="I98" s="3">
        <f>H98+1</f>
        <v>135</v>
      </c>
      <c r="J98" s="3">
        <v>147</v>
      </c>
      <c r="K98" s="3">
        <f>VLOOKUP($A98,'SegEnds_NonXtal_BW#'!$A:$Z,8,FALSE)+VLOOKUP($A98,A:AL,10,FALSE)-50</f>
        <v>164</v>
      </c>
      <c r="L98" s="3">
        <f>M98-1</f>
        <v>166</v>
      </c>
      <c r="M98" s="3">
        <v>167</v>
      </c>
      <c r="N98" s="3">
        <f>M98+2</f>
        <v>169</v>
      </c>
      <c r="O98" s="3">
        <f>N98+1</f>
        <v>170</v>
      </c>
      <c r="P98" s="3">
        <v>199</v>
      </c>
      <c r="Q98" s="3">
        <f>VLOOKUP($A98,'SegEnds_NonXtal_BW#'!$A:$Z,12,FALSE)+VLOOKUP($A98,A:AL,16,FALSE)-50</f>
        <v>205</v>
      </c>
      <c r="R98" s="3">
        <f>IF(ISERROR(VLOOKUP($A98,'SegEnds_NonXtal_BW#'!$A:$Z,13,FALSE)+VLOOKUP($A98,A:AL,19,FALSE)-50),"-",VLOOKUP($A98,'SegEnds_NonXtal_BW#'!$A:$Z,13,FALSE)+VLOOKUP($A98,A:AL,19,FALSE)-50)</f>
        <v>206</v>
      </c>
      <c r="S98" s="3">
        <v>206</v>
      </c>
      <c r="T98" s="103">
        <f>IF(ISERROR(VLOOKUP($A98,'SegEnds_NonXtal_BW#'!$A:$Z,14,FALSE)+VLOOKUP($A98,A:AL,19,FALSE)-50),"-",(VLOOKUP($A98,'SegEnds_NonXtal_BW#'!$A:$Z,14,FALSE)+VLOOKUP($A98,A:AL,19,FALSE)-50))</f>
        <v>213</v>
      </c>
      <c r="U98" s="9">
        <f>IF(ISERROR(VLOOKUP($A98,'SegEnds_NonXtal_BW#'!$A:$Z,15,FALSE)+VLOOKUP($A98,A:AL,22,FALSE)-50),"-",VLOOKUP($A98,'SegEnds_NonXtal_BW#'!$A:$Z,15,FALSE)+VLOOKUP($A98,A:AL,22,FALSE)-50)</f>
        <v>214</v>
      </c>
      <c r="V98" s="3">
        <v>226</v>
      </c>
      <c r="W98" s="3">
        <f>IF(ISERROR(VLOOKUP($A98,'SegEnds_NonXtal_BW#'!$A:$Z,16,FALSE)+VLOOKUP($A98,A:AL,22,FALSE)-50),"-",(VLOOKUP($A98,'SegEnds_NonXtal_BW#'!$A:$Z,16,FALSE)+VLOOKUP($A98,A:AL,22,FALSE)-50))</f>
        <v>240</v>
      </c>
      <c r="X98" s="3">
        <f>IF(ISERROR(VLOOKUP($A98,'SegEnds_NonXtal_BW#'!$A:$Z,17,FALSE)+VLOOKUP($A98,A:AL,25,FALSE)-50),"-",(VLOOKUP($A98,'SegEnds_NonXtal_BW#'!$A:$Z,17,FALSE)+VLOOKUP($A98,A:AL,25,FALSE)-50))</f>
        <v>255</v>
      </c>
      <c r="Y98" s="3">
        <v>255</v>
      </c>
      <c r="Z98" s="3">
        <f>Y98+2</f>
        <v>257</v>
      </c>
      <c r="AA98" s="3">
        <f>IF(ISERROR(VLOOKUP($A98,'SegEnds_NonXtal_BW#'!$A:$Z,19,FALSE)+VLOOKUP($A98,A:AL,28,FALSE)-50),"-",(VLOOKUP($A98,'SegEnds_NonXtal_BW#'!$A:$Z,19,FALSE)+VLOOKUP($A98,A:AL,28,FALSE)-50))</f>
        <v>263</v>
      </c>
      <c r="AB98" s="3">
        <v>285</v>
      </c>
      <c r="AC98" s="3">
        <f>IF(ISERROR((VLOOKUP($A98,'SegEnds_NonXtal_BW#'!$A:$Z,20,FALSE)+VLOOKUP($A98,A:AL,28,FALSE)-50)),"-",(VLOOKUP($A98,'SegEnds_NonXtal_BW#'!$A:$Z,20,FALSE)+VLOOKUP($A98,A:AL,28,FALSE)-50))</f>
        <v>307</v>
      </c>
      <c r="AD98" s="3">
        <f>IF(ISERROR(VLOOKUP($A98,'SegEnds_NonXtal_BW#'!$A:$Z,21,FALSE)+VLOOKUP($A98,A:AL,31,FALSE)-50),"-",(VLOOKUP($A98,'SegEnds_NonXtal_BW#'!$A:$Z,21,FALSE)+VLOOKUP($A98,A:AL,31,FALSE)-50))</f>
        <v>312</v>
      </c>
      <c r="AE98" s="3">
        <v>338</v>
      </c>
      <c r="AF98" s="3">
        <f>IF(ISERROR((VLOOKUP($A98,'SegEnds_NonXtal_BW#'!$A:$Z,22,FALSE)+VLOOKUP($A98,A:AL,31,FALSE)-50)),"-",(VLOOKUP($A98,'SegEnds_NonXtal_BW#'!$A:$Z,22,FALSE)+VLOOKUP($A98,A:AL,31,FALSE)-50))</f>
        <v>350</v>
      </c>
      <c r="AG98" s="3">
        <f>IF(ISERROR(VLOOKUP($A98,'SegEnds_NonXtal_BW#'!$A:$Z,23,FALSE)+VLOOKUP($A98,A:AL,34,FALSE)-50),"-",(VLOOKUP($A98,'SegEnds_NonXtal_BW#'!$A:$Z,23,FALSE)+VLOOKUP($A98,A:AL,34,FALSE)-50))</f>
        <v>357</v>
      </c>
      <c r="AH98" s="3">
        <v>383</v>
      </c>
      <c r="AI98" s="3">
        <f>IF(ISERROR((VLOOKUP($A98,'SegEnds_NonXtal_BW#'!$A:$Z,24,FALSE)+VLOOKUP($A98,A:AL,34,FALSE)-50)),"-",(VLOOKUP($A98,'SegEnds_NonXtal_BW#'!$A:$Z,24,FALSE)+VLOOKUP($A98,A:AL,34,FALSE)-50))</f>
        <v>389</v>
      </c>
      <c r="AJ98" s="3">
        <f>IF(ISERROR(VLOOKUP($A98,'SegEnds_NonXtal_BW#'!$A:$Z,25,FALSE)+VLOOKUP($A98,A:AL,37,FALSE)-50),"-",(VLOOKUP($A98,'SegEnds_NonXtal_BW#'!$A:$Z,25,FALSE)+VLOOKUP($A98,A:AL,37,FALSE)-50))</f>
        <v>390</v>
      </c>
      <c r="AK98" s="3">
        <v>393</v>
      </c>
      <c r="AL98" s="3">
        <f>IF(ISERROR((VLOOKUP($A98,'SegEnds_NonXtal_BW#'!$A:$Z,26,FALSE)+VLOOKUP($A98,A:AL,37,FALSE)-50)),"-",(VLOOKUP($A98,'SegEnds_NonXtal_BW#'!$A:$Z,26,FALSE)+VLOOKUP($A98,A:AL,37,FALSE)-50))</f>
        <v>403</v>
      </c>
      <c r="AM98" s="28" t="str">
        <f>VLOOKUP(A98,Classification!A:B,2,FALSE)</f>
        <v>A</v>
      </c>
      <c r="AN98" s="28" t="b">
        <f>AND(IF(Y98="-",IF(AA98-W98&gt;3,TRUE,FALSE),TRUE),IF(M98="-",IF(O98-K98&gt;3,TRUE,FALSE),TRU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>IF(ISERROR(F98-E98),"-",F98-E98)</f>
        <v>1</v>
      </c>
      <c r="AQ98" s="3">
        <f>IF(ISERROR(I98-H98),"-",I98-H98)</f>
        <v>1</v>
      </c>
      <c r="AR98" s="3">
        <f>IF(ISERROR(L98-K98),"-",L98-K98)</f>
        <v>2</v>
      </c>
      <c r="AS98" s="3">
        <f>IF(ISERROR(O98-N98),"-",O98-N98)</f>
        <v>1</v>
      </c>
      <c r="AT98" s="3">
        <f>IF(ISERROR(R98-Q98),"-",R98-Q98)</f>
        <v>1</v>
      </c>
      <c r="AU98" s="3">
        <f>IF(ISERROR(U98-T98),"-",U98-T98)</f>
        <v>1</v>
      </c>
      <c r="AV98" s="3">
        <f>IF(ISERROR(X98-W98),"-",X98-W98)</f>
        <v>15</v>
      </c>
      <c r="AW98" s="3">
        <f>IF(ISERROR(AA98-Z98),"-",AA98-Z98)</f>
        <v>6</v>
      </c>
      <c r="AX98" s="3">
        <f>IF(ISERROR(AD98-AC98),"-",AD98-AC98)</f>
        <v>5</v>
      </c>
      <c r="AY98" s="3">
        <f>IF(ISERROR(AG98-AF98),"-",AG98-AF98)</f>
        <v>7</v>
      </c>
      <c r="AZ98" s="3">
        <f>IF(ISERROR(AJ98-AI98),"-",AJ98-AI98)</f>
        <v>1</v>
      </c>
      <c r="BA98" s="3">
        <f>IF(ISERROR(LEN(VLOOKUP(A98,Seqs!A:E,2,FALSE))-AL98),"-",LEN(VLOOKUP(A98,Seqs!A:E,2,FALSE))-AL98)</f>
        <v>39</v>
      </c>
      <c r="BB98" s="16">
        <f>J98-D98</f>
        <v>28</v>
      </c>
      <c r="BC98" s="9">
        <f>IF(ISERROR(V98-S98),"-",V98-S98)</f>
        <v>20</v>
      </c>
      <c r="BD98" s="3">
        <f>J98-D98</f>
        <v>28</v>
      </c>
      <c r="BE98" s="3">
        <f>AE98-AB98</f>
        <v>53</v>
      </c>
    </row>
    <row r="99" spans="1:58" s="3" customFormat="1" x14ac:dyDescent="0.2">
      <c r="A99" s="3" t="s">
        <v>197</v>
      </c>
      <c r="B99" s="3" t="str">
        <f>LOWER(VLOOKUP(A99,Xtal_Templ!A:B,2,FALSE))</f>
        <v>ednrb_human</v>
      </c>
      <c r="C99" s="3">
        <f>VLOOKUP($A99,'SegEnds_NonXtal_BW#'!$A:$Z,3,FALSE)+D99-50</f>
        <v>120</v>
      </c>
      <c r="D99" s="3">
        <v>148</v>
      </c>
      <c r="E99" s="3">
        <f>IF(ISERROR(VLOOKUP($A99,'SegEnds_NonXtal_BW#'!$A:$Z,4,FALSE)+VLOOKUP($A99,A:AL,4,FALSE)-50),"-",(VLOOKUP($A99,'SegEnds_NonXtal_BW#'!$A:$Z,4,FALSE)+VLOOKUP($A99,A:AL,4,FALSE)-50))</f>
        <v>158</v>
      </c>
      <c r="F99" s="3">
        <f>G99-2</f>
        <v>159</v>
      </c>
      <c r="G99" s="3">
        <v>161</v>
      </c>
      <c r="H99" s="3">
        <f>G99+1</f>
        <v>162</v>
      </c>
      <c r="I99" s="3">
        <f>H99+1</f>
        <v>163</v>
      </c>
      <c r="J99" s="3">
        <v>176</v>
      </c>
      <c r="K99" s="3">
        <f>VLOOKUP($A99,'SegEnds_NonXtal_BW#'!$A:$Z,8,FALSE)+VLOOKUP($A99,A:AL,10,FALSE)-50</f>
        <v>193</v>
      </c>
      <c r="L99" s="3" t="str">
        <f>IF(ISERROR(VLOOKUP($A99,'SegEnds_NonXtal_BW#'!$A:$Z,9,FALSE)+VLOOKUP($A99,A:AL,13,FALSE)-50),"-",(VLOOKUP($A99,'SegEnds_NonXtal_BW#'!$A:$Z,9,FALSE)+VLOOKUP($A99,A:AL,13,FALSE)-50))</f>
        <v>-</v>
      </c>
      <c r="M99" s="3" t="s">
        <v>23</v>
      </c>
      <c r="N99" s="3" t="str">
        <f>IF(ISERROR(VLOOKUP($A99,'SegEnds_NonXtal_BW#'!$A:$Z,10,FALSE)+VLOOKUP($A99,A:AL,13,FALSE)-50),"-",(VLOOKUP($A99,'SegEnds_NonXtal_BW#'!$A:$Z,10,FALSE)+VLOOKUP($A99,A:AL,13,FALSE)-50))</f>
        <v>-</v>
      </c>
      <c r="O99" s="3">
        <f>VLOOKUP($A99,'SegEnds_NonXtal_BW#'!$A:$Z,11,FALSE)+VLOOKUP($A99,A:AL,16,FALSE)-50</f>
        <v>199</v>
      </c>
      <c r="P99" s="3">
        <v>228</v>
      </c>
      <c r="Q99" s="3">
        <f>VLOOKUP($A99,'SegEnds_NonXtal_BW#'!$A:$Z,12,FALSE)+VLOOKUP($A99,A:AL,16,FALSE)-50</f>
        <v>234</v>
      </c>
      <c r="R99" s="3">
        <f>IF(ISERROR(VLOOKUP($A99,'SegEnds_NonXtal_BW#'!$A:$Z,13,FALSE)+VLOOKUP($A99,A:AL,19,FALSE)-50),"-",VLOOKUP($A99,'SegEnds_NonXtal_BW#'!$A:$Z,13,FALSE)+VLOOKUP($A99,A:AL,19,FALSE)-50)</f>
        <v>236</v>
      </c>
      <c r="S99" s="3">
        <v>236</v>
      </c>
      <c r="T99" s="103">
        <f>IF(ISERROR(VLOOKUP($A99,'SegEnds_NonXtal_BW#'!$A:$Z,14,FALSE)+VLOOKUP($A99,A:AL,19,FALSE)-50),"-",(VLOOKUP($A99,'SegEnds_NonXtal_BW#'!$A:$Z,14,FALSE)+VLOOKUP($A99,A:AL,19,FALSE)-50))</f>
        <v>243</v>
      </c>
      <c r="U99" s="9">
        <f>IF(ISERROR(VLOOKUP($A99,'SegEnds_NonXtal_BW#'!$A:$Z,15,FALSE)+VLOOKUP($A99,A:AL,22,FALSE)-50),"-",VLOOKUP($A99,'SegEnds_NonXtal_BW#'!$A:$Z,15,FALSE)+VLOOKUP($A99,A:AL,22,FALSE)-50)</f>
        <v>244</v>
      </c>
      <c r="V99" s="3">
        <v>256</v>
      </c>
      <c r="W99" s="3">
        <f>IF(ISERROR(VLOOKUP($A99,'SegEnds_NonXtal_BW#'!$A:$Z,16,FALSE)+VLOOKUP($A99,A:AL,22,FALSE)-50),"-",(VLOOKUP($A99,'SegEnds_NonXtal_BW#'!$A:$Z,16,FALSE)+VLOOKUP($A99,A:AL,22,FALSE)-50))</f>
        <v>270</v>
      </c>
      <c r="X99" s="3">
        <f>IF(ISERROR(VLOOKUP($A99,'SegEnds_NonXtal_BW#'!$A:$Z,17,FALSE)+VLOOKUP($A99,A:AL,25,FALSE)-50),"-",(VLOOKUP($A99,'SegEnds_NonXtal_BW#'!$A:$Z,17,FALSE)+VLOOKUP($A99,A:AL,25,FALSE)-50))</f>
        <v>286</v>
      </c>
      <c r="Y99" s="3">
        <v>286</v>
      </c>
      <c r="Z99" s="3">
        <f>Y99+2</f>
        <v>288</v>
      </c>
      <c r="AA99" s="3">
        <f>IF(ISERROR(VLOOKUP($A99,'SegEnds_NonXtal_BW#'!$A:$Z,19,FALSE)+VLOOKUP($A99,A:AL,28,FALSE)-50),"-",(VLOOKUP($A99,'SegEnds_NonXtal_BW#'!$A:$Z,19,FALSE)+VLOOKUP($A99,A:AL,28,FALSE)-50))</f>
        <v>299</v>
      </c>
      <c r="AB99" s="3">
        <v>321</v>
      </c>
      <c r="AC99" s="3">
        <f>IF(ISERROR((VLOOKUP($A99,'SegEnds_NonXtal_BW#'!$A:$Z,20,FALSE)+VLOOKUP($A99,A:AL,28,FALSE)-50)),"-",(VLOOKUP($A99,'SegEnds_NonXtal_BW#'!$A:$Z,20,FALSE)+VLOOKUP($A99,A:AL,28,FALSE)-50))</f>
        <v>343</v>
      </c>
      <c r="AD99" s="3">
        <f>IF(ISERROR(VLOOKUP($A99,'SegEnds_NonXtal_BW#'!$A:$Z,21,FALSE)+VLOOKUP($A99,A:AL,31,FALSE)-50),"-",(VLOOKUP($A99,'SegEnds_NonXtal_BW#'!$A:$Z,21,FALSE)+VLOOKUP($A99,A:AL,31,FALSE)-50))</f>
        <v>348</v>
      </c>
      <c r="AE99" s="3">
        <v>374</v>
      </c>
      <c r="AF99" s="3">
        <f>IF(ISERROR((VLOOKUP($A99,'SegEnds_NonXtal_BW#'!$A:$Z,22,FALSE)+VLOOKUP($A99,A:AL,31,FALSE)-50)),"-",(VLOOKUP($A99,'SegEnds_NonXtal_BW#'!$A:$Z,22,FALSE)+VLOOKUP($A99,A:AL,31,FALSE)-50))</f>
        <v>385</v>
      </c>
      <c r="AG99" s="3">
        <f>IF(ISERROR(VLOOKUP($A99,'SegEnds_NonXtal_BW#'!$A:$Z,23,FALSE)+VLOOKUP($A99,A:AL,34,FALSE)-50),"-",(VLOOKUP($A99,'SegEnds_NonXtal_BW#'!$A:$Z,23,FALSE)+VLOOKUP($A99,A:AL,34,FALSE)-50))</f>
        <v>391</v>
      </c>
      <c r="AH99" s="3">
        <v>413</v>
      </c>
      <c r="AI99" s="3">
        <f>IF(ISERROR((VLOOKUP($A99,'SegEnds_NonXtal_BW#'!$A:$Z,24,FALSE)+VLOOKUP($A99,A:AL,34,FALSE)-50)),"-",(VLOOKUP($A99,'SegEnds_NonXtal_BW#'!$A:$Z,24,FALSE)+VLOOKUP($A99,A:AL,34,FALSE)-50))</f>
        <v>419</v>
      </c>
      <c r="AJ99" s="3">
        <f>IF(ISERROR(VLOOKUP($A99,'SegEnds_NonXtal_BW#'!$A:$Z,25,FALSE)+VLOOKUP($A99,A:AL,37,FALSE)-50),"-",(VLOOKUP($A99,'SegEnds_NonXtal_BW#'!$A:$Z,25,FALSE)+VLOOKUP($A99,A:AL,37,FALSE)-50))</f>
        <v>420</v>
      </c>
      <c r="AK99" s="3">
        <v>423</v>
      </c>
      <c r="AL99" s="3">
        <f>IF(ISERROR((VLOOKUP($A99,'SegEnds_NonXtal_BW#'!$A:$Z,26,FALSE)+VLOOKUP($A99,A:AL,37,FALSE)-50)),"-",(VLOOKUP($A99,'SegEnds_NonXtal_BW#'!$A:$Z,26,FALSE)+VLOOKUP($A99,A:AL,37,FALSE)-50))</f>
        <v>433</v>
      </c>
      <c r="AM99" s="28" t="str">
        <f>VLOOKUP(A99,Classification!A:B,2,FALSE)</f>
        <v>A</v>
      </c>
      <c r="AN99" s="28" t="b">
        <f>AND(IF(Y99="-",IF(AA99-W99&gt;3,TRUE,FALSE),TRUE),IF(M99="-",IF(O99-K99&gt;3,TRUE,FALSE),TRUE),C99&lt;E99,OR(E99&lt;F99,F99="-"),OR(F99&lt;H99,F99="-"),OR(H99&lt;I99,H99="-"),I99&lt;K99,OR(K99&lt;L99,L99="-"),OR(L99&lt;N99,L99="-"),OR(N99&lt;O99,N99="-"),O99&lt;Q99,OR(Q99&lt;R99,R99="-"),OR(R99&lt;T99,R99="-"),OR(T99&lt;U99,T99="-"),U99&lt;W99,OR(W99&lt;X99,X99="-"),OR(X99&lt;Z99,X99="-"),OR(Z99&lt;AA99,Z99="-"),AA99&lt;AC99,AC99&lt;AD99,AD99&lt;AF99,AF99&lt;AG99,AG99&lt;AI99,OR(AI99&lt;AJ99,AJ99="-"),OR(AJ99&lt;AL99,AJ99="-"))</f>
        <v>1</v>
      </c>
      <c r="AO99" s="3" t="str">
        <f>IF(ISERROR(MATCH(A99,'SegEnds_Xtal_Prot#'!B:B, 0)), "NoXtal", "Xtal")</f>
        <v>NoXtal</v>
      </c>
      <c r="AP99" s="3">
        <f>IF(ISERROR(F99-E99),"-",F99-E99)</f>
        <v>1</v>
      </c>
      <c r="AQ99" s="3">
        <f>IF(ISERROR(I99-H99),"-",I99-H99)</f>
        <v>1</v>
      </c>
      <c r="AR99" s="3" t="str">
        <f>IF(ISERROR(L99-K99),"-",L99-K99)</f>
        <v>-</v>
      </c>
      <c r="AS99" s="3" t="str">
        <f>IF(ISERROR(O99-N99),"-",O99-N99)</f>
        <v>-</v>
      </c>
      <c r="AT99" s="3">
        <f>IF(ISERROR(R99-Q99),"-",R99-Q99)</f>
        <v>2</v>
      </c>
      <c r="AU99" s="3">
        <f>IF(ISERROR(U99-T99),"-",U99-T99)</f>
        <v>1</v>
      </c>
      <c r="AV99" s="3">
        <f>IF(ISERROR(X99-W99),"-",X99-W99)</f>
        <v>16</v>
      </c>
      <c r="AW99" s="3">
        <f>IF(ISERROR(AA99-Z99),"-",AA99-Z99)</f>
        <v>11</v>
      </c>
      <c r="AX99" s="3">
        <f>IF(ISERROR(AD99-AC99),"-",AD99-AC99)</f>
        <v>5</v>
      </c>
      <c r="AY99" s="3">
        <f>IF(ISERROR(AG99-AF99),"-",AG99-AF99)</f>
        <v>6</v>
      </c>
      <c r="AZ99" s="3">
        <f>IF(ISERROR(AJ99-AI99),"-",AJ99-AI99)</f>
        <v>1</v>
      </c>
      <c r="BA99" s="3">
        <f>IF(ISERROR(LEN(VLOOKUP(A99,Seqs!A:E,2,FALSE))-AL99),"-",LEN(VLOOKUP(A99,Seqs!A:E,2,FALSE))-AL99)</f>
        <v>48</v>
      </c>
      <c r="BB99" s="16">
        <f>J99-D99</f>
        <v>28</v>
      </c>
      <c r="BC99" s="9">
        <f>IF(ISERROR(V99-S99),"-",V99-S99)</f>
        <v>20</v>
      </c>
      <c r="BD99" s="3">
        <f>J99-D99</f>
        <v>28</v>
      </c>
      <c r="BE99" s="3">
        <f>AE99-AB99</f>
        <v>53</v>
      </c>
    </row>
    <row r="100" spans="1:58" s="3" customFormat="1" x14ac:dyDescent="0.2">
      <c r="A100" s="3" t="s">
        <v>1173</v>
      </c>
      <c r="B100" s="3" t="str">
        <f>LOWER(VLOOKUP(A100,Xtal_Templ!A:B,2,FALSE))</f>
        <v>ffar1_human</v>
      </c>
      <c r="C100" s="3">
        <f>VLOOKUP($A100,'SegEnds_NonXtal_BW#'!$A:$Z,3,FALSE)+D100-50</f>
        <v>4</v>
      </c>
      <c r="D100" s="3">
        <v>23</v>
      </c>
      <c r="E100" s="3">
        <f>IF(ISERROR(VLOOKUP($A100,'SegEnds_NonXtal_BW#'!$A:$Z,4,FALSE)+VLOOKUP($A100,A:AL,4,FALSE)-50),"-",(VLOOKUP($A100,'SegEnds_NonXtal_BW#'!$A:$Z,4,FALSE)+VLOOKUP($A100,A:AL,4,FALSE)-50))</f>
        <v>37</v>
      </c>
      <c r="F100" s="3" t="str">
        <f>IF(ISERROR(VLOOKUP($A100,'SegEnds_NonXtal_BW#'!$A:$Z,5,FALSE)+VLOOKUP($A100,A:AL,7,FALSE)-50),"-",(VLOOKUP($A100,'SegEnds_NonXtal_BW#'!$A:$Z,5,FALSE)+VLOOKUP($A100,A:AL,7,FALSE)-50))</f>
        <v>-</v>
      </c>
      <c r="G100" s="3" t="s">
        <v>23</v>
      </c>
      <c r="H100" s="3" t="str">
        <f>IF(ISERROR(VLOOKUP($A100,'SegEnds_NonXtal_BW#'!$A:$Z,6,FALSE)+VLOOKUP($A100,A:AL,7,FALSE)-50),"-",(VLOOKUP($A100,'SegEnds_NonXtal_BW#'!$A:$Z,6,FALSE)+VLOOKUP($A100,A:AL,7,FALSE)-50))</f>
        <v>-</v>
      </c>
      <c r="I100" s="3">
        <f>VLOOKUP($A100,'SegEnds_NonXtal_BW#'!$A:$Z,7,FALSE)+J100-50</f>
        <v>39</v>
      </c>
      <c r="J100" s="3">
        <v>52</v>
      </c>
      <c r="K100" s="3">
        <f>VLOOKUP($A100,'SegEnds_NonXtal_BW#'!$A:$Z,8,FALSE)+VLOOKUP($A100,A:AL,10,FALSE)-50</f>
        <v>69</v>
      </c>
      <c r="L100" s="3">
        <f>M100-1</f>
        <v>71</v>
      </c>
      <c r="M100" s="3">
        <v>72</v>
      </c>
      <c r="N100" s="3">
        <f>M100+2</f>
        <v>74</v>
      </c>
      <c r="O100" s="3">
        <f>N100+1</f>
        <v>75</v>
      </c>
      <c r="P100" s="3">
        <v>104</v>
      </c>
      <c r="Q100" s="3">
        <f>VLOOKUP($A100,'SegEnds_NonXtal_BW#'!$A:$Z,12,FALSE)+VLOOKUP($A100,A:AL,16,FALSE)-50</f>
        <v>110</v>
      </c>
      <c r="R100" s="3">
        <f>IF(ISERROR(VLOOKUP($A100,'SegEnds_NonXtal_BW#'!$A:$Z,13,FALSE)+VLOOKUP($A100,A:AL,19,FALSE)-50),"-",VLOOKUP($A100,'SegEnds_NonXtal_BW#'!$A:$Z,13,FALSE)+VLOOKUP($A100,A:AL,19,FALSE)-50)</f>
        <v>111</v>
      </c>
      <c r="S100" s="3">
        <v>111</v>
      </c>
      <c r="T100" s="103">
        <f>IF(ISERROR(VLOOKUP($A100,'SegEnds_NonXtal_BW#'!$A:$Z,14,FALSE)+VLOOKUP($A100,A:AL,19,FALSE)-50),"-",(VLOOKUP($A100,'SegEnds_NonXtal_BW#'!$A:$Z,14,FALSE)+VLOOKUP($A100,A:AL,19,FALSE)-50))</f>
        <v>118</v>
      </c>
      <c r="U100" s="9">
        <f>IF(ISERROR(VLOOKUP($A100,'SegEnds_NonXtal_BW#'!$A:$Z,15,FALSE)+VLOOKUP($A100,A:AL,22,FALSE)-50),"-",VLOOKUP($A100,'SegEnds_NonXtal_BW#'!$A:$Z,15,FALSE)+VLOOKUP($A100,A:AL,22,FALSE)-50)</f>
        <v>119</v>
      </c>
      <c r="V100" s="3">
        <v>131</v>
      </c>
      <c r="W100" s="3">
        <f>IF(ISERROR(VLOOKUP($A100,'SegEnds_NonXtal_BW#'!$A:$Z,16,FALSE)+VLOOKUP($A100,A:AL,22,FALSE)-50),"-",(VLOOKUP($A100,'SegEnds_NonXtal_BW#'!$A:$Z,16,FALSE)+VLOOKUP($A100,A:AL,22,FALSE)-50))</f>
        <v>146</v>
      </c>
      <c r="X100" s="3">
        <f>IF(ISERROR(VLOOKUP($A100,'SegEnds_NonXtal_BW#'!$A:$Z,17,FALSE)+VLOOKUP($A100,A:AL,25,FALSE)-50),"-",(VLOOKUP($A100,'SegEnds_NonXtal_BW#'!$A:$Z,17,FALSE)+VLOOKUP($A100,A:AL,25,FALSE)-50))</f>
        <v>170</v>
      </c>
      <c r="Y100" s="3">
        <v>170</v>
      </c>
      <c r="Z100" s="3">
        <f>Y100+2</f>
        <v>172</v>
      </c>
      <c r="AA100" s="3">
        <f>IF(ISERROR(VLOOKUP($A100,'SegEnds_NonXtal_BW#'!$A:$Z,19,FALSE)+VLOOKUP($A100,A:AL,28,FALSE)-50),"-",(VLOOKUP($A100,'SegEnds_NonXtal_BW#'!$A:$Z,19,FALSE)+VLOOKUP($A100,A:AL,28,FALSE)-50))</f>
        <v>175</v>
      </c>
      <c r="AB100" s="3">
        <v>194</v>
      </c>
      <c r="AC100" s="3">
        <f>IF(ISERROR((VLOOKUP($A100,'SegEnds_NonXtal_BW#'!$A:$Z,20,FALSE)+VLOOKUP($A100,A:AL,28,FALSE)-50)),"-",(VLOOKUP($A100,'SegEnds_NonXtal_BW#'!$A:$Z,20,FALSE)+VLOOKUP($A100,A:AL,28,FALSE)-50))</f>
        <v>211</v>
      </c>
      <c r="AD100" s="3">
        <f>IF(ISERROR(VLOOKUP($A100,'SegEnds_NonXtal_BW#'!$A:$Z,21,FALSE)+VLOOKUP($A100,A:AL,31,FALSE)-50),"-",(VLOOKUP($A100,'SegEnds_NonXtal_BW#'!$A:$Z,21,FALSE)+VLOOKUP($A100,A:AL,31,FALSE)-50))</f>
        <v>217</v>
      </c>
      <c r="AE100" s="3">
        <v>239</v>
      </c>
      <c r="AF100" s="3">
        <f>IF(ISERROR((VLOOKUP($A100,'SegEnds_NonXtal_BW#'!$A:$Z,22,FALSE)+VLOOKUP($A100,A:AL,31,FALSE)-50)),"-",(VLOOKUP($A100,'SegEnds_NonXtal_BW#'!$A:$Z,22,FALSE)+VLOOKUP($A100,A:AL,31,FALSE)-50))</f>
        <v>250</v>
      </c>
      <c r="AG100" s="3">
        <f>IF(ISERROR(VLOOKUP($A100,'SegEnds_NonXtal_BW#'!$A:$Z,23,FALSE)+VLOOKUP($A100,A:AL,34,FALSE)-50),"-",(VLOOKUP($A100,'SegEnds_NonXtal_BW#'!$A:$Z,23,FALSE)+VLOOKUP($A100,A:AL,34,FALSE)-50))</f>
        <v>255</v>
      </c>
      <c r="AH100" s="3">
        <v>273</v>
      </c>
      <c r="AI100" s="3">
        <f>IF(ISERROR((VLOOKUP($A100,'SegEnds_NonXtal_BW#'!$A:$Z,24,FALSE)+VLOOKUP($A100,A:AL,34,FALSE)-50)),"-",(VLOOKUP($A100,'SegEnds_NonXtal_BW#'!$A:$Z,24,FALSE)+VLOOKUP($A100,A:AL,34,FALSE)-50))</f>
        <v>279</v>
      </c>
      <c r="AJ100" s="3">
        <f>IF(ISERROR(VLOOKUP($A100,'SegEnds_NonXtal_BW#'!$A:$Z,25,FALSE)+VLOOKUP($A100,A:AL,37,FALSE)-50),"-",(VLOOKUP($A100,'SegEnds_NonXtal_BW#'!$A:$Z,25,FALSE)+VLOOKUP($A100,A:AL,37,FALSE)-50))</f>
        <v>280</v>
      </c>
      <c r="AK100" s="3">
        <v>283</v>
      </c>
      <c r="AL100" s="3">
        <f>IF(ISERROR((VLOOKUP($A100,'SegEnds_NonXtal_BW#'!$A:$Z,26,FALSE)+VLOOKUP($A100,A:AL,37,FALSE)-50)),"-",(VLOOKUP($A100,'SegEnds_NonXtal_BW#'!$A:$Z,26,FALSE)+VLOOKUP($A100,A:AL,37,FALSE)-50))</f>
        <v>294</v>
      </c>
      <c r="AM100" s="28" t="str">
        <f>VLOOKUP(A100,Classification!A:B,2,FALSE)</f>
        <v>A</v>
      </c>
      <c r="AN100" s="28" t="b">
        <f>AND(IF(Y100="-",IF(AA100-W100&gt;3,TRUE,FALSE),TRUE),IF(M100="-",IF(O100-K100&gt;3,TRUE,FALSE),TRUE),C100&lt;E100,OR(E100&lt;F100,F100="-"),OR(F100&lt;H100,F100="-"),OR(H100&lt;I100,H100="-"),I100&lt;K100,OR(K100&lt;L100,L100="-"),OR(L100&lt;N100,L100="-"),OR(N100&lt;O100,N100="-"),O100&lt;Q100,OR(Q100&lt;R100,R100="-"),OR(R100&lt;T100,R100="-"),OR(T100&lt;U100,T100="-"),U100&lt;W100,OR(W100&lt;X100,X100="-"),OR(X100&lt;Z100,X100="-"),OR(Z100&lt;AA100,Z100="-"),AA100&lt;AC100,AC100&lt;AD100,AD100&lt;AF100,AF100&lt;AG100,AG100&lt;AI100,OR(AI100&lt;AJ100,AJ100="-"),OR(AJ100&lt;AL100,AJ100="-"))</f>
        <v>1</v>
      </c>
      <c r="AO100" s="3" t="str">
        <f>IF(ISERROR(MATCH(A100,'SegEnds_Xtal_Prot#'!B:B, 0)), "NoXtal", "Xtal")</f>
        <v>Xtal</v>
      </c>
      <c r="AP100" s="3" t="str">
        <f>IF(ISERROR(F100-E100),"-",F100-E100)</f>
        <v>-</v>
      </c>
      <c r="AQ100" s="3" t="str">
        <f>IF(ISERROR(I100-H100),"-",I100-H100)</f>
        <v>-</v>
      </c>
      <c r="AR100" s="3">
        <f>IF(ISERROR(L100-K100),"-",L100-K100)</f>
        <v>2</v>
      </c>
      <c r="AS100" s="3">
        <f>IF(ISERROR(O100-N100),"-",O100-N100)</f>
        <v>1</v>
      </c>
      <c r="AT100" s="3">
        <f>IF(ISERROR(R100-Q100),"-",R100-Q100)</f>
        <v>1</v>
      </c>
      <c r="AU100" s="3">
        <f>IF(ISERROR(U100-T100),"-",U100-T100)</f>
        <v>1</v>
      </c>
      <c r="AV100" s="3">
        <f>IF(ISERROR(X100-W100),"-",X100-W100)</f>
        <v>24</v>
      </c>
      <c r="AW100" s="3">
        <f>IF(ISERROR(AA100-Z100),"-",AA100-Z100)</f>
        <v>3</v>
      </c>
      <c r="AX100" s="3">
        <f>IF(ISERROR(AD100-AC100),"-",AD100-AC100)</f>
        <v>6</v>
      </c>
      <c r="AY100" s="3">
        <f>IF(ISERROR(AG100-AF100),"-",AG100-AF100)</f>
        <v>5</v>
      </c>
      <c r="AZ100" s="3">
        <f>IF(ISERROR(AJ100-AI100),"-",AJ100-AI100)</f>
        <v>1</v>
      </c>
      <c r="BA100" s="3">
        <f>IF(ISERROR(LEN(VLOOKUP(A100,Seqs!A:E,2,FALSE))-AL100),"-",LEN(VLOOKUP(A100,Seqs!A:E,2,FALSE))-AL100)</f>
        <v>6</v>
      </c>
      <c r="BB100" s="16">
        <f>J100-D100</f>
        <v>29</v>
      </c>
      <c r="BC100" s="9">
        <f>IF(ISERROR(V100-S100),"-",V100-S100)</f>
        <v>20</v>
      </c>
      <c r="BD100" s="3">
        <f>J100-D100</f>
        <v>29</v>
      </c>
      <c r="BE100" s="3">
        <f>AE100-AB100</f>
        <v>45</v>
      </c>
      <c r="BF100" s="3">
        <f>AH100-AE100</f>
        <v>34</v>
      </c>
    </row>
    <row r="101" spans="1:58" s="3" customFormat="1" x14ac:dyDescent="0.2">
      <c r="A101" s="3" t="s">
        <v>198</v>
      </c>
      <c r="B101" s="3" t="str">
        <f>LOWER(VLOOKUP(A101,Xtal_Templ!A:B,2,FALSE))</f>
        <v>par2_human</v>
      </c>
      <c r="C101" s="3">
        <f>VLOOKUP($A101,'SegEnds_NonXtal_BW#'!$A:$Z,3,FALSE)+D101-50</f>
        <v>3</v>
      </c>
      <c r="D101" s="3">
        <v>25</v>
      </c>
      <c r="E101" s="3">
        <f>IF(ISERROR(VLOOKUP($A101,'SegEnds_NonXtal_BW#'!$A:$Z,4,FALSE)+VLOOKUP($A101,A:AL,4,FALSE)-50),"-",(VLOOKUP($A101,'SegEnds_NonXtal_BW#'!$A:$Z,4,FALSE)+VLOOKUP($A101,A:AL,4,FALSE)-50))</f>
        <v>35</v>
      </c>
      <c r="F101" s="3" t="str">
        <f>IF(ISERROR(VLOOKUP($A101,'SegEnds_NonXtal_BW#'!$A:$Z,5,FALSE)+VLOOKUP($A101,A:AL,7,FALSE)-50),"-",(VLOOKUP($A101,'SegEnds_NonXtal_BW#'!$A:$Z,5,FALSE)+VLOOKUP($A101,A:AL,7,FALSE)-50))</f>
        <v>-</v>
      </c>
      <c r="G101" s="3" t="s">
        <v>23</v>
      </c>
      <c r="H101" s="3" t="str">
        <f>IF(ISERROR(VLOOKUP($A101,'SegEnds_NonXtal_BW#'!$A:$Z,6,FALSE)+VLOOKUP($A101,A:AL,7,FALSE)-50),"-",(VLOOKUP($A101,'SegEnds_NonXtal_BW#'!$A:$Z,6,FALSE)+VLOOKUP($A101,A:AL,7,FALSE)-50))</f>
        <v>-</v>
      </c>
      <c r="I101" s="3">
        <f>VLOOKUP($A101,'SegEnds_NonXtal_BW#'!$A:$Z,7,FALSE)+J101-50</f>
        <v>42</v>
      </c>
      <c r="J101" s="3">
        <v>55</v>
      </c>
      <c r="K101" s="3">
        <f>VLOOKUP($A101,'SegEnds_NonXtal_BW#'!$A:$Z,8,FALSE)+VLOOKUP($A101,A:AL,10,FALSE)-50</f>
        <v>71</v>
      </c>
      <c r="L101" s="3">
        <f>M101-1</f>
        <v>74</v>
      </c>
      <c r="M101" s="3">
        <v>75</v>
      </c>
      <c r="N101" s="3">
        <f>M101+2</f>
        <v>77</v>
      </c>
      <c r="O101" s="3">
        <f>N101+1</f>
        <v>78</v>
      </c>
      <c r="P101" s="3">
        <v>107</v>
      </c>
      <c r="Q101" s="3">
        <f>VLOOKUP($A101,'SegEnds_NonXtal_BW#'!$A:$Z,12,FALSE)+VLOOKUP($A101,A:AL,16,FALSE)-50</f>
        <v>113</v>
      </c>
      <c r="R101" s="3">
        <f>IF(ISERROR(VLOOKUP($A101,'SegEnds_NonXtal_BW#'!$A:$Z,13,FALSE)+VLOOKUP($A101,A:AL,19,FALSE)-50),"-",VLOOKUP($A101,'SegEnds_NonXtal_BW#'!$A:$Z,13,FALSE)+VLOOKUP($A101,A:AL,19,FALSE)-50)</f>
        <v>114</v>
      </c>
      <c r="S101" s="3">
        <v>114</v>
      </c>
      <c r="T101" s="103">
        <f>IF(ISERROR(VLOOKUP($A101,'SegEnds_NonXtal_BW#'!$A:$Z,14,FALSE)+VLOOKUP($A101,A:AL,19,FALSE)-50),"-",(VLOOKUP($A101,'SegEnds_NonXtal_BW#'!$A:$Z,14,FALSE)+VLOOKUP($A101,A:AL,19,FALSE)-50))</f>
        <v>121</v>
      </c>
      <c r="U101" s="9">
        <f>IF(ISERROR(VLOOKUP($A101,'SegEnds_NonXtal_BW#'!$A:$Z,15,FALSE)+VLOOKUP($A101,A:AL,22,FALSE)-50),"-",VLOOKUP($A101,'SegEnds_NonXtal_BW#'!$A:$Z,15,FALSE)+VLOOKUP($A101,A:AL,22,FALSE)-50)</f>
        <v>122</v>
      </c>
      <c r="V101" s="3">
        <v>134</v>
      </c>
      <c r="W101" s="3">
        <f>IF(ISERROR(VLOOKUP($A101,'SegEnds_NonXtal_BW#'!$A:$Z,16,FALSE)+VLOOKUP($A101,A:AL,22,FALSE)-50),"-",(VLOOKUP($A101,'SegEnds_NonXtal_BW#'!$A:$Z,16,FALSE)+VLOOKUP($A101,A:AL,22,FALSE)-50))</f>
        <v>146</v>
      </c>
      <c r="X101" s="3">
        <f>IF(ISERROR(VLOOKUP($A101,'SegEnds_NonXtal_BW#'!$A:$Z,17,FALSE)+VLOOKUP($A101,A:AL,25,FALSE)-50),"-",(VLOOKUP($A101,'SegEnds_NonXtal_BW#'!$A:$Z,17,FALSE)+VLOOKUP($A101,A:AL,25,FALSE)-50))</f>
        <v>164</v>
      </c>
      <c r="Y101" s="3">
        <v>164</v>
      </c>
      <c r="Z101" s="3">
        <f>Y101+2</f>
        <v>166</v>
      </c>
      <c r="AA101" s="3">
        <f>IF(ISERROR(VLOOKUP($A101,'SegEnds_NonXtal_BW#'!$A:$Z,19,FALSE)+VLOOKUP($A101,A:AL,28,FALSE)-50),"-",(VLOOKUP($A101,'SegEnds_NonXtal_BW#'!$A:$Z,19,FALSE)+VLOOKUP($A101,A:AL,28,FALSE)-50))</f>
        <v>172</v>
      </c>
      <c r="AB101" s="3">
        <v>191</v>
      </c>
      <c r="AC101" s="3">
        <f>IF(ISERROR((VLOOKUP($A101,'SegEnds_NonXtal_BW#'!$A:$Z,20,FALSE)+VLOOKUP($A101,A:AL,28,FALSE)-50)),"-",(VLOOKUP($A101,'SegEnds_NonXtal_BW#'!$A:$Z,20,FALSE)+VLOOKUP($A101,A:AL,28,FALSE)-50))</f>
        <v>208</v>
      </c>
      <c r="AD101" s="3">
        <f>IF(ISERROR(VLOOKUP($A101,'SegEnds_NonXtal_BW#'!$A:$Z,21,FALSE)+VLOOKUP($A101,A:AL,31,FALSE)-50),"-",(VLOOKUP($A101,'SegEnds_NonXtal_BW#'!$A:$Z,21,FALSE)+VLOOKUP($A101,A:AL,31,FALSE)-50))</f>
        <v>213</v>
      </c>
      <c r="AE101" s="3">
        <v>237</v>
      </c>
      <c r="AF101" s="3">
        <f>IF(ISERROR((VLOOKUP($A101,'SegEnds_NonXtal_BW#'!$A:$Z,22,FALSE)+VLOOKUP($A101,A:AL,31,FALSE)-50)),"-",(VLOOKUP($A101,'SegEnds_NonXtal_BW#'!$A:$Z,22,FALSE)+VLOOKUP($A101,A:AL,31,FALSE)-50))</f>
        <v>248</v>
      </c>
      <c r="AG101" s="3">
        <f>IF(ISERROR(VLOOKUP($A101,'SegEnds_NonXtal_BW#'!$A:$Z,23,FALSE)+VLOOKUP($A101,A:AL,34,FALSE)-50),"-",(VLOOKUP($A101,'SegEnds_NonXtal_BW#'!$A:$Z,23,FALSE)+VLOOKUP($A101,A:AL,34,FALSE)-50))</f>
        <v>253</v>
      </c>
      <c r="AH101" s="3">
        <v>270</v>
      </c>
      <c r="AI101" s="3">
        <f>IF(ISERROR((VLOOKUP($A101,'SegEnds_NonXtal_BW#'!$A:$Z,24,FALSE)+VLOOKUP($A101,A:AL,34,FALSE)-50)),"-",(VLOOKUP($A101,'SegEnds_NonXtal_BW#'!$A:$Z,24,FALSE)+VLOOKUP($A101,A:AL,34,FALSE)-50))</f>
        <v>276</v>
      </c>
      <c r="AJ101" s="3">
        <f>IF(ISERROR(VLOOKUP($A101,'SegEnds_NonXtal_BW#'!$A:$Z,25,FALSE)+VLOOKUP($A101,A:AL,37,FALSE)-50),"-",(VLOOKUP($A101,'SegEnds_NonXtal_BW#'!$A:$Z,25,FALSE)+VLOOKUP($A101,A:AL,37,FALSE)-50))</f>
        <v>277</v>
      </c>
      <c r="AK101" s="3">
        <v>280</v>
      </c>
      <c r="AL101" s="3">
        <f>IF(ISERROR((VLOOKUP($A101,'SegEnds_NonXtal_BW#'!$A:$Z,26,FALSE)+VLOOKUP($A101,A:AL,37,FALSE)-50)),"-",(VLOOKUP($A101,'SegEnds_NonXtal_BW#'!$A:$Z,26,FALSE)+VLOOKUP($A101,A:AL,37,FALSE)-50))</f>
        <v>291</v>
      </c>
      <c r="AM101" s="28" t="str">
        <f>VLOOKUP(A101,Classification!A:B,2,FALSE)</f>
        <v>A</v>
      </c>
      <c r="AN101" s="28" t="b">
        <f>AND(IF(Y101="-",IF(AA101-W101&gt;3,TRUE,FALSE),TRUE),IF(M101="-",IF(O101-K101&gt;3,TRUE,FALSE),TRUE),C101&lt;E101,OR(E101&lt;F101,F101="-"),OR(F101&lt;H101,F101="-"),OR(H101&lt;I101,H101="-"),I101&lt;K101,OR(K101&lt;L101,L101="-"),OR(L101&lt;N101,L101="-"),OR(N101&lt;O101,N101="-"),O101&lt;Q101,OR(Q101&lt;R101,R101="-"),OR(R101&lt;T101,R101="-"),OR(T101&lt;U101,T101="-"),U101&lt;W101,OR(W101&lt;X101,X101="-"),OR(X101&lt;Z101,X101="-"),OR(Z101&lt;AA101,Z101="-"),AA101&lt;AC101,AC101&lt;AD101,AD101&lt;AF101,AF101&lt;AG101,AG101&lt;AI101,OR(AI101&lt;AJ101,AJ101="-"),OR(AJ101&lt;AL101,AJ101="-"))</f>
        <v>1</v>
      </c>
      <c r="AO101" s="3" t="str">
        <f>IF(ISERROR(MATCH(A101,'SegEnds_Xtal_Prot#'!B:B, 0)), "NoXtal", "Xtal")</f>
        <v>NoXtal</v>
      </c>
      <c r="AP101" s="3" t="str">
        <f>IF(ISERROR(F101-E101),"-",F101-E101)</f>
        <v>-</v>
      </c>
      <c r="AQ101" s="3" t="str">
        <f>IF(ISERROR(I101-H101),"-",I101-H101)</f>
        <v>-</v>
      </c>
      <c r="AR101" s="3">
        <f>IF(ISERROR(L101-K101),"-",L101-K101)</f>
        <v>3</v>
      </c>
      <c r="AS101" s="3">
        <f>IF(ISERROR(O101-N101),"-",O101-N101)</f>
        <v>1</v>
      </c>
      <c r="AT101" s="3">
        <f>IF(ISERROR(R101-Q101),"-",R101-Q101)</f>
        <v>1</v>
      </c>
      <c r="AU101" s="3">
        <f>IF(ISERROR(U101-T101),"-",U101-T101)</f>
        <v>1</v>
      </c>
      <c r="AV101" s="3">
        <f>IF(ISERROR(X101-W101),"-",X101-W101)</f>
        <v>18</v>
      </c>
      <c r="AW101" s="3">
        <f>IF(ISERROR(AA101-Z101),"-",AA101-Z101)</f>
        <v>6</v>
      </c>
      <c r="AX101" s="3">
        <f>IF(ISERROR(AD101-AC101),"-",AD101-AC101)</f>
        <v>5</v>
      </c>
      <c r="AY101" s="3">
        <f>IF(ISERROR(AG101-AF101),"-",AG101-AF101)</f>
        <v>5</v>
      </c>
      <c r="AZ101" s="3">
        <f>IF(ISERROR(AJ101-AI101),"-",AJ101-AI101)</f>
        <v>1</v>
      </c>
      <c r="BA101" s="3">
        <f>IF(ISERROR(LEN(VLOOKUP(A101,Seqs!A:E,2,FALSE))-AL101),"-",LEN(VLOOKUP(A101,Seqs!A:E,2,FALSE))-AL101)</f>
        <v>39</v>
      </c>
      <c r="BB101" s="16">
        <f>J101-D101</f>
        <v>30</v>
      </c>
      <c r="BC101" s="9">
        <f>IF(ISERROR(V101-S101),"-",V101-S101)</f>
        <v>20</v>
      </c>
      <c r="BD101" s="3">
        <f>J101-D101</f>
        <v>30</v>
      </c>
      <c r="BE101" s="3">
        <f>AE101-AB101</f>
        <v>46</v>
      </c>
    </row>
    <row r="102" spans="1:58" s="3" customFormat="1" x14ac:dyDescent="0.2">
      <c r="A102" s="3" t="s">
        <v>199</v>
      </c>
      <c r="B102" s="3" t="str">
        <f>LOWER(VLOOKUP(A102,Xtal_Templ!A:B,2,FALSE))</f>
        <v>par1_human</v>
      </c>
      <c r="C102" s="3">
        <f>VLOOKUP($A102,'SegEnds_NonXtal_BW#'!$A:$Z,3,FALSE)+D102-50</f>
        <v>11</v>
      </c>
      <c r="D102" s="3">
        <v>32</v>
      </c>
      <c r="E102" s="3">
        <f>IF(ISERROR(VLOOKUP($A102,'SegEnds_NonXtal_BW#'!$A:$Z,4,FALSE)+VLOOKUP($A102,A:AL,4,FALSE)-50),"-",(VLOOKUP($A102,'SegEnds_NonXtal_BW#'!$A:$Z,4,FALSE)+VLOOKUP($A102,A:AL,4,FALSE)-50))</f>
        <v>42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48</v>
      </c>
      <c r="J102" s="3">
        <v>61</v>
      </c>
      <c r="K102" s="3">
        <f>VLOOKUP($A102,'SegEnds_NonXtal_BW#'!$A:$Z,8,FALSE)+VLOOKUP($A102,A:AL,10,FALSE)-50</f>
        <v>77</v>
      </c>
      <c r="L102" s="3">
        <f>M102-1</f>
        <v>80</v>
      </c>
      <c r="M102" s="3">
        <v>81</v>
      </c>
      <c r="N102" s="3">
        <f>M102+2</f>
        <v>83</v>
      </c>
      <c r="O102" s="3">
        <f>N102+1</f>
        <v>84</v>
      </c>
      <c r="P102" s="3">
        <v>113</v>
      </c>
      <c r="Q102" s="3">
        <f>VLOOKUP($A102,'SegEnds_NonXtal_BW#'!$A:$Z,12,FALSE)+VLOOKUP($A102,A:AL,16,FALSE)-50</f>
        <v>119</v>
      </c>
      <c r="R102" s="3">
        <f>IF(ISERROR(VLOOKUP($A102,'SegEnds_NonXtal_BW#'!$A:$Z,13,FALSE)+VLOOKUP($A102,A:AL,19,FALSE)-50),"-",VLOOKUP($A102,'SegEnds_NonXtal_BW#'!$A:$Z,13,FALSE)+VLOOKUP($A102,A:AL,19,FALSE)-50)</f>
        <v>120</v>
      </c>
      <c r="S102" s="3">
        <v>120</v>
      </c>
      <c r="T102" s="103">
        <f>IF(ISERROR(VLOOKUP($A102,'SegEnds_NonXtal_BW#'!$A:$Z,14,FALSE)+VLOOKUP($A102,A:AL,19,FALSE)-50),"-",(VLOOKUP($A102,'SegEnds_NonXtal_BW#'!$A:$Z,14,FALSE)+VLOOKUP($A102,A:AL,19,FALSE)-50))</f>
        <v>127</v>
      </c>
      <c r="U102" s="9">
        <f>IF(ISERROR(VLOOKUP($A102,'SegEnds_NonXtal_BW#'!$A:$Z,15,FALSE)+VLOOKUP($A102,A:AL,22,FALSE)-50),"-",VLOOKUP($A102,'SegEnds_NonXtal_BW#'!$A:$Z,15,FALSE)+VLOOKUP($A102,A:AL,22,FALSE)-50)</f>
        <v>128</v>
      </c>
      <c r="V102" s="3">
        <v>140</v>
      </c>
      <c r="W102" s="3">
        <f>IF(ISERROR(VLOOKUP($A102,'SegEnds_NonXtal_BW#'!$A:$Z,16,FALSE)+VLOOKUP($A102,A:AL,22,FALSE)-50),"-",(VLOOKUP($A102,'SegEnds_NonXtal_BW#'!$A:$Z,16,FALSE)+VLOOKUP($A102,A:AL,22,FALSE)-50))</f>
        <v>153</v>
      </c>
      <c r="X102" s="3">
        <f>IF(ISERROR(VLOOKUP($A102,'SegEnds_NonXtal_BW#'!$A:$Z,17,FALSE)+VLOOKUP($A102,A:AL,25,FALSE)-50),"-",(VLOOKUP($A102,'SegEnds_NonXtal_BW#'!$A:$Z,17,FALSE)+VLOOKUP($A102,A:AL,25,FALSE)-50))</f>
        <v>169</v>
      </c>
      <c r="Y102" s="3">
        <v>169</v>
      </c>
      <c r="Z102" s="3">
        <f>Y102+2</f>
        <v>171</v>
      </c>
      <c r="AA102" s="3">
        <f>IF(ISERROR(VLOOKUP($A102,'SegEnds_NonXtal_BW#'!$A:$Z,19,FALSE)+VLOOKUP($A102,A:AL,28,FALSE)-50),"-",(VLOOKUP($A102,'SegEnds_NonXtal_BW#'!$A:$Z,19,FALSE)+VLOOKUP($A102,A:AL,28,FALSE)-50))</f>
        <v>178</v>
      </c>
      <c r="AB102" s="3">
        <v>196</v>
      </c>
      <c r="AC102" s="3">
        <f>IF(ISERROR((VLOOKUP($A102,'SegEnds_NonXtal_BW#'!$A:$Z,20,FALSE)+VLOOKUP($A102,A:AL,28,FALSE)-50)),"-",(VLOOKUP($A102,'SegEnds_NonXtal_BW#'!$A:$Z,20,FALSE)+VLOOKUP($A102,A:AL,28,FALSE)-50))</f>
        <v>214</v>
      </c>
      <c r="AD102" s="3">
        <f>IF(ISERROR(VLOOKUP($A102,'SegEnds_NonXtal_BW#'!$A:$Z,21,FALSE)+VLOOKUP($A102,A:AL,31,FALSE)-50),"-",(VLOOKUP($A102,'SegEnds_NonXtal_BW#'!$A:$Z,21,FALSE)+VLOOKUP($A102,A:AL,31,FALSE)-50))</f>
        <v>218</v>
      </c>
      <c r="AE102" s="3">
        <v>240</v>
      </c>
      <c r="AF102" s="3">
        <f>IF(ISERROR((VLOOKUP($A102,'SegEnds_NonXtal_BW#'!$A:$Z,22,FALSE)+VLOOKUP($A102,A:AL,31,FALSE)-50)),"-",(VLOOKUP($A102,'SegEnds_NonXtal_BW#'!$A:$Z,22,FALSE)+VLOOKUP($A102,A:AL,31,FALSE)-50))</f>
        <v>251</v>
      </c>
      <c r="AG102" s="3">
        <f>IF(ISERROR(VLOOKUP($A102,'SegEnds_NonXtal_BW#'!$A:$Z,23,FALSE)+VLOOKUP($A102,A:AL,34,FALSE)-50),"-",(VLOOKUP($A102,'SegEnds_NonXtal_BW#'!$A:$Z,23,FALSE)+VLOOKUP($A102,A:AL,34,FALSE)-50))</f>
        <v>256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>AND(IF(Y102="-",IF(AA102-W102&gt;3,TRUE,FALSE),TRUE),IF(M102="-",IF(O102-K102&gt;3,TRUE,FALSE),TRUE),C102&lt;E102,OR(E102&lt;F102,F102="-"),OR(F102&lt;H102,F102="-"),OR(H102&lt;I102,H102="-"),I102&lt;K102,OR(K102&lt;L102,L102="-"),OR(L102&lt;N102,L102="-"),OR(N102&lt;O102,N102="-"),O102&lt;Q102,OR(Q102&lt;R102,R102="-"),OR(R102&lt;T102,R102="-"),OR(T102&lt;U102,T102="-"),U102&lt;W102,OR(W102&lt;X102,X102="-"),OR(X102&lt;Z102,X102="-"),OR(Z102&lt;AA102,Z102="-"),AA102&lt;AC102,AC102&lt;AD102,AD102&lt;AF102,AF102&lt;AG102,AG102&lt;AI102,OR(AI102&lt;AJ102,AJ102="-"),OR(AJ102&lt;AL102,AJ102="-"))</f>
        <v>1</v>
      </c>
      <c r="AO102" s="3" t="str">
        <f>IF(ISERROR(MATCH(A102,'SegEnds_Xtal_Prot#'!B:B, 0)), "NoXtal", "Xtal")</f>
        <v>NoXtal</v>
      </c>
      <c r="AP102" s="3" t="str">
        <f>IF(ISERROR(F102-E102),"-",F102-E102)</f>
        <v>-</v>
      </c>
      <c r="AQ102" s="3" t="str">
        <f>IF(ISERROR(I102-H102),"-",I102-H102)</f>
        <v>-</v>
      </c>
      <c r="AR102" s="3">
        <f>IF(ISERROR(L102-K102),"-",L102-K102)</f>
        <v>3</v>
      </c>
      <c r="AS102" s="3">
        <f>IF(ISERROR(O102-N102),"-",O102-N102)</f>
        <v>1</v>
      </c>
      <c r="AT102" s="3">
        <f>IF(ISERROR(R102-Q102),"-",R102-Q102)</f>
        <v>1</v>
      </c>
      <c r="AU102" s="3">
        <f>IF(ISERROR(U102-T102),"-",U102-T102)</f>
        <v>1</v>
      </c>
      <c r="AV102" s="3">
        <f>IF(ISERROR(X102-W102),"-",X102-W102)</f>
        <v>16</v>
      </c>
      <c r="AW102" s="3">
        <f>IF(ISERROR(AA102-Z102),"-",AA102-Z102)</f>
        <v>7</v>
      </c>
      <c r="AX102" s="3">
        <f>IF(ISERROR(AD102-AC102),"-",AD102-AC102)</f>
        <v>4</v>
      </c>
      <c r="AY102" s="3">
        <f>IF(ISERROR(AG102-AF102),"-",AG102-AF102)</f>
        <v>5</v>
      </c>
      <c r="AZ102" s="3">
        <f>IF(ISERROR(AJ102-AI102),"-",AJ102-AI102)</f>
        <v>1</v>
      </c>
      <c r="BA102" s="3">
        <f>IF(ISERROR(LEN(VLOOKUP(A102,Seqs!A:E,2,FALSE))-AL102),"-",LEN(VLOOKUP(A102,Seqs!A:E,2,FALSE))-AL102)</f>
        <v>52</v>
      </c>
      <c r="BB102" s="16">
        <f>J102-D102</f>
        <v>29</v>
      </c>
      <c r="BC102" s="9">
        <f>IF(ISERROR(V102-S102),"-",V102-S102)</f>
        <v>20</v>
      </c>
      <c r="BD102" s="3">
        <f>J102-D102</f>
        <v>29</v>
      </c>
      <c r="BE102" s="3">
        <f>AE102-AB102</f>
        <v>44</v>
      </c>
    </row>
    <row r="103" spans="1:58" s="3" customFormat="1" x14ac:dyDescent="0.2">
      <c r="A103" s="3" t="s">
        <v>200</v>
      </c>
      <c r="B103" s="3" t="str">
        <f>LOWER(VLOOKUP(A103,Xtal_Templ!A:B,2,FALSE))</f>
        <v>ox2r_human</v>
      </c>
      <c r="C103" s="3">
        <f>VLOOKUP($A103,'SegEnds_NonXtal_BW#'!$A:$Z,3,FALSE)+D103-50</f>
        <v>39</v>
      </c>
      <c r="D103" s="3">
        <v>58</v>
      </c>
      <c r="E103" s="3">
        <f>IF(ISERROR(VLOOKUP($A103,'SegEnds_NonXtal_BW#'!$A:$Z,4,FALSE)+VLOOKUP($A103,A:AL,4,FALSE)-50),"-",(VLOOKUP($A103,'SegEnds_NonXtal_BW#'!$A:$Z,4,FALSE)+VLOOKUP($A103,A:AL,4,FALSE)-50))</f>
        <v>68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72</v>
      </c>
      <c r="J103" s="3">
        <v>85</v>
      </c>
      <c r="K103" s="3">
        <f>VLOOKUP($A103,'SegEnds_NonXtal_BW#'!$A:$Z,8,FALSE)+VLOOKUP($A103,A:AL,10,FALSE)-50</f>
        <v>101</v>
      </c>
      <c r="L103" s="3">
        <f>M103-1</f>
        <v>103</v>
      </c>
      <c r="M103" s="3">
        <v>104</v>
      </c>
      <c r="N103" s="3">
        <f>M103+2</f>
        <v>106</v>
      </c>
      <c r="O103" s="3">
        <f>N103+1</f>
        <v>107</v>
      </c>
      <c r="P103" s="3">
        <v>136</v>
      </c>
      <c r="Q103" s="3">
        <f>VLOOKUP($A103,'SegEnds_NonXtal_BW#'!$A:$Z,12,FALSE)+VLOOKUP($A103,A:AL,16,FALSE)-50</f>
        <v>142</v>
      </c>
      <c r="R103" s="3">
        <f>IF(ISERROR(VLOOKUP($A103,'SegEnds_NonXtal_BW#'!$A:$Z,13,FALSE)+VLOOKUP($A103,A:AL,19,FALSE)-50),"-",VLOOKUP($A103,'SegEnds_NonXtal_BW#'!$A:$Z,13,FALSE)+VLOOKUP($A103,A:AL,19,FALSE)-50)</f>
        <v>143</v>
      </c>
      <c r="S103" s="3">
        <v>143</v>
      </c>
      <c r="T103" s="103">
        <f>IF(ISERROR(VLOOKUP($A103,'SegEnds_NonXtal_BW#'!$A:$Z,14,FALSE)+VLOOKUP($A103,A:AL,19,FALSE)-50),"-",(VLOOKUP($A103,'SegEnds_NonXtal_BW#'!$A:$Z,14,FALSE)+VLOOKUP($A103,A:AL,19,FALSE)-50))</f>
        <v>150</v>
      </c>
      <c r="U103" s="9">
        <f>IF(ISERROR(VLOOKUP($A103,'SegEnds_NonXtal_BW#'!$A:$Z,15,FALSE)+VLOOKUP($A103,A:AL,22,FALSE)-50),"-",VLOOKUP($A103,'SegEnds_NonXtal_BW#'!$A:$Z,15,FALSE)+VLOOKUP($A103,A:AL,22,FALSE)-50)</f>
        <v>151</v>
      </c>
      <c r="V103" s="3">
        <v>163</v>
      </c>
      <c r="W103" s="3">
        <f>IF(ISERROR(VLOOKUP($A103,'SegEnds_NonXtal_BW#'!$A:$Z,16,FALSE)+VLOOKUP($A103,A:AL,22,FALSE)-50),"-",(VLOOKUP($A103,'SegEnds_NonXtal_BW#'!$A:$Z,16,FALSE)+VLOOKUP($A103,A:AL,22,FALSE)-50))</f>
        <v>177</v>
      </c>
      <c r="X103" s="3">
        <f>IF(ISERROR(VLOOKUP($A103,'SegEnds_NonXtal_BW#'!$A:$Z,17,FALSE)+VLOOKUP($A103,A:AL,25,FALSE)-50),"-",(VLOOKUP($A103,'SegEnds_NonXtal_BW#'!$A:$Z,17,FALSE)+VLOOKUP($A103,A:AL,25,FALSE)-50))</f>
        <v>194</v>
      </c>
      <c r="Y103" s="3">
        <v>194</v>
      </c>
      <c r="Z103" s="3">
        <f>Y103+2</f>
        <v>196</v>
      </c>
      <c r="AA103" s="3">
        <f>IF(ISERROR(VLOOKUP($A103,'SegEnds_NonXtal_BW#'!$A:$Z,19,FALSE)+VLOOKUP($A103,A:AL,28,FALSE)-50),"-",(VLOOKUP($A103,'SegEnds_NonXtal_BW#'!$A:$Z,19,FALSE)+VLOOKUP($A103,A:AL,28,FALSE)-50))</f>
        <v>201</v>
      </c>
      <c r="AB103" s="3">
        <v>219</v>
      </c>
      <c r="AC103" s="3">
        <f>IF(ISERROR((VLOOKUP($A103,'SegEnds_NonXtal_BW#'!$A:$Z,20,FALSE)+VLOOKUP($A103,A:AL,28,FALSE)-50)),"-",(VLOOKUP($A103,'SegEnds_NonXtal_BW#'!$A:$Z,20,FALSE)+VLOOKUP($A103,A:AL,28,FALSE)-50))</f>
        <v>245</v>
      </c>
      <c r="AD103" s="3">
        <f>IF(ISERROR(VLOOKUP($A103,'SegEnds_NonXtal_BW#'!$A:$Z,21,FALSE)+VLOOKUP($A103,A:AL,31,FALSE)-50),"-",(VLOOKUP($A103,'SegEnds_NonXtal_BW#'!$A:$Z,21,FALSE)+VLOOKUP($A103,A:AL,31,FALSE)-50))</f>
        <v>269</v>
      </c>
      <c r="AE103" s="3">
        <v>295</v>
      </c>
      <c r="AF103" s="3">
        <f>IF(ISERROR((VLOOKUP($A103,'SegEnds_NonXtal_BW#'!$A:$Z,22,FALSE)+VLOOKUP($A103,A:AL,31,FALSE)-50)),"-",(VLOOKUP($A103,'SegEnds_NonXtal_BW#'!$A:$Z,22,FALSE)+VLOOKUP($A103,A:AL,31,FALSE)-50))</f>
        <v>306</v>
      </c>
      <c r="AG103" s="3">
        <f>IF(ISERROR(VLOOKUP($A103,'SegEnds_NonXtal_BW#'!$A:$Z,23,FALSE)+VLOOKUP($A103,A:AL,34,FALSE)-50),"-",(VLOOKUP($A103,'SegEnds_NonXtal_BW#'!$A:$Z,23,FALSE)+VLOOKUP($A103,A:AL,34,FALSE)-50))</f>
        <v>312</v>
      </c>
      <c r="AH103" s="3">
        <v>334</v>
      </c>
      <c r="AI103" s="3">
        <f>IF(ISERROR((VLOOKUP($A103,'SegEnds_NonXtal_BW#'!$A:$Z,24,FALSE)+VLOOKUP($A103,A:AL,34,FALSE)-50)),"-",(VLOOKUP($A103,'SegEnds_NonXtal_BW#'!$A:$Z,24,FALSE)+VLOOKUP($A103,A:AL,34,FALSE)-50))</f>
        <v>340</v>
      </c>
      <c r="AJ103" s="3">
        <f>IF(ISERROR(VLOOKUP($A103,'SegEnds_NonXtal_BW#'!$A:$Z,25,FALSE)+VLOOKUP($A103,A:AL,37,FALSE)-50),"-",(VLOOKUP($A103,'SegEnds_NonXtal_BW#'!$A:$Z,25,FALSE)+VLOOKUP($A103,A:AL,37,FALSE)-50))</f>
        <v>341</v>
      </c>
      <c r="AK103" s="3">
        <v>344</v>
      </c>
      <c r="AL103" s="3">
        <f>IF(ISERROR((VLOOKUP($A103,'SegEnds_NonXtal_BW#'!$A:$Z,26,FALSE)+VLOOKUP($A103,A:AL,37,FALSE)-50)),"-",(VLOOKUP($A103,'SegEnds_NonXtal_BW#'!$A:$Z,26,FALSE)+VLOOKUP($A103,A:AL,37,FALSE)-50))</f>
        <v>352</v>
      </c>
      <c r="AM103" s="28" t="str">
        <f>VLOOKUP(A103,Classification!A:B,2,FALSE)</f>
        <v>A</v>
      </c>
      <c r="AN103" s="28" t="b">
        <f>AND(IF(Y103="-",IF(AA103-W103&gt;3,TRUE,FALSE),TRUE),IF(M103="-",IF(O103-K103&gt;3,TRUE,FALSE),TRUE),C103&lt;E103,OR(E103&lt;F103,F103="-"),OR(F103&lt;H103,F103="-"),OR(H103&lt;I103,H103="-"),I103&lt;K103,OR(K103&lt;L103,L103="-"),OR(L103&lt;N103,L103="-"),OR(N103&lt;O103,N103="-"),O103&lt;Q103,OR(Q103&lt;R103,R103="-"),OR(R103&lt;T103,R103="-"),OR(T103&lt;U103,T103="-"),U103&lt;W103,OR(W103&lt;X103,X103="-"),OR(X103&lt;Z103,X103="-"),OR(Z103&lt;AA103,Z103="-"),AA103&lt;AC103,AC103&lt;AD103,AD103&lt;AF103,AF103&lt;AG103,AG103&lt;AI103,OR(AI103&lt;AJ103,AJ103="-"),OR(AJ103&lt;AL103,AJ103="-"))</f>
        <v>1</v>
      </c>
      <c r="AO103" s="3" t="str">
        <f>IF(ISERROR(MATCH(A103,'SegEnds_Xtal_Prot#'!B:B, 0)), "NoXtal", "Xtal")</f>
        <v>NoXtal</v>
      </c>
      <c r="AP103" s="3" t="str">
        <f>IF(ISERROR(F103-E103),"-",F103-E103)</f>
        <v>-</v>
      </c>
      <c r="AQ103" s="3" t="str">
        <f>IF(ISERROR(I103-H103),"-",I103-H103)</f>
        <v>-</v>
      </c>
      <c r="AR103" s="3">
        <f>IF(ISERROR(L103-K103),"-",L103-K103)</f>
        <v>2</v>
      </c>
      <c r="AS103" s="3">
        <f>IF(ISERROR(O103-N103),"-",O103-N103)</f>
        <v>1</v>
      </c>
      <c r="AT103" s="3">
        <f>IF(ISERROR(R103-Q103),"-",R103-Q103)</f>
        <v>1</v>
      </c>
      <c r="AU103" s="3">
        <f>IF(ISERROR(U103-T103),"-",U103-T103)</f>
        <v>1</v>
      </c>
      <c r="AV103" s="3">
        <f>IF(ISERROR(X103-W103),"-",X103-W103)</f>
        <v>17</v>
      </c>
      <c r="AW103" s="3">
        <f>IF(ISERROR(AA103-Z103),"-",AA103-Z103)</f>
        <v>5</v>
      </c>
      <c r="AX103" s="3">
        <f>IF(ISERROR(AD103-AC103),"-",AD103-AC103)</f>
        <v>24</v>
      </c>
      <c r="AY103" s="3">
        <f>IF(ISERROR(AG103-AF103),"-",AG103-AF103)</f>
        <v>6</v>
      </c>
      <c r="AZ103" s="3">
        <f>IF(ISERROR(AJ103-AI103),"-",AJ103-AI103)</f>
        <v>1</v>
      </c>
      <c r="BA103" s="3">
        <f>IF(ISERROR(LEN(VLOOKUP(A103,Seqs!A:E,2,FALSE))-AL103),"-",LEN(VLOOKUP(A103,Seqs!A:E,2,FALSE))-AL103)</f>
        <v>25</v>
      </c>
      <c r="BB103" s="16">
        <f>J103-D103</f>
        <v>27</v>
      </c>
      <c r="BC103" s="9">
        <f>IF(ISERROR(V103-S103),"-",V103-S103)</f>
        <v>20</v>
      </c>
      <c r="BD103" s="3">
        <f>J103-D103</f>
        <v>27</v>
      </c>
      <c r="BE103" s="3">
        <f>AE103-AB103</f>
        <v>76</v>
      </c>
      <c r="BF103" s="3">
        <f>AH103-AE103</f>
        <v>39</v>
      </c>
    </row>
    <row r="104" spans="1:58" s="3" customFormat="1" x14ac:dyDescent="0.2">
      <c r="A104" s="3" t="s">
        <v>201</v>
      </c>
      <c r="B104" s="3" t="str">
        <f>LOWER(VLOOKUP(A104,Xtal_Templ!A:B,2,FALSE))</f>
        <v>agtr1_human</v>
      </c>
      <c r="C104" s="3">
        <f>VLOOKUP($A104,'SegEnds_NonXtal_BW#'!$A:$Z,3,FALSE)+D104-50</f>
        <v>24</v>
      </c>
      <c r="D104" s="3">
        <v>44</v>
      </c>
      <c r="E104" s="3">
        <f>IF(ISERROR(VLOOKUP($A104,'SegEnds_NonXtal_BW#'!$A:$Z,4,FALSE)+VLOOKUP($A104,A:AL,4,FALSE)-50),"-",(VLOOKUP($A104,'SegEnds_NonXtal_BW#'!$A:$Z,4,FALSE)+VLOOKUP($A104,A:AL,4,FALSE)-50))</f>
        <v>54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58</v>
      </c>
      <c r="J104" s="3">
        <v>71</v>
      </c>
      <c r="K104" s="3">
        <f>VLOOKUP($A104,'SegEnds_NonXtal_BW#'!$A:$Z,8,FALSE)+VLOOKUP($A104,A:AL,10,FALSE)-50</f>
        <v>87</v>
      </c>
      <c r="L104" s="3">
        <f>M104-1</f>
        <v>90</v>
      </c>
      <c r="M104" s="3">
        <v>91</v>
      </c>
      <c r="N104" s="3">
        <f>M104+2</f>
        <v>93</v>
      </c>
      <c r="O104" s="3">
        <f>N104+1</f>
        <v>94</v>
      </c>
      <c r="P104" s="3">
        <v>123</v>
      </c>
      <c r="Q104" s="3">
        <f>VLOOKUP($A104,'SegEnds_NonXtal_BW#'!$A:$Z,12,FALSE)+VLOOKUP($A104,A:AL,16,FALSE)-50</f>
        <v>129</v>
      </c>
      <c r="R104" s="3">
        <f>IF(ISERROR(VLOOKUP($A104,'SegEnds_NonXtal_BW#'!$A:$Z,13,FALSE)+VLOOKUP($A104,A:AL,19,FALSE)-50),"-",VLOOKUP($A104,'SegEnds_NonXtal_BW#'!$A:$Z,13,FALSE)+VLOOKUP($A104,A:AL,19,FALSE)-50)</f>
        <v>130</v>
      </c>
      <c r="S104" s="3">
        <v>130</v>
      </c>
      <c r="T104" s="103">
        <f>IF(ISERROR(VLOOKUP($A104,'SegEnds_NonXtal_BW#'!$A:$Z,14,FALSE)+VLOOKUP($A104,A:AL,19,FALSE)-50),"-",(VLOOKUP($A104,'SegEnds_NonXtal_BW#'!$A:$Z,14,FALSE)+VLOOKUP($A104,A:AL,19,FALSE)-50))</f>
        <v>137</v>
      </c>
      <c r="U104" s="9">
        <f>IF(ISERROR(VLOOKUP($A104,'SegEnds_NonXtal_BW#'!$A:$Z,15,FALSE)+VLOOKUP($A104,A:AL,22,FALSE)-50),"-",VLOOKUP($A104,'SegEnds_NonXtal_BW#'!$A:$Z,15,FALSE)+VLOOKUP($A104,A:AL,22,FALSE)-50)</f>
        <v>138</v>
      </c>
      <c r="V104" s="3">
        <v>150</v>
      </c>
      <c r="W104" s="3">
        <f>IF(ISERROR(VLOOKUP($A104,'SegEnds_NonXtal_BW#'!$A:$Z,16,FALSE)+VLOOKUP($A104,A:AL,22,FALSE)-50),"-",(VLOOKUP($A104,'SegEnds_NonXtal_BW#'!$A:$Z,16,FALSE)+VLOOKUP($A104,A:AL,22,FALSE)-50))</f>
        <v>164</v>
      </c>
      <c r="X104" s="3">
        <f>IF(ISERROR(VLOOKUP($A104,'SegEnds_NonXtal_BW#'!$A:$Z,17,FALSE)+VLOOKUP($A104,A:AL,25,FALSE)-50),"-",(VLOOKUP($A104,'SegEnds_NonXtal_BW#'!$A:$Z,17,FALSE)+VLOOKUP($A104,A:AL,25,FALSE)-50))</f>
        <v>176</v>
      </c>
      <c r="Y104" s="3">
        <v>176</v>
      </c>
      <c r="Z104" s="3">
        <f>Y104+2</f>
        <v>178</v>
      </c>
      <c r="AA104" s="3">
        <f>IF(ISERROR(VLOOKUP($A104,'SegEnds_NonXtal_BW#'!$A:$Z,19,FALSE)+VLOOKUP($A104,A:AL,28,FALSE)-50),"-",(VLOOKUP($A104,'SegEnds_NonXtal_BW#'!$A:$Z,19,FALSE)+VLOOKUP($A104,A:AL,28,FALSE)-50))</f>
        <v>197</v>
      </c>
      <c r="AB104" s="3">
        <v>213</v>
      </c>
      <c r="AC104" s="3">
        <f>IF(ISERROR((VLOOKUP($A104,'SegEnds_NonXtal_BW#'!$A:$Z,20,FALSE)+VLOOKUP($A104,A:AL,28,FALSE)-50)),"-",(VLOOKUP($A104,'SegEnds_NonXtal_BW#'!$A:$Z,20,FALSE)+VLOOKUP($A104,A:AL,28,FALSE)-50))</f>
        <v>231</v>
      </c>
      <c r="AD104" s="3">
        <f>IF(ISERROR(VLOOKUP($A104,'SegEnds_NonXtal_BW#'!$A:$Z,21,FALSE)+VLOOKUP($A104,A:AL,31,FALSE)-50),"-",(VLOOKUP($A104,'SegEnds_NonXtal_BW#'!$A:$Z,21,FALSE)+VLOOKUP($A104,A:AL,31,FALSE)-50))</f>
        <v>236</v>
      </c>
      <c r="AE104" s="3">
        <v>256</v>
      </c>
      <c r="AF104" s="3">
        <f>IF(ISERROR((VLOOKUP($A104,'SegEnds_NonXtal_BW#'!$A:$Z,22,FALSE)+VLOOKUP($A104,A:AL,31,FALSE)-50)),"-",(VLOOKUP($A104,'SegEnds_NonXtal_BW#'!$A:$Z,22,FALSE)+VLOOKUP($A104,A:AL,31,FALSE)-50))</f>
        <v>267</v>
      </c>
      <c r="AG104" s="3">
        <f>IF(ISERROR(VLOOKUP($A104,'SegEnds_NonXtal_BW#'!$A:$Z,23,FALSE)+VLOOKUP($A104,A:AL,34,FALSE)-50),"-",(VLOOKUP($A104,'SegEnds_NonXtal_BW#'!$A:$Z,23,FALSE)+VLOOKUP($A104,A:AL,34,FALSE)-50))</f>
        <v>276</v>
      </c>
      <c r="AH104" s="3">
        <v>298</v>
      </c>
      <c r="AI104" s="3">
        <f>IF(ISERROR((VLOOKUP($A104,'SegEnds_NonXtal_BW#'!$A:$Z,24,FALSE)+VLOOKUP($A104,A:AL,34,FALSE)-50)),"-",(VLOOKUP($A104,'SegEnds_NonXtal_BW#'!$A:$Z,24,FALSE)+VLOOKUP($A104,A:AL,34,FALSE)-50))</f>
        <v>304</v>
      </c>
      <c r="AJ104" s="3">
        <f>IF(ISERROR(VLOOKUP($A104,'SegEnds_NonXtal_BW#'!$A:$Z,25,FALSE)+VLOOKUP($A104,A:AL,37,FALSE)-50),"-",(VLOOKUP($A104,'SegEnds_NonXtal_BW#'!$A:$Z,25,FALSE)+VLOOKUP($A104,A:AL,37,FALSE)-50))</f>
        <v>305</v>
      </c>
      <c r="AK104" s="3">
        <v>308</v>
      </c>
      <c r="AL104" s="3">
        <f>IF(ISERROR((VLOOKUP($A104,'SegEnds_NonXtal_BW#'!$A:$Z,26,FALSE)+VLOOKUP($A104,A:AL,37,FALSE)-50)),"-",(VLOOKUP($A104,'SegEnds_NonXtal_BW#'!$A:$Z,26,FALSE)+VLOOKUP($A104,A:AL,37,FALSE)-50))</f>
        <v>319</v>
      </c>
      <c r="AM104" s="28" t="str">
        <f>VLOOKUP(A104,Classification!A:B,2,FALSE)</f>
        <v>A</v>
      </c>
      <c r="AN104" s="28" t="b">
        <f>AND(IF(Y104="-",IF(AA104-W104&gt;3,TRUE,FALSE),TRUE),IF(M104="-",IF(O104-K104&gt;3,TRUE,FALSE),TRUE),C104&lt;E104,OR(E104&lt;F104,F104="-"),OR(F104&lt;H104,F104="-"),OR(H104&lt;I104,H104="-"),I104&lt;K104,OR(K104&lt;L104,L104="-"),OR(L104&lt;N104,L104="-"),OR(N104&lt;O104,N104="-"),O104&lt;Q104,OR(Q104&lt;R104,R104="-"),OR(R104&lt;T104,R104="-"),OR(T104&lt;U104,T104="-"),U104&lt;W104,OR(W104&lt;X104,X104="-"),OR(X104&lt;Z104,X104="-"),OR(Z104&lt;AA104,Z104="-"),AA104&lt;AC104,AC104&lt;AD104,AD104&lt;AF104,AF104&lt;AG104,AG104&lt;AI104,OR(AI104&lt;AJ104,AJ104="-"),OR(AJ104&lt;AL104,AJ104="-"))</f>
        <v>1</v>
      </c>
      <c r="AO104" s="3" t="str">
        <f>IF(ISERROR(MATCH(A104,'SegEnds_Xtal_Prot#'!B:B, 0)), "NoXtal", "Xtal")</f>
        <v>NoXtal</v>
      </c>
      <c r="AP104" s="3" t="str">
        <f>IF(ISERROR(F104-E104),"-",F104-E104)</f>
        <v>-</v>
      </c>
      <c r="AQ104" s="3" t="str">
        <f>IF(ISERROR(I104-H104),"-",I104-H104)</f>
        <v>-</v>
      </c>
      <c r="AR104" s="3">
        <f>IF(ISERROR(L104-K104),"-",L104-K104)</f>
        <v>3</v>
      </c>
      <c r="AS104" s="3">
        <f>IF(ISERROR(O104-N104),"-",O104-N104)</f>
        <v>1</v>
      </c>
      <c r="AT104" s="3">
        <f>IF(ISERROR(R104-Q104),"-",R104-Q104)</f>
        <v>1</v>
      </c>
      <c r="AU104" s="3">
        <f>IF(ISERROR(U104-T104),"-",U104-T104)</f>
        <v>1</v>
      </c>
      <c r="AV104" s="3">
        <f>IF(ISERROR(X104-W104),"-",X104-W104)</f>
        <v>12</v>
      </c>
      <c r="AW104" s="3">
        <f>IF(ISERROR(AA104-Z104),"-",AA104-Z104)</f>
        <v>19</v>
      </c>
      <c r="AX104" s="3">
        <f>IF(ISERROR(AD104-AC104),"-",AD104-AC104)</f>
        <v>5</v>
      </c>
      <c r="AY104" s="3">
        <f>IF(ISERROR(AG104-AF104),"-",AG104-AF104)</f>
        <v>9</v>
      </c>
      <c r="AZ104" s="3">
        <f>IF(ISERROR(AJ104-AI104),"-",AJ104-AI104)</f>
        <v>1</v>
      </c>
      <c r="BA104" s="3">
        <f>IF(ISERROR(LEN(VLOOKUP(A104,Seqs!A:E,2,FALSE))-AL104),"-",LEN(VLOOKUP(A104,Seqs!A:E,2,FALSE))-AL104)</f>
        <v>31</v>
      </c>
      <c r="BB104" s="16">
        <f>J104-D104</f>
        <v>27</v>
      </c>
      <c r="BC104" s="9">
        <f>IF(ISERROR(V104-S104),"-",V104-S104)</f>
        <v>20</v>
      </c>
      <c r="BD104" s="3">
        <f>J104-D104</f>
        <v>27</v>
      </c>
      <c r="BE104" s="3">
        <f>AE104-AB104</f>
        <v>43</v>
      </c>
    </row>
    <row r="105" spans="1:58" s="3" customFormat="1" x14ac:dyDescent="0.2">
      <c r="A105" s="3" t="s">
        <v>202</v>
      </c>
      <c r="B105" s="3" t="str">
        <f>LOWER(VLOOKUP(A105,Xtal_Templ!A:B,2,FALSE))</f>
        <v>cxcr4_human</v>
      </c>
      <c r="C105" s="3">
        <f>VLOOKUP($A105,'SegEnds_NonXtal_BW#'!$A:$Z,3,FALSE)+D105-50</f>
        <v>18</v>
      </c>
      <c r="D105" s="3">
        <v>44</v>
      </c>
      <c r="E105" s="3">
        <f>IF(ISERROR(VLOOKUP($A105,'SegEnds_NonXtal_BW#'!$A:$Z,4,FALSE)+VLOOKUP($A105,A:AL,4,FALSE)-50),"-",(VLOOKUP($A105,'SegEnds_NonXtal_BW#'!$A:$Z,4,FALSE)+VLOOKUP($A105,A:AL,4,FALSE)-50))</f>
        <v>54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58</v>
      </c>
      <c r="J105" s="3">
        <v>71</v>
      </c>
      <c r="K105" s="3">
        <f>VLOOKUP($A105,'SegEnds_NonXtal_BW#'!$A:$Z,8,FALSE)+VLOOKUP($A105,A:AL,10,FALSE)-50</f>
        <v>87</v>
      </c>
      <c r="L105" s="3">
        <f>M105-1</f>
        <v>90</v>
      </c>
      <c r="M105" s="3">
        <v>91</v>
      </c>
      <c r="N105" s="3">
        <f>M105+2</f>
        <v>93</v>
      </c>
      <c r="O105" s="3">
        <f>N105+1</f>
        <v>94</v>
      </c>
      <c r="P105" s="3">
        <v>123</v>
      </c>
      <c r="Q105" s="3">
        <f>VLOOKUP($A105,'SegEnds_NonXtal_BW#'!$A:$Z,12,FALSE)+VLOOKUP($A105,A:AL,16,FALSE)-50</f>
        <v>129</v>
      </c>
      <c r="R105" s="3">
        <f>IF(ISERROR(VLOOKUP($A105,'SegEnds_NonXtal_BW#'!$A:$Z,13,FALSE)+VLOOKUP($A105,A:AL,19,FALSE)-50),"-",VLOOKUP($A105,'SegEnds_NonXtal_BW#'!$A:$Z,13,FALSE)+VLOOKUP($A105,A:AL,19,FALSE)-50)</f>
        <v>130</v>
      </c>
      <c r="S105" s="3">
        <v>130</v>
      </c>
      <c r="T105" s="103">
        <f>IF(ISERROR(VLOOKUP($A105,'SegEnds_NonXtal_BW#'!$A:$Z,14,FALSE)+VLOOKUP($A105,A:AL,19,FALSE)-50),"-",(VLOOKUP($A105,'SegEnds_NonXtal_BW#'!$A:$Z,14,FALSE)+VLOOKUP($A105,A:AL,19,FALSE)-50))</f>
        <v>137</v>
      </c>
      <c r="U105" s="9">
        <f>IF(ISERROR(VLOOKUP($A105,'SegEnds_NonXtal_BW#'!$A:$Z,15,FALSE)+VLOOKUP($A105,A:AL,22,FALSE)-50),"-",VLOOKUP($A105,'SegEnds_NonXtal_BW#'!$A:$Z,15,FALSE)+VLOOKUP($A105,A:AL,22,FALSE)-50)</f>
        <v>138</v>
      </c>
      <c r="V105" s="3">
        <v>150</v>
      </c>
      <c r="W105" s="3">
        <f>IF(ISERROR(VLOOKUP($A105,'SegEnds_NonXtal_BW#'!$A:$Z,16,FALSE)+VLOOKUP($A105,A:AL,22,FALSE)-50),"-",(VLOOKUP($A105,'SegEnds_NonXtal_BW#'!$A:$Z,16,FALSE)+VLOOKUP($A105,A:AL,22,FALSE)-50))</f>
        <v>164</v>
      </c>
      <c r="X105" s="3">
        <f>IF(ISERROR(VLOOKUP($A105,'SegEnds_NonXtal_BW#'!$A:$Z,17,FALSE)+VLOOKUP($A105,A:AL,25,FALSE)-50),"-",(VLOOKUP($A105,'SegEnds_NonXtal_BW#'!$A:$Z,17,FALSE)+VLOOKUP($A105,A:AL,25,FALSE)-50))</f>
        <v>176</v>
      </c>
      <c r="Y105" s="3">
        <v>176</v>
      </c>
      <c r="Z105" s="3">
        <f>Y105+2</f>
        <v>178</v>
      </c>
      <c r="AA105" s="3">
        <f>IF(ISERROR(VLOOKUP($A105,'SegEnds_NonXtal_BW#'!$A:$Z,19,FALSE)+VLOOKUP($A105,A:AL,28,FALSE)-50),"-",(VLOOKUP($A105,'SegEnds_NonXtal_BW#'!$A:$Z,19,FALSE)+VLOOKUP($A105,A:AL,28,FALSE)-50))</f>
        <v>195</v>
      </c>
      <c r="AB105" s="3">
        <v>213</v>
      </c>
      <c r="AC105" s="3">
        <f>IF(ISERROR((VLOOKUP($A105,'SegEnds_NonXtal_BW#'!$A:$Z,20,FALSE)+VLOOKUP($A105,A:AL,28,FALSE)-50)),"-",(VLOOKUP($A105,'SegEnds_NonXtal_BW#'!$A:$Z,20,FALSE)+VLOOKUP($A105,A:AL,28,FALSE)-50))</f>
        <v>231</v>
      </c>
      <c r="AD105" s="3">
        <f>IF(ISERROR(VLOOKUP($A105,'SegEnds_NonXtal_BW#'!$A:$Z,21,FALSE)+VLOOKUP($A105,A:AL,31,FALSE)-50),"-",(VLOOKUP($A105,'SegEnds_NonXtal_BW#'!$A:$Z,21,FALSE)+VLOOKUP($A105,A:AL,31,FALSE)-50))</f>
        <v>236</v>
      </c>
      <c r="AE105" s="3">
        <v>256</v>
      </c>
      <c r="AF105" s="3">
        <f>IF(ISERROR((VLOOKUP($A105,'SegEnds_NonXtal_BW#'!$A:$Z,22,FALSE)+VLOOKUP($A105,A:AL,31,FALSE)-50)),"-",(VLOOKUP($A105,'SegEnds_NonXtal_BW#'!$A:$Z,22,FALSE)+VLOOKUP($A105,A:AL,31,FALSE)-50))</f>
        <v>267</v>
      </c>
      <c r="AG105" s="3">
        <f>IF(ISERROR(VLOOKUP($A105,'SegEnds_NonXtal_BW#'!$A:$Z,23,FALSE)+VLOOKUP($A105,A:AL,34,FALSE)-50),"-",(VLOOKUP($A105,'SegEnds_NonXtal_BW#'!$A:$Z,23,FALSE)+VLOOKUP($A105,A:AL,34,FALSE)-50))</f>
        <v>273</v>
      </c>
      <c r="AH105" s="3">
        <v>299</v>
      </c>
      <c r="AI105" s="3">
        <f>IF(ISERROR((VLOOKUP($A105,'SegEnds_NonXtal_BW#'!$A:$Z,24,FALSE)+VLOOKUP($A105,A:AL,34,FALSE)-50)),"-",(VLOOKUP($A105,'SegEnds_NonXtal_BW#'!$A:$Z,24,FALSE)+VLOOKUP($A105,A:AL,34,FALSE)-50))</f>
        <v>305</v>
      </c>
      <c r="AJ105" s="3">
        <f>IF(ISERROR(VLOOKUP($A105,'SegEnds_NonXtal_BW#'!$A:$Z,25,FALSE)+VLOOKUP($A105,A:AL,37,FALSE)-50),"-",(VLOOKUP($A105,'SegEnds_NonXtal_BW#'!$A:$Z,25,FALSE)+VLOOKUP($A105,A:AL,37,FALSE)-50))</f>
        <v>306</v>
      </c>
      <c r="AK105" s="3">
        <v>309</v>
      </c>
      <c r="AL105" s="3">
        <f>IF(ISERROR((VLOOKUP($A105,'SegEnds_NonXtal_BW#'!$A:$Z,26,FALSE)+VLOOKUP($A105,A:AL,37,FALSE)-50)),"-",(VLOOKUP($A105,'SegEnds_NonXtal_BW#'!$A:$Z,26,FALSE)+VLOOKUP($A105,A:AL,37,FALSE)-50))</f>
        <v>318</v>
      </c>
      <c r="AM105" s="28" t="str">
        <f>VLOOKUP(A105,Classification!A:B,2,FALSE)</f>
        <v>A</v>
      </c>
      <c r="AN105" s="28" t="b">
        <f>AND(IF(Y105="-",IF(AA105-W105&gt;3,TRUE,FALSE),TRUE),IF(M105="-",IF(O105-K105&gt;3,TRUE,FALSE),TRUE),C105&lt;E105,OR(E105&lt;F105,F105="-"),OR(F105&lt;H105,F105="-"),OR(H105&lt;I105,H105="-"),I105&lt;K105,OR(K105&lt;L105,L105="-"),OR(L105&lt;N105,L105="-"),OR(N105&lt;O105,N105="-"),O105&lt;Q105,OR(Q105&lt;R105,R105="-"),OR(R105&lt;T105,R105="-"),OR(T105&lt;U105,T105="-"),U105&lt;W105,OR(W105&lt;X105,X105="-"),OR(X105&lt;Z105,X105="-"),OR(Z105&lt;AA105,Z105="-"),AA105&lt;AC105,AC105&lt;AD105,AD105&lt;AF105,AF105&lt;AG105,AG105&lt;AI105,OR(AI105&lt;AJ105,AJ105="-"),OR(AJ105&lt;AL105,AJ105="-"))</f>
        <v>1</v>
      </c>
      <c r="AO105" s="3" t="str">
        <f>IF(ISERROR(MATCH(A105,'SegEnds_Xtal_Prot#'!B:B, 0)), "NoXtal", "Xtal")</f>
        <v>NoXtal</v>
      </c>
      <c r="AP105" s="3" t="str">
        <f>IF(ISERROR(F105-E105),"-",F105-E105)</f>
        <v>-</v>
      </c>
      <c r="AQ105" s="3" t="str">
        <f>IF(ISERROR(I105-H105),"-",I105-H105)</f>
        <v>-</v>
      </c>
      <c r="AR105" s="3">
        <f>IF(ISERROR(L105-K105),"-",L105-K105)</f>
        <v>3</v>
      </c>
      <c r="AS105" s="3">
        <f>IF(ISERROR(O105-N105),"-",O105-N105)</f>
        <v>1</v>
      </c>
      <c r="AT105" s="3">
        <f>IF(ISERROR(R105-Q105),"-",R105-Q105)</f>
        <v>1</v>
      </c>
      <c r="AU105" s="3">
        <f>IF(ISERROR(U105-T105),"-",U105-T105)</f>
        <v>1</v>
      </c>
      <c r="AV105" s="3">
        <f>IF(ISERROR(X105-W105),"-",X105-W105)</f>
        <v>12</v>
      </c>
      <c r="AW105" s="3">
        <f>IF(ISERROR(AA105-Z105),"-",AA105-Z105)</f>
        <v>17</v>
      </c>
      <c r="AX105" s="3">
        <f>IF(ISERROR(AD105-AC105),"-",AD105-AC105)</f>
        <v>5</v>
      </c>
      <c r="AY105" s="3">
        <f>IF(ISERROR(AG105-AF105),"-",AG105-AF105)</f>
        <v>6</v>
      </c>
      <c r="AZ105" s="3">
        <f>IF(ISERROR(AJ105-AI105),"-",AJ105-AI105)</f>
        <v>1</v>
      </c>
      <c r="BA105" s="3">
        <f>IF(ISERROR(LEN(VLOOKUP(A105,Seqs!A:E,2,FALSE))-AL105),"-",LEN(VLOOKUP(A105,Seqs!A:E,2,FALSE))-AL105)</f>
        <v>33</v>
      </c>
      <c r="BB105" s="16">
        <f>J105-D105</f>
        <v>27</v>
      </c>
      <c r="BC105" s="9">
        <f>IF(ISERROR(V105-S105),"-",V105-S105)</f>
        <v>20</v>
      </c>
      <c r="BD105" s="3">
        <f>J105-D105</f>
        <v>27</v>
      </c>
      <c r="BE105" s="3">
        <f>AE105-AB105</f>
        <v>43</v>
      </c>
    </row>
    <row r="106" spans="1:58" s="3" customFormat="1" x14ac:dyDescent="0.2">
      <c r="A106" s="3" t="s">
        <v>203</v>
      </c>
      <c r="B106" s="3" t="str">
        <f>LOWER(VLOOKUP(A106,Xtal_Templ!A:B,2,FALSE))</f>
        <v>cxcr4_human</v>
      </c>
      <c r="C106" s="3">
        <f>VLOOKUP($A106,'SegEnds_NonXtal_BW#'!$A:$Z,3,FALSE)+D106-50</f>
        <v>18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>M106-1</f>
        <v>90</v>
      </c>
      <c r="M106" s="3">
        <v>91</v>
      </c>
      <c r="N106" s="3">
        <f>M106+2</f>
        <v>93</v>
      </c>
      <c r="O106" s="3">
        <f>N106+1</f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>Y106+2</f>
        <v>178</v>
      </c>
      <c r="AA106" s="3">
        <f>IF(ISERROR(VLOOKUP($A106,'SegEnds_NonXtal_BW#'!$A:$Z,19,FALSE)+VLOOKUP($A106,A:AL,28,FALSE)-50),"-",(VLOOKUP($A106,'SegEnds_NonXtal_BW#'!$A:$Z,19,FALSE)+VLOOKUP($A106,A:AL,28,FALSE)-50))</f>
        <v>195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273</v>
      </c>
      <c r="AH106" s="3">
        <v>299</v>
      </c>
      <c r="AI106" s="3">
        <f>IF(ISERROR((VLOOKUP($A106,'SegEnds_NonXtal_BW#'!$A:$Z,24,FALSE)+VLOOKUP($A106,A:AL,34,FALSE)-50)),"-",(VLOOKUP($A106,'SegEnds_NonXtal_BW#'!$A:$Z,24,FALSE)+VLOOKUP($A106,A:AL,34,FALSE)-50))</f>
        <v>305</v>
      </c>
      <c r="AJ106" s="3">
        <f>IF(ISERROR(VLOOKUP($A106,'SegEnds_NonXtal_BW#'!$A:$Z,25,FALSE)+VLOOKUP($A106,A:AL,37,FALSE)-50),"-",(VLOOKUP($A106,'SegEnds_NonXtal_BW#'!$A:$Z,25,FALSE)+VLOOKUP($A106,A:AL,37,FALSE)-50))</f>
        <v>306</v>
      </c>
      <c r="AK106" s="3">
        <v>309</v>
      </c>
      <c r="AL106" s="3">
        <f>IF(ISERROR((VLOOKUP($A106,'SegEnds_NonXtal_BW#'!$A:$Z,26,FALSE)+VLOOKUP($A106,A:AL,37,FALSE)-50)),"-",(VLOOKUP($A106,'SegEnds_NonXtal_BW#'!$A:$Z,26,FALSE)+VLOOKUP($A106,A:AL,37,FALSE)-50))</f>
        <v>318</v>
      </c>
      <c r="AM106" s="28" t="str">
        <f>VLOOKUP(A106,Classification!A:B,2,FALSE)</f>
        <v>A</v>
      </c>
      <c r="AN106" s="28" t="b">
        <f>AND(IF(Y106="-",IF(AA106-W106&gt;3,TRUE,FALSE),TRUE),IF(M106="-",IF(O106-K106&gt;3,TRUE,FALSE),TRUE),C106&lt;E106,OR(E106&lt;F106,F106="-"),OR(F106&lt;H106,F106="-"),OR(H106&lt;I106,H106="-"),I106&lt;K106,OR(K106&lt;L106,L106="-"),OR(L106&lt;N106,L106="-"),OR(N106&lt;O106,N106="-"),O106&lt;Q106,OR(Q106&lt;R106,R106="-"),OR(R106&lt;T106,R106="-"),OR(T106&lt;U106,T106="-"),U106&lt;W106,OR(W106&lt;X106,X106="-"),OR(X106&lt;Z106,X106="-"),OR(Z106&lt;AA106,Z106="-"),AA106&lt;AC106,AC106&lt;AD106,AD106&lt;AF106,AF106&lt;AG106,AG106&lt;AI106,OR(AI106&lt;AJ106,AJ106="-"),OR(AJ106&lt;AL106,AJ106="-"))</f>
        <v>1</v>
      </c>
      <c r="AO106" s="3" t="str">
        <f>IF(ISERROR(MATCH(A106,'SegEnds_Xtal_Prot#'!B:B, 0)), "NoXtal", "Xtal")</f>
        <v>NoXtal</v>
      </c>
      <c r="AP106" s="3" t="str">
        <f>IF(ISERROR(F106-E106),"-",F106-E106)</f>
        <v>-</v>
      </c>
      <c r="AQ106" s="3" t="str">
        <f>IF(ISERROR(I106-H106),"-",I106-H106)</f>
        <v>-</v>
      </c>
      <c r="AR106" s="3">
        <f>IF(ISERROR(L106-K106),"-",L106-K106)</f>
        <v>3</v>
      </c>
      <c r="AS106" s="3">
        <f>IF(ISERROR(O106-N106),"-",O106-N106)</f>
        <v>1</v>
      </c>
      <c r="AT106" s="3">
        <f>IF(ISERROR(R106-Q106),"-",R106-Q106)</f>
        <v>1</v>
      </c>
      <c r="AU106" s="3">
        <f>IF(ISERROR(U106-T106),"-",U106-T106)</f>
        <v>1</v>
      </c>
      <c r="AV106" s="3">
        <f>IF(ISERROR(X106-W106),"-",X106-W106)</f>
        <v>12</v>
      </c>
      <c r="AW106" s="3">
        <f>IF(ISERROR(AA106-Z106),"-",AA106-Z106)</f>
        <v>17</v>
      </c>
      <c r="AX106" s="3">
        <f>IF(ISERROR(AD106-AC106),"-",AD106-AC106)</f>
        <v>5</v>
      </c>
      <c r="AY106" s="3">
        <f>IF(ISERROR(AG106-AF106),"-",AG106-AF106)</f>
        <v>6</v>
      </c>
      <c r="AZ106" s="3">
        <f>IF(ISERROR(AJ106-AI106),"-",AJ106-AI106)</f>
        <v>1</v>
      </c>
      <c r="BA106" s="3">
        <f>IF(ISERROR(LEN(VLOOKUP(A106,Seqs!A:E,2,FALSE))-AL106),"-",LEN(VLOOKUP(A106,Seqs!A:E,2,FALSE))-AL106)</f>
        <v>35</v>
      </c>
      <c r="BB106" s="16">
        <f>J106-D106</f>
        <v>27</v>
      </c>
      <c r="BC106" s="9">
        <f>IF(ISERROR(V106-S106),"-",V106-S106)</f>
        <v>20</v>
      </c>
      <c r="BD106" s="3">
        <f>J106-D106</f>
        <v>27</v>
      </c>
      <c r="BE106" s="3">
        <f>AE106-AB106</f>
        <v>43</v>
      </c>
    </row>
    <row r="107" spans="1:58" s="3" customFormat="1" x14ac:dyDescent="0.2">
      <c r="A107" s="3" t="s">
        <v>204</v>
      </c>
      <c r="B107" s="3" t="str">
        <f>LOWER(VLOOKUP(A107,Xtal_Templ!A:B,2,FALSE))</f>
        <v>aa2ar_human</v>
      </c>
      <c r="C107" s="3">
        <f>VLOOKUP($A107,'SegEnds_NonXtal_BW#'!$A:$Z,3,FALSE)+D107-50</f>
        <v>357</v>
      </c>
      <c r="D107" s="3">
        <v>380</v>
      </c>
      <c r="E107" s="3">
        <f>IF(ISERROR(VLOOKUP($A107,'SegEnds_NonXtal_BW#'!$A:$Z,4,FALSE)+VLOOKUP($A107,A:AL,4,FALSE)-50),"-",(VLOOKUP($A107,'SegEnds_NonXtal_BW#'!$A:$Z,4,FALSE)+VLOOKUP($A107,A:AL,4,FALSE)-50))</f>
        <v>390</v>
      </c>
      <c r="F107" s="3">
        <f>G107-2</f>
        <v>392</v>
      </c>
      <c r="G107" s="3">
        <v>394</v>
      </c>
      <c r="H107" s="3">
        <f>G107+1</f>
        <v>395</v>
      </c>
      <c r="I107" s="3">
        <f>H107+1</f>
        <v>396</v>
      </c>
      <c r="J107" s="3">
        <v>408</v>
      </c>
      <c r="K107" s="3">
        <f>VLOOKUP($A107,'SegEnds_NonXtal_BW#'!$A:$Z,8,FALSE)+VLOOKUP($A107,A:AL,10,FALSE)-50</f>
        <v>425</v>
      </c>
      <c r="L107" s="3">
        <f>M107-1</f>
        <v>435</v>
      </c>
      <c r="M107" s="3">
        <v>436</v>
      </c>
      <c r="N107" s="3">
        <f>M107+2</f>
        <v>438</v>
      </c>
      <c r="O107" s="3">
        <f>N107+1</f>
        <v>439</v>
      </c>
      <c r="P107" s="3">
        <v>467</v>
      </c>
      <c r="Q107" s="3">
        <f>VLOOKUP($A107,'SegEnds_NonXtal_BW#'!$A:$Z,12,FALSE)+VLOOKUP($A107,A:AL,16,FALSE)-50</f>
        <v>473</v>
      </c>
      <c r="R107" s="3">
        <f>IF(ISERROR(VLOOKUP($A107,'SegEnds_NonXtal_BW#'!$A:$Z,13,FALSE)+VLOOKUP($A107,A:AL,19,FALSE)-50),"-",VLOOKUP($A107,'SegEnds_NonXtal_BW#'!$A:$Z,13,FALSE)+VLOOKUP($A107,A:AL,19,FALSE)-50)</f>
        <v>474</v>
      </c>
      <c r="S107" s="3">
        <v>474</v>
      </c>
      <c r="T107" s="103">
        <f>IF(ISERROR(VLOOKUP($A107,'SegEnds_NonXtal_BW#'!$A:$Z,14,FALSE)+VLOOKUP($A107,A:AL,19,FALSE)-50),"-",(VLOOKUP($A107,'SegEnds_NonXtal_BW#'!$A:$Z,14,FALSE)+VLOOKUP($A107,A:AL,19,FALSE)-50))</f>
        <v>481</v>
      </c>
      <c r="U107" s="9">
        <f>IF(ISERROR(VLOOKUP($A107,'SegEnds_NonXtal_BW#'!$A:$Z,15,FALSE)+VLOOKUP($A107,A:AL,22,FALSE)-50),"-",VLOOKUP($A107,'SegEnds_NonXtal_BW#'!$A:$Z,15,FALSE)+VLOOKUP($A107,A:AL,22,FALSE)-50)</f>
        <v>482</v>
      </c>
      <c r="V107" s="3">
        <v>494</v>
      </c>
      <c r="W107" s="3">
        <f>IF(ISERROR(VLOOKUP($A107,'SegEnds_NonXtal_BW#'!$A:$Z,16,FALSE)+VLOOKUP($A107,A:AL,22,FALSE)-50),"-",(VLOOKUP($A107,'SegEnds_NonXtal_BW#'!$A:$Z,16,FALSE)+VLOOKUP($A107,A:AL,22,FALSE)-50))</f>
        <v>507</v>
      </c>
      <c r="X107" s="3">
        <f>IF(ISERROR(VLOOKUP($A107,'SegEnds_NonXtal_BW#'!$A:$Z,17,FALSE)+VLOOKUP($A107,A:AL,25,FALSE)-50),"-",(VLOOKUP($A107,'SegEnds_NonXtal_BW#'!$A:$Z,17,FALSE)+VLOOKUP($A107,A:AL,25,FALSE)-50))</f>
        <v>517</v>
      </c>
      <c r="Y107" s="3">
        <v>517</v>
      </c>
      <c r="Z107" s="3">
        <f>Y107+2</f>
        <v>519</v>
      </c>
      <c r="AA107" s="3">
        <f>IF(ISERROR(VLOOKUP($A107,'SegEnds_NonXtal_BW#'!$A:$Z,19,FALSE)+VLOOKUP($A107,A:AL,28,FALSE)-50),"-",(VLOOKUP($A107,'SegEnds_NonXtal_BW#'!$A:$Z,19,FALSE)+VLOOKUP($A107,A:AL,28,FALSE)-50))</f>
        <v>525</v>
      </c>
      <c r="AB107" s="3">
        <v>541</v>
      </c>
      <c r="AC107" s="3">
        <f>IF(ISERROR((VLOOKUP($A107,'SegEnds_NonXtal_BW#'!$A:$Z,20,FALSE)+VLOOKUP($A107,A:AL,28,FALSE)-50)),"-",(VLOOKUP($A107,'SegEnds_NonXtal_BW#'!$A:$Z,20,FALSE)+VLOOKUP($A107,A:AL,28,FALSE)-50))</f>
        <v>558</v>
      </c>
      <c r="AD107" s="3">
        <f>IF(ISERROR(VLOOKUP($A107,'SegEnds_NonXtal_BW#'!$A:$Z,21,FALSE)+VLOOKUP($A107,A:AL,31,FALSE)-50),"-",(VLOOKUP($A107,'SegEnds_NonXtal_BW#'!$A:$Z,21,FALSE)+VLOOKUP($A107,A:AL,31,FALSE)-50))</f>
        <v>563</v>
      </c>
      <c r="AE107" s="3">
        <v>587</v>
      </c>
      <c r="AF107" s="3">
        <f>IF(ISERROR((VLOOKUP($A107,'SegEnds_NonXtal_BW#'!$A:$Z,22,FALSE)+VLOOKUP($A107,A:AL,31,FALSE)-50)),"-",(VLOOKUP($A107,'SegEnds_NonXtal_BW#'!$A:$Z,22,FALSE)+VLOOKUP($A107,A:AL,31,FALSE)-50))</f>
        <v>598</v>
      </c>
      <c r="AG107" s="3">
        <f>IF(ISERROR(VLOOKUP($A107,'SegEnds_NonXtal_BW#'!$A:$Z,23,FALSE)+VLOOKUP($A107,A:AL,34,FALSE)-50),"-",(VLOOKUP($A107,'SegEnds_NonXtal_BW#'!$A:$Z,23,FALSE)+VLOOKUP($A107,A:AL,34,FALSE)-50))</f>
        <v>604</v>
      </c>
      <c r="AH107" s="3">
        <v>623</v>
      </c>
      <c r="AI107" s="3">
        <f>IF(ISERROR((VLOOKUP($A107,'SegEnds_NonXtal_BW#'!$A:$Z,24,FALSE)+VLOOKUP($A107,A:AL,34,FALSE)-50)),"-",(VLOOKUP($A107,'SegEnds_NonXtal_BW#'!$A:$Z,24,FALSE)+VLOOKUP($A107,A:AL,34,FALSE)-50))</f>
        <v>629</v>
      </c>
      <c r="AJ107" s="3">
        <f>IF(ISERROR(VLOOKUP($A107,'SegEnds_NonXtal_BW#'!$A:$Z,25,FALSE)+VLOOKUP($A107,A:AL,37,FALSE)-50),"-",(VLOOKUP($A107,'SegEnds_NonXtal_BW#'!$A:$Z,25,FALSE)+VLOOKUP($A107,A:AL,37,FALSE)-50))</f>
        <v>630</v>
      </c>
      <c r="AK107" s="3">
        <v>633</v>
      </c>
      <c r="AL107" s="3">
        <f>IF(ISERROR((VLOOKUP($A107,'SegEnds_NonXtal_BW#'!$A:$Z,26,FALSE)+VLOOKUP($A107,A:AL,37,FALSE)-50)),"-",(VLOOKUP($A107,'SegEnds_NonXtal_BW#'!$A:$Z,26,FALSE)+VLOOKUP($A107,A:AL,37,FALSE)-50))</f>
        <v>652</v>
      </c>
      <c r="AM107" s="28" t="str">
        <f>VLOOKUP(A107,Classification!A:B,2,FALSE)</f>
        <v>A</v>
      </c>
      <c r="AN107" s="28" t="b">
        <f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>
        <f>IF(ISERROR(F107-E107),"-",F107-E107)</f>
        <v>2</v>
      </c>
      <c r="AQ107" s="3">
        <f>IF(ISERROR(I107-H107),"-",I107-H107)</f>
        <v>1</v>
      </c>
      <c r="AR107" s="3">
        <f>IF(ISERROR(L107-K107),"-",L107-K107)</f>
        <v>10</v>
      </c>
      <c r="AS107" s="3">
        <f>IF(ISERROR(O107-N107),"-",O107-N107)</f>
        <v>1</v>
      </c>
      <c r="AT107" s="3">
        <f>IF(ISERROR(R107-Q107),"-",R107-Q107)</f>
        <v>1</v>
      </c>
      <c r="AU107" s="3">
        <f>IF(ISERROR(U107-T107),"-",U107-T107)</f>
        <v>1</v>
      </c>
      <c r="AV107" s="3">
        <f>IF(ISERROR(X107-W107),"-",X107-W107)</f>
        <v>10</v>
      </c>
      <c r="AW107" s="3">
        <f>IF(ISERROR(AA107-Z107),"-",AA107-Z107)</f>
        <v>6</v>
      </c>
      <c r="AX107" s="3">
        <f>IF(ISERROR(AD107-AC107),"-",AD107-AC107)</f>
        <v>5</v>
      </c>
      <c r="AY107" s="3">
        <f>IF(ISERROR(AG107-AF107),"-",AG107-AF107)</f>
        <v>6</v>
      </c>
      <c r="AZ107" s="3">
        <f>IF(ISERROR(AJ107-AI107),"-",AJ107-AI107)</f>
        <v>1</v>
      </c>
      <c r="BA107" s="3">
        <f>IF(ISERROR(LEN(VLOOKUP(A107,Seqs!A:E,2,FALSE))-AL107),"-",LEN(VLOOKUP(A107,Seqs!A:E,2,FALSE))-AL107)</f>
        <v>43</v>
      </c>
      <c r="BB107" s="16">
        <f>J107-D107</f>
        <v>28</v>
      </c>
      <c r="BC107" s="9">
        <f>IF(ISERROR(V107-S107),"-",V107-S107)</f>
        <v>20</v>
      </c>
      <c r="BD107" s="3">
        <f>J107-D107</f>
        <v>28</v>
      </c>
      <c r="BE107" s="3">
        <f>AE107-AB107</f>
        <v>46</v>
      </c>
    </row>
    <row r="108" spans="1:58" s="3" customFormat="1" x14ac:dyDescent="0.2">
      <c r="A108" s="3" t="s">
        <v>205</v>
      </c>
      <c r="B108" s="3" t="str">
        <f>LOWER(VLOOKUP(A108,Xtal_Templ!A:B,2,FALSE))</f>
        <v>oprk_human</v>
      </c>
      <c r="C108" s="3">
        <f>VLOOKUP($A108,'SegEnds_NonXtal_BW#'!$A:$Z,3,FALSE)+D108-50</f>
        <v>31</v>
      </c>
      <c r="D108" s="3">
        <v>51</v>
      </c>
      <c r="E108" s="3">
        <f>IF(ISERROR(VLOOKUP($A108,'SegEnds_NonXtal_BW#'!$A:$Z,4,FALSE)+VLOOKUP($A108,A:AL,4,FALSE)-50),"-",(VLOOKUP($A108,'SegEnds_NonXtal_BW#'!$A:$Z,4,FALSE)+VLOOKUP($A108,A:AL,4,FALSE)-50))</f>
        <v>61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68</v>
      </c>
      <c r="J108" s="3">
        <v>81</v>
      </c>
      <c r="K108" s="3">
        <f>VLOOKUP($A108,'SegEnds_NonXtal_BW#'!$A:$Z,8,FALSE)+VLOOKUP($A108,A:AL,10,FALSE)-50</f>
        <v>97</v>
      </c>
      <c r="L108" s="3">
        <f>M108-1</f>
        <v>100</v>
      </c>
      <c r="M108" s="3">
        <v>101</v>
      </c>
      <c r="N108" s="3">
        <f>M108+2</f>
        <v>103</v>
      </c>
      <c r="O108" s="3">
        <f>N108+1</f>
        <v>104</v>
      </c>
      <c r="P108" s="3">
        <v>133</v>
      </c>
      <c r="Q108" s="3">
        <f>VLOOKUP($A108,'SegEnds_NonXtal_BW#'!$A:$Z,12,FALSE)+VLOOKUP($A108,A:AL,16,FALSE)-50</f>
        <v>139</v>
      </c>
      <c r="R108" s="3">
        <f>IF(ISERROR(VLOOKUP($A108,'SegEnds_NonXtal_BW#'!$A:$Z,13,FALSE)+VLOOKUP($A108,A:AL,19,FALSE)-50),"-",VLOOKUP($A108,'SegEnds_NonXtal_BW#'!$A:$Z,13,FALSE)+VLOOKUP($A108,A:AL,19,FALSE)-50)</f>
        <v>140</v>
      </c>
      <c r="S108" s="3">
        <v>140</v>
      </c>
      <c r="T108" s="103">
        <f>IF(ISERROR(VLOOKUP($A108,'SegEnds_NonXtal_BW#'!$A:$Z,14,FALSE)+VLOOKUP($A108,A:AL,19,FALSE)-50),"-",(VLOOKUP($A108,'SegEnds_NonXtal_BW#'!$A:$Z,14,FALSE)+VLOOKUP($A108,A:AL,19,FALSE)-50))</f>
        <v>147</v>
      </c>
      <c r="U108" s="9">
        <f>IF(ISERROR(VLOOKUP($A108,'SegEnds_NonXtal_BW#'!$A:$Z,15,FALSE)+VLOOKUP($A108,A:AL,22,FALSE)-50),"-",VLOOKUP($A108,'SegEnds_NonXtal_BW#'!$A:$Z,15,FALSE)+VLOOKUP($A108,A:AL,22,FALSE)-50)</f>
        <v>148</v>
      </c>
      <c r="V108" s="3">
        <v>160</v>
      </c>
      <c r="W108" s="3">
        <f>IF(ISERROR(VLOOKUP($A108,'SegEnds_NonXtal_BW#'!$A:$Z,16,FALSE)+VLOOKUP($A108,A:AL,22,FALSE)-50),"-",(VLOOKUP($A108,'SegEnds_NonXtal_BW#'!$A:$Z,16,FALSE)+VLOOKUP($A108,A:AL,22,FALSE)-50))</f>
        <v>174</v>
      </c>
      <c r="X108" s="3">
        <f>IF(ISERROR(VLOOKUP($A108,'SegEnds_NonXtal_BW#'!$A:$Z,17,FALSE)+VLOOKUP($A108,A:AL,25,FALSE)-50),"-",(VLOOKUP($A108,'SegEnds_NonXtal_BW#'!$A:$Z,17,FALSE)+VLOOKUP($A108,A:AL,25,FALSE)-50))</f>
        <v>187</v>
      </c>
      <c r="Y108" s="3">
        <v>187</v>
      </c>
      <c r="Z108" s="3">
        <f>Y108+2</f>
        <v>189</v>
      </c>
      <c r="AA108" s="3">
        <f>IF(ISERROR(VLOOKUP($A108,'SegEnds_NonXtal_BW#'!$A:$Z,19,FALSE)+VLOOKUP($A108,A:AL,28,FALSE)-50),"-",(VLOOKUP($A108,'SegEnds_NonXtal_BW#'!$A:$Z,19,FALSE)+VLOOKUP($A108,A:AL,28,FALSE)-50))</f>
        <v>193</v>
      </c>
      <c r="AB108" s="3">
        <v>212</v>
      </c>
      <c r="AC108" s="3">
        <f>IF(ISERROR((VLOOKUP($A108,'SegEnds_NonXtal_BW#'!$A:$Z,20,FALSE)+VLOOKUP($A108,A:AL,28,FALSE)-50)),"-",(VLOOKUP($A108,'SegEnds_NonXtal_BW#'!$A:$Z,20,FALSE)+VLOOKUP($A108,A:AL,28,FALSE)-50))</f>
        <v>234</v>
      </c>
      <c r="AD108" s="3">
        <f>IF(ISERROR(VLOOKUP($A108,'SegEnds_NonXtal_BW#'!$A:$Z,21,FALSE)+VLOOKUP($A108,A:AL,31,FALSE)-50),"-",(VLOOKUP($A108,'SegEnds_NonXtal_BW#'!$A:$Z,21,FALSE)+VLOOKUP($A108,A:AL,31,FALSE)-50))</f>
        <v>241</v>
      </c>
      <c r="AE108" s="3">
        <v>262</v>
      </c>
      <c r="AF108" s="3">
        <f>IF(ISERROR((VLOOKUP($A108,'SegEnds_NonXtal_BW#'!$A:$Z,22,FALSE)+VLOOKUP($A108,A:AL,31,FALSE)-50)),"-",(VLOOKUP($A108,'SegEnds_NonXtal_BW#'!$A:$Z,22,FALSE)+VLOOKUP($A108,A:AL,31,FALSE)-50))</f>
        <v>273</v>
      </c>
      <c r="AG108" s="3">
        <f>IF(ISERROR(VLOOKUP($A108,'SegEnds_NonXtal_BW#'!$A:$Z,23,FALSE)+VLOOKUP($A108,A:AL,34,FALSE)-50),"-",(VLOOKUP($A108,'SegEnds_NonXtal_BW#'!$A:$Z,23,FALSE)+VLOOKUP($A108,A:AL,34,FALSE)-50))</f>
        <v>278</v>
      </c>
      <c r="AH108" s="3">
        <v>300</v>
      </c>
      <c r="AI108" s="3">
        <f>IF(ISERROR((VLOOKUP($A108,'SegEnds_NonXtal_BW#'!$A:$Z,24,FALSE)+VLOOKUP($A108,A:AL,34,FALSE)-50)),"-",(VLOOKUP($A108,'SegEnds_NonXtal_BW#'!$A:$Z,24,FALSE)+VLOOKUP($A108,A:AL,34,FALSE)-50))</f>
        <v>306</v>
      </c>
      <c r="AJ108" s="3">
        <f>IF(ISERROR(VLOOKUP($A108,'SegEnds_NonXtal_BW#'!$A:$Z,25,FALSE)+VLOOKUP($A108,A:AL,37,FALSE)-50),"-",(VLOOKUP($A108,'SegEnds_NonXtal_BW#'!$A:$Z,25,FALSE)+VLOOKUP($A108,A:AL,37,FALSE)-50))</f>
        <v>307</v>
      </c>
      <c r="AK108" s="3">
        <v>310</v>
      </c>
      <c r="AL108" s="3">
        <f>IF(ISERROR((VLOOKUP($A108,'SegEnds_NonXtal_BW#'!$A:$Z,26,FALSE)+VLOOKUP($A108,A:AL,37,FALSE)-50)),"-",(VLOOKUP($A108,'SegEnds_NonXtal_BW#'!$A:$Z,26,FALSE)+VLOOKUP($A108,A:AL,37,FALSE)-50))</f>
        <v>319</v>
      </c>
      <c r="AM108" s="28" t="str">
        <f>VLOOKUP(A108,Classification!A:B,2,FALSE)</f>
        <v>A</v>
      </c>
      <c r="AN108" s="28" t="b">
        <f>AND(IF(Y108="-",IF(AA108-W108&gt;3,TRUE,FALSE),TRUE),IF(M108="-",IF(O108-K108&gt;3,TRUE,FALSE),TRUE),C108&lt;E108,OR(E108&lt;F108,F108="-"),OR(F108&lt;H108,F108="-"),OR(H108&lt;I108,H108="-"),I108&lt;K108,OR(K108&lt;L108,L108="-"),OR(L108&lt;N108,L108="-"),OR(N108&lt;O108,N108="-"),O108&lt;Q108,OR(Q108&lt;R108,R108="-"),OR(R108&lt;T108,R108="-"),OR(T108&lt;U108,T108="-"),U108&lt;W108,OR(W108&lt;X108,X108="-"),OR(X108&lt;Z108,X108="-"),OR(Z108&lt;AA108,Z108="-"),AA108&lt;AC108,AC108&lt;AD108,AD108&lt;AF108,AF108&lt;AG108,AG108&lt;AI108,OR(AI108&lt;AJ108,AJ108="-"),OR(AJ108&lt;AL108,AJ108="-"))</f>
        <v>1</v>
      </c>
      <c r="AO108" s="3" t="str">
        <f>IF(ISERROR(MATCH(A108,'SegEnds_Xtal_Prot#'!B:B, 0)), "NoXtal", "Xtal")</f>
        <v>NoXtal</v>
      </c>
      <c r="AP108" s="3" t="str">
        <f>IF(ISERROR(F108-E108),"-",F108-E108)</f>
        <v>-</v>
      </c>
      <c r="AQ108" s="3" t="str">
        <f>IF(ISERROR(I108-H108),"-",I108-H108)</f>
        <v>-</v>
      </c>
      <c r="AR108" s="3">
        <f>IF(ISERROR(L108-K108),"-",L108-K108)</f>
        <v>3</v>
      </c>
      <c r="AS108" s="3">
        <f>IF(ISERROR(O108-N108),"-",O108-N108)</f>
        <v>1</v>
      </c>
      <c r="AT108" s="3">
        <f>IF(ISERROR(R108-Q108),"-",R108-Q108)</f>
        <v>1</v>
      </c>
      <c r="AU108" s="3">
        <f>IF(ISERROR(U108-T108),"-",U108-T108)</f>
        <v>1</v>
      </c>
      <c r="AV108" s="3">
        <f>IF(ISERROR(X108-W108),"-",X108-W108)</f>
        <v>13</v>
      </c>
      <c r="AW108" s="3">
        <f>IF(ISERROR(AA108-Z108),"-",AA108-Z108)</f>
        <v>4</v>
      </c>
      <c r="AX108" s="3">
        <f>IF(ISERROR(AD108-AC108),"-",AD108-AC108)</f>
        <v>7</v>
      </c>
      <c r="AY108" s="3">
        <f>IF(ISERROR(AG108-AF108),"-",AG108-AF108)</f>
        <v>5</v>
      </c>
      <c r="AZ108" s="3">
        <f>IF(ISERROR(AJ108-AI108),"-",AJ108-AI108)</f>
        <v>1</v>
      </c>
      <c r="BA108" s="3">
        <f>IF(ISERROR(LEN(VLOOKUP(A108,Seqs!A:E,2,FALSE))-AL108),"-",LEN(VLOOKUP(A108,Seqs!A:E,2,FALSE))-AL108)</f>
        <v>30</v>
      </c>
      <c r="BB108" s="16">
        <f>J108-D108</f>
        <v>30</v>
      </c>
      <c r="BC108" s="9">
        <f>IF(ISERROR(V108-S108),"-",V108-S108)</f>
        <v>20</v>
      </c>
      <c r="BD108" s="3">
        <f>J108-D108</f>
        <v>30</v>
      </c>
      <c r="BE108" s="3">
        <f>AE108-AB108</f>
        <v>50</v>
      </c>
    </row>
    <row r="109" spans="1:58" s="3" customFormat="1" x14ac:dyDescent="0.2">
      <c r="A109" s="3" t="s">
        <v>206</v>
      </c>
      <c r="B109" s="3" t="str">
        <f>LOWER(VLOOKUP(A109,Xtal_Templ!A:B,2,FALSE))</f>
        <v>oprk_human</v>
      </c>
      <c r="C109" s="3">
        <f>VLOOKUP($A109,'SegEnds_NonXtal_BW#'!$A:$Z,3,FALSE)+D109-50</f>
        <v>23</v>
      </c>
      <c r="D109" s="3">
        <v>43</v>
      </c>
      <c r="E109" s="3">
        <f>IF(ISERROR(VLOOKUP($A109,'SegEnds_NonXtal_BW#'!$A:$Z,4,FALSE)+VLOOKUP($A109,A:AL,4,FALSE)-50),"-",(VLOOKUP($A109,'SegEnds_NonXtal_BW#'!$A:$Z,4,FALSE)+VLOOKUP($A109,A:AL,4,FALSE)-50))</f>
        <v>53</v>
      </c>
      <c r="F109" s="3">
        <f>G109-2</f>
        <v>54</v>
      </c>
      <c r="G109" s="3">
        <v>56</v>
      </c>
      <c r="H109" s="3">
        <f>G109+1</f>
        <v>57</v>
      </c>
      <c r="I109" s="3">
        <f>H109+1</f>
        <v>58</v>
      </c>
      <c r="J109" s="3">
        <v>71</v>
      </c>
      <c r="K109" s="3">
        <f>VLOOKUP($A109,'SegEnds_NonXtal_BW#'!$A:$Z,8,FALSE)+VLOOKUP($A109,A:AL,10,FALSE)-50</f>
        <v>87</v>
      </c>
      <c r="L109" s="3">
        <f>M109-1</f>
        <v>90</v>
      </c>
      <c r="M109" s="3">
        <v>91</v>
      </c>
      <c r="N109" s="3">
        <f>M109+2</f>
        <v>93</v>
      </c>
      <c r="O109" s="3">
        <f>N109+1</f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3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175</v>
      </c>
      <c r="Y109" s="3">
        <v>175</v>
      </c>
      <c r="Z109" s="3">
        <f>Y109+2</f>
        <v>177</v>
      </c>
      <c r="AA109" s="3">
        <f>IF(ISERROR(VLOOKUP($A109,'SegEnds_NonXtal_BW#'!$A:$Z,19,FALSE)+VLOOKUP($A109,A:AL,28,FALSE)-50),"-",(VLOOKUP($A109,'SegEnds_NonXtal_BW#'!$A:$Z,19,FALSE)+VLOOKUP($A109,A:AL,28,FALSE)-50))</f>
        <v>180</v>
      </c>
      <c r="AB109" s="3">
        <v>199</v>
      </c>
      <c r="AC109" s="3">
        <f>IF(ISERROR((VLOOKUP($A109,'SegEnds_NonXtal_BW#'!$A:$Z,20,FALSE)+VLOOKUP($A109,A:AL,28,FALSE)-50)),"-",(VLOOKUP($A109,'SegEnds_NonXtal_BW#'!$A:$Z,20,FALSE)+VLOOKUP($A109,A:AL,28,FALSE)-50))</f>
        <v>221</v>
      </c>
      <c r="AD109" s="3">
        <f>IF(ISERROR(VLOOKUP($A109,'SegEnds_NonXtal_BW#'!$A:$Z,21,FALSE)+VLOOKUP($A109,A:AL,31,FALSE)-50),"-",(VLOOKUP($A109,'SegEnds_NonXtal_BW#'!$A:$Z,21,FALSE)+VLOOKUP($A109,A:AL,31,FALSE)-50))</f>
        <v>225</v>
      </c>
      <c r="AE109" s="3">
        <v>251</v>
      </c>
      <c r="AF109" s="3">
        <f>IF(ISERROR((VLOOKUP($A109,'SegEnds_NonXtal_BW#'!$A:$Z,22,FALSE)+VLOOKUP($A109,A:AL,31,FALSE)-50)),"-",(VLOOKUP($A109,'SegEnds_NonXtal_BW#'!$A:$Z,22,FALSE)+VLOOKUP($A109,A:AL,31,FALSE)-50))</f>
        <v>262</v>
      </c>
      <c r="AG109" s="3">
        <f>IF(ISERROR(VLOOKUP($A109,'SegEnds_NonXtal_BW#'!$A:$Z,23,FALSE)+VLOOKUP($A109,A:AL,34,FALSE)-50),"-",(VLOOKUP($A109,'SegEnds_NonXtal_BW#'!$A:$Z,23,FALSE)+VLOOKUP($A109,A:AL,34,FALSE)-50))</f>
        <v>267</v>
      </c>
      <c r="AH109" s="3">
        <v>289</v>
      </c>
      <c r="AI109" s="3">
        <f>IF(ISERROR((VLOOKUP($A109,'SegEnds_NonXtal_BW#'!$A:$Z,24,FALSE)+VLOOKUP($A109,A:AL,34,FALSE)-50)),"-",(VLOOKUP($A109,'SegEnds_NonXtal_BW#'!$A:$Z,24,FALSE)+VLOOKUP($A109,A:AL,34,FALSE)-50))</f>
        <v>295</v>
      </c>
      <c r="AJ109" s="3">
        <f>IF(ISERROR(VLOOKUP($A109,'SegEnds_NonXtal_BW#'!$A:$Z,25,FALSE)+VLOOKUP($A109,A:AL,37,FALSE)-50),"-",(VLOOKUP($A109,'SegEnds_NonXtal_BW#'!$A:$Z,25,FALSE)+VLOOKUP($A109,A:AL,37,FALSE)-50))</f>
        <v>296</v>
      </c>
      <c r="AK109" s="3">
        <v>299</v>
      </c>
      <c r="AL109" s="3">
        <f>IF(ISERROR((VLOOKUP($A109,'SegEnds_NonXtal_BW#'!$A:$Z,26,FALSE)+VLOOKUP($A109,A:AL,37,FALSE)-50)),"-",(VLOOKUP($A109,'SegEnds_NonXtal_BW#'!$A:$Z,26,FALSE)+VLOOKUP($A109,A:AL,37,FALSE)-50))</f>
        <v>308</v>
      </c>
      <c r="AM109" s="28" t="str">
        <f>VLOOKUP(A109,Classification!A:B,2,FALSE)</f>
        <v>A</v>
      </c>
      <c r="AN109" s="28" t="b">
        <f>AND(IF(Y109="-",IF(AA109-W109&gt;3,TRUE,FALSE),TRUE),IF(M109="-",IF(O109-K109&gt;3,TRUE,FALSE),TRUE),C109&lt;E109,OR(E109&lt;F109,F109="-"),OR(F109&lt;H109,F109="-"),OR(H109&lt;I109,H109="-"),I109&lt;K109,OR(K109&lt;L109,L109="-"),OR(L109&lt;N109,L109="-"),OR(N109&lt;O109,N109="-"),O109&lt;Q109,OR(Q109&lt;R109,R109="-"),OR(R109&lt;T109,R109="-"),OR(T109&lt;U109,T109="-"),U109&lt;W109,OR(W109&lt;X109,X109="-"),OR(X109&lt;Z109,X109="-"),OR(Z109&lt;AA109,Z109="-"),AA109&lt;AC109,AC109&lt;AD109,AD109&lt;AF109,AF109&lt;AG109,AG109&lt;AI109,OR(AI109&lt;AJ109,AJ109="-"),OR(AJ109&lt;AL109,AJ109="-"))</f>
        <v>1</v>
      </c>
      <c r="AO109" s="3" t="str">
        <f>IF(ISERROR(MATCH(A109,'SegEnds_Xtal_Prot#'!B:B, 0)), "NoXtal", "Xtal")</f>
        <v>NoXtal</v>
      </c>
      <c r="AP109" s="3">
        <f>IF(ISERROR(F109-E109),"-",F109-E109)</f>
        <v>1</v>
      </c>
      <c r="AQ109" s="3">
        <f>IF(ISERROR(I109-H109),"-",I109-H109)</f>
        <v>1</v>
      </c>
      <c r="AR109" s="3">
        <f>IF(ISERROR(L109-K109),"-",L109-K109)</f>
        <v>3</v>
      </c>
      <c r="AS109" s="3">
        <f>IF(ISERROR(O109-N109),"-",O109-N109)</f>
        <v>1</v>
      </c>
      <c r="AT109" s="3">
        <f>IF(ISERROR(R109-Q109),"-",R109-Q109)</f>
        <v>1</v>
      </c>
      <c r="AU109" s="3">
        <f>IF(ISERROR(U109-T109),"-",U109-T109)</f>
        <v>1</v>
      </c>
      <c r="AV109" s="3">
        <f>IF(ISERROR(X109-W109),"-",X109-W109)</f>
        <v>11</v>
      </c>
      <c r="AW109" s="3">
        <f>IF(ISERROR(AA109-Z109),"-",AA109-Z109)</f>
        <v>3</v>
      </c>
      <c r="AX109" s="3">
        <f>IF(ISERROR(AD109-AC109),"-",AD109-AC109)</f>
        <v>4</v>
      </c>
      <c r="AY109" s="3">
        <f>IF(ISERROR(AG109-AF109),"-",AG109-AF109)</f>
        <v>5</v>
      </c>
      <c r="AZ109" s="3">
        <f>IF(ISERROR(AJ109-AI109),"-",AJ109-AI109)</f>
        <v>1</v>
      </c>
      <c r="BA109" s="3">
        <f>IF(ISERROR(LEN(VLOOKUP(A109,Seqs!A:E,2,FALSE))-AL109),"-",LEN(VLOOKUP(A109,Seqs!A:E,2,FALSE))-AL109)</f>
        <v>79</v>
      </c>
      <c r="BB109" s="16">
        <f>J109-D109</f>
        <v>28</v>
      </c>
      <c r="BC109" s="9">
        <f>IF(ISERROR(V109-S109),"-",V109-S109)</f>
        <v>20</v>
      </c>
      <c r="BD109" s="3">
        <f>J109-D109</f>
        <v>28</v>
      </c>
      <c r="BE109" s="3">
        <f>AE109-AB109</f>
        <v>52</v>
      </c>
    </row>
    <row r="110" spans="1:58" s="3" customFormat="1" x14ac:dyDescent="0.2">
      <c r="A110" s="3" t="s">
        <v>207</v>
      </c>
      <c r="B110" s="3" t="str">
        <f>LOWER(VLOOKUP(A110,Xtal_Templ!A:B,2,FALSE))</f>
        <v>oprk_human</v>
      </c>
      <c r="C110" s="3">
        <f>VLOOKUP($A110,'SegEnds_NonXtal_BW#'!$A:$Z,3,FALSE)+D110-50</f>
        <v>15</v>
      </c>
      <c r="D110" s="3">
        <v>35</v>
      </c>
      <c r="E110" s="3">
        <f>IF(ISERROR(VLOOKUP($A110,'SegEnds_NonXtal_BW#'!$A:$Z,4,FALSE)+VLOOKUP($A110,A:AL,4,FALSE)-50),"-",(VLOOKUP($A110,'SegEnds_NonXtal_BW#'!$A:$Z,4,FALSE)+VLOOKUP($A110,A:AL,4,FALSE)-50))</f>
        <v>45</v>
      </c>
      <c r="F110" s="3">
        <f>G110-2</f>
        <v>47</v>
      </c>
      <c r="G110" s="3">
        <v>49</v>
      </c>
      <c r="H110" s="3">
        <f>G110+1</f>
        <v>50</v>
      </c>
      <c r="I110" s="3">
        <f>H110+1</f>
        <v>51</v>
      </c>
      <c r="J110" s="3">
        <v>68</v>
      </c>
      <c r="K110" s="3">
        <f>VLOOKUP($A110,'SegEnds_NonXtal_BW#'!$A:$Z,8,FALSE)+VLOOKUP($A110,A:AL,10,FALSE)-50</f>
        <v>84</v>
      </c>
      <c r="L110" s="3">
        <f>M110-1</f>
        <v>87</v>
      </c>
      <c r="M110" s="3">
        <v>88</v>
      </c>
      <c r="N110" s="3">
        <f>M110+2</f>
        <v>90</v>
      </c>
      <c r="O110" s="3">
        <f>N110+1</f>
        <v>91</v>
      </c>
      <c r="P110" s="3">
        <v>120</v>
      </c>
      <c r="Q110" s="3">
        <f>VLOOKUP($A110,'SegEnds_NonXtal_BW#'!$A:$Z,12,FALSE)+VLOOKUP($A110,A:AL,16,FALSE)-50</f>
        <v>126</v>
      </c>
      <c r="R110" s="3">
        <f>IF(ISERROR(VLOOKUP($A110,'SegEnds_NonXtal_BW#'!$A:$Z,13,FALSE)+VLOOKUP($A110,A:AL,19,FALSE)-50),"-",VLOOKUP($A110,'SegEnds_NonXtal_BW#'!$A:$Z,13,FALSE)+VLOOKUP($A110,A:AL,19,FALSE)-50)</f>
        <v>127</v>
      </c>
      <c r="S110" s="3">
        <v>127</v>
      </c>
      <c r="T110" s="103">
        <f>IF(ISERROR(VLOOKUP($A110,'SegEnds_NonXtal_BW#'!$A:$Z,14,FALSE)+VLOOKUP($A110,A:AL,19,FALSE)-50),"-",(VLOOKUP($A110,'SegEnds_NonXtal_BW#'!$A:$Z,14,FALSE)+VLOOKUP($A110,A:AL,19,FALSE)-50))</f>
        <v>134</v>
      </c>
      <c r="U110" s="9">
        <f>IF(ISERROR(VLOOKUP($A110,'SegEnds_NonXtal_BW#'!$A:$Z,15,FALSE)+VLOOKUP($A110,A:AL,22,FALSE)-50),"-",VLOOKUP($A110,'SegEnds_NonXtal_BW#'!$A:$Z,15,FALSE)+VLOOKUP($A110,A:AL,22,FALSE)-50)</f>
        <v>135</v>
      </c>
      <c r="V110" s="3">
        <v>147</v>
      </c>
      <c r="W110" s="3">
        <f>IF(ISERROR(VLOOKUP($A110,'SegEnds_NonXtal_BW#'!$A:$Z,16,FALSE)+VLOOKUP($A110,A:AL,22,FALSE)-50),"-",(VLOOKUP($A110,'SegEnds_NonXtal_BW#'!$A:$Z,16,FALSE)+VLOOKUP($A110,A:AL,22,FALSE)-50))</f>
        <v>161</v>
      </c>
      <c r="X110" s="3">
        <f>IF(ISERROR(VLOOKUP($A110,'SegEnds_NonXtal_BW#'!$A:$Z,17,FALSE)+VLOOKUP($A110,A:AL,25,FALSE)-50),"-",(VLOOKUP($A110,'SegEnds_NonXtal_BW#'!$A:$Z,17,FALSE)+VLOOKUP($A110,A:AL,25,FALSE)-50))</f>
        <v>172</v>
      </c>
      <c r="Y110" s="3">
        <v>172</v>
      </c>
      <c r="Z110" s="3">
        <f>Y110+2</f>
        <v>174</v>
      </c>
      <c r="AA110" s="3">
        <f>IF(ISERROR(VLOOKUP($A110,'SegEnds_NonXtal_BW#'!$A:$Z,19,FALSE)+VLOOKUP($A110,A:AL,28,FALSE)-50),"-",(VLOOKUP($A110,'SegEnds_NonXtal_BW#'!$A:$Z,19,FALSE)+VLOOKUP($A110,A:AL,28,FALSE)-50))</f>
        <v>177</v>
      </c>
      <c r="AB110" s="3">
        <v>196</v>
      </c>
      <c r="AC110" s="3">
        <f>IF(ISERROR((VLOOKUP($A110,'SegEnds_NonXtal_BW#'!$A:$Z,20,FALSE)+VLOOKUP($A110,A:AL,28,FALSE)-50)),"-",(VLOOKUP($A110,'SegEnds_NonXtal_BW#'!$A:$Z,20,FALSE)+VLOOKUP($A110,A:AL,28,FALSE)-50))</f>
        <v>218</v>
      </c>
      <c r="AD110" s="3">
        <f>IF(ISERROR(VLOOKUP($A110,'SegEnds_NonXtal_BW#'!$A:$Z,21,FALSE)+VLOOKUP($A110,A:AL,31,FALSE)-50),"-",(VLOOKUP($A110,'SegEnds_NonXtal_BW#'!$A:$Z,21,FALSE)+VLOOKUP($A110,A:AL,31,FALSE)-50))</f>
        <v>224</v>
      </c>
      <c r="AE110" s="3">
        <v>250</v>
      </c>
      <c r="AF110" s="3">
        <f>IF(ISERROR((VLOOKUP($A110,'SegEnds_NonXtal_BW#'!$A:$Z,22,FALSE)+VLOOKUP($A110,A:AL,31,FALSE)-50)),"-",(VLOOKUP($A110,'SegEnds_NonXtal_BW#'!$A:$Z,22,FALSE)+VLOOKUP($A110,A:AL,31,FALSE)-50))</f>
        <v>261</v>
      </c>
      <c r="AG110" s="3">
        <f>IF(ISERROR(VLOOKUP($A110,'SegEnds_NonXtal_BW#'!$A:$Z,23,FALSE)+VLOOKUP($A110,A:AL,34,FALSE)-50),"-",(VLOOKUP($A110,'SegEnds_NonXtal_BW#'!$A:$Z,23,FALSE)+VLOOKUP($A110,A:AL,34,FALSE)-50))</f>
        <v>266</v>
      </c>
      <c r="AH110" s="3">
        <v>288</v>
      </c>
      <c r="AI110" s="3">
        <f>IF(ISERROR((VLOOKUP($A110,'SegEnds_NonXtal_BW#'!$A:$Z,24,FALSE)+VLOOKUP($A110,A:AL,34,FALSE)-50)),"-",(VLOOKUP($A110,'SegEnds_NonXtal_BW#'!$A:$Z,24,FALSE)+VLOOKUP($A110,A:AL,34,FALSE)-50))</f>
        <v>294</v>
      </c>
      <c r="AJ110" s="3">
        <f>IF(ISERROR(VLOOKUP($A110,'SegEnds_NonXtal_BW#'!$A:$Z,25,FALSE)+VLOOKUP($A110,A:AL,37,FALSE)-50),"-",(VLOOKUP($A110,'SegEnds_NonXtal_BW#'!$A:$Z,25,FALSE)+VLOOKUP($A110,A:AL,37,FALSE)-50))</f>
        <v>295</v>
      </c>
      <c r="AK110" s="3">
        <v>298</v>
      </c>
      <c r="AL110" s="3">
        <f>IF(ISERROR((VLOOKUP($A110,'SegEnds_NonXtal_BW#'!$A:$Z,26,FALSE)+VLOOKUP($A110,A:AL,37,FALSE)-50)),"-",(VLOOKUP($A110,'SegEnds_NonXtal_BW#'!$A:$Z,26,FALSE)+VLOOKUP($A110,A:AL,37,FALSE)-50))</f>
        <v>307</v>
      </c>
      <c r="AM110" s="28" t="str">
        <f>VLOOKUP(A110,Classification!A:B,2,FALSE)</f>
        <v>A</v>
      </c>
      <c r="AN110" s="28" t="b">
        <f>AND(IF(Y110="-",IF(AA110-W110&gt;3,TRUE,FALSE),TRUE),IF(M110="-",IF(O110-K110&gt;3,TRUE,FALSE),TRUE),C110&lt;E110,OR(E110&lt;F110,F110="-"),OR(F110&lt;H110,F110="-"),OR(H110&lt;I110,H110="-"),I110&lt;K110,OR(K110&lt;L110,L110="-"),OR(L110&lt;N110,L110="-"),OR(N110&lt;O110,N110="-"),O110&lt;Q110,OR(Q110&lt;R110,R110="-"),OR(R110&lt;T110,R110="-"),OR(T110&lt;U110,T110="-"),U110&lt;W110,OR(W110&lt;X110,X110="-"),OR(X110&lt;Z110,X110="-"),OR(Z110&lt;AA110,Z110="-"),AA110&lt;AC110,AC110&lt;AD110,AD110&lt;AF110,AF110&lt;AG110,AG110&lt;AI110,OR(AI110&lt;AJ110,AJ110="-"),OR(AJ110&lt;AL110,AJ110="-"))</f>
        <v>1</v>
      </c>
      <c r="AO110" s="3" t="str">
        <f>IF(ISERROR(MATCH(A110,'SegEnds_Xtal_Prot#'!B:B, 0)), "NoXtal", "Xtal")</f>
        <v>NoXtal</v>
      </c>
      <c r="AP110" s="3">
        <f>IF(ISERROR(F110-E110),"-",F110-E110)</f>
        <v>2</v>
      </c>
      <c r="AQ110" s="3">
        <f>IF(ISERROR(I110-H110),"-",I110-H110)</f>
        <v>1</v>
      </c>
      <c r="AR110" s="3">
        <f>IF(ISERROR(L110-K110),"-",L110-K110)</f>
        <v>3</v>
      </c>
      <c r="AS110" s="3">
        <f>IF(ISERROR(O110-N110),"-",O110-N110)</f>
        <v>1</v>
      </c>
      <c r="AT110" s="3">
        <f>IF(ISERROR(R110-Q110),"-",R110-Q110)</f>
        <v>1</v>
      </c>
      <c r="AU110" s="3">
        <f>IF(ISERROR(U110-T110),"-",U110-T110)</f>
        <v>1</v>
      </c>
      <c r="AV110" s="3">
        <f>IF(ISERROR(X110-W110),"-",X110-W110)</f>
        <v>11</v>
      </c>
      <c r="AW110" s="3">
        <f>IF(ISERROR(AA110-Z110),"-",AA110-Z110)</f>
        <v>3</v>
      </c>
      <c r="AX110" s="3">
        <f>IF(ISERROR(AD110-AC110),"-",AD110-AC110)</f>
        <v>6</v>
      </c>
      <c r="AY110" s="3">
        <f>IF(ISERROR(AG110-AF110),"-",AG110-AF110)</f>
        <v>5</v>
      </c>
      <c r="AZ110" s="3">
        <f>IF(ISERROR(AJ110-AI110),"-",AJ110-AI110)</f>
        <v>1</v>
      </c>
      <c r="BA110" s="3">
        <f>IF(ISERROR(LEN(VLOOKUP(A110,Seqs!A:E,2,FALSE))-AL110),"-",LEN(VLOOKUP(A110,Seqs!A:E,2,FALSE))-AL110)</f>
        <v>61</v>
      </c>
      <c r="BB110" s="16">
        <f>J110-D110</f>
        <v>33</v>
      </c>
      <c r="BC110" s="9">
        <f>IF(ISERROR(V110-S110),"-",V110-S110)</f>
        <v>20</v>
      </c>
      <c r="BD110" s="3">
        <f>J110-D110</f>
        <v>33</v>
      </c>
      <c r="BE110" s="3">
        <f>AE110-AB110</f>
        <v>54</v>
      </c>
    </row>
    <row r="111" spans="1:58" s="3" customFormat="1" x14ac:dyDescent="0.2">
      <c r="A111" s="3" t="s">
        <v>208</v>
      </c>
      <c r="B111" s="3" t="str">
        <f>LOWER(VLOOKUP(A111,Xtal_Templ!A:B,2,FALSE))</f>
        <v>ox2r_human</v>
      </c>
      <c r="C111" s="3">
        <f>VLOOKUP($A111,'SegEnds_NonXtal_BW#'!$A:$Z,3,FALSE)+D111-50</f>
        <v>53</v>
      </c>
      <c r="D111" s="3">
        <v>72</v>
      </c>
      <c r="E111" s="3">
        <f>IF(ISERROR(VLOOKUP($A111,'SegEnds_NonXtal_BW#'!$A:$Z,4,FALSE)+VLOOKUP($A111,A:AL,4,FALSE)-50),"-",(VLOOKUP($A111,'SegEnds_NonXtal_BW#'!$A:$Z,4,FALSE)+VLOOKUP($A111,A:AL,4,FALSE)-50))</f>
        <v>82</v>
      </c>
      <c r="F111" s="3">
        <f>G111-2</f>
        <v>83</v>
      </c>
      <c r="G111" s="3">
        <v>85</v>
      </c>
      <c r="H111" s="3">
        <f>G111+1</f>
        <v>86</v>
      </c>
      <c r="I111" s="3">
        <f>H111+1</f>
        <v>87</v>
      </c>
      <c r="J111" s="3">
        <v>100</v>
      </c>
      <c r="K111" s="3">
        <f>VLOOKUP($A111,'SegEnds_NonXtal_BW#'!$A:$Z,8,FALSE)+VLOOKUP($A111,A:AL,10,FALSE)-50</f>
        <v>117</v>
      </c>
      <c r="L111" s="3">
        <f>M111-1</f>
        <v>119</v>
      </c>
      <c r="M111" s="3">
        <v>120</v>
      </c>
      <c r="N111" s="3">
        <f>M111+2</f>
        <v>122</v>
      </c>
      <c r="O111" s="3">
        <f>N111+1</f>
        <v>123</v>
      </c>
      <c r="P111" s="3">
        <v>152</v>
      </c>
      <c r="Q111" s="3">
        <f>VLOOKUP($A111,'SegEnds_NonXtal_BW#'!$A:$Z,12,FALSE)+VLOOKUP($A111,A:AL,16,FALSE)-50</f>
        <v>158</v>
      </c>
      <c r="R111" s="3">
        <f>IF(ISERROR(VLOOKUP($A111,'SegEnds_NonXtal_BW#'!$A:$Z,13,FALSE)+VLOOKUP($A111,A:AL,19,FALSE)-50),"-",VLOOKUP($A111,'SegEnds_NonXtal_BW#'!$A:$Z,13,FALSE)+VLOOKUP($A111,A:AL,19,FALSE)-50)</f>
        <v>159</v>
      </c>
      <c r="S111" s="3">
        <v>159</v>
      </c>
      <c r="T111" s="103">
        <f>IF(ISERROR(VLOOKUP($A111,'SegEnds_NonXtal_BW#'!$A:$Z,14,FALSE)+VLOOKUP($A111,A:AL,19,FALSE)-50),"-",(VLOOKUP($A111,'SegEnds_NonXtal_BW#'!$A:$Z,14,FALSE)+VLOOKUP($A111,A:AL,19,FALSE)-50))</f>
        <v>166</v>
      </c>
      <c r="U111" s="9">
        <f>IF(ISERROR(VLOOKUP($A111,'SegEnds_NonXtal_BW#'!$A:$Z,15,FALSE)+VLOOKUP($A111,A:AL,22,FALSE)-50),"-",VLOOKUP($A111,'SegEnds_NonXtal_BW#'!$A:$Z,15,FALSE)+VLOOKUP($A111,A:AL,22,FALSE)-50)</f>
        <v>167</v>
      </c>
      <c r="V111" s="3">
        <v>179</v>
      </c>
      <c r="W111" s="3">
        <f>IF(ISERROR(VLOOKUP($A111,'SegEnds_NonXtal_BW#'!$A:$Z,16,FALSE)+VLOOKUP($A111,A:AL,22,FALSE)-50),"-",(VLOOKUP($A111,'SegEnds_NonXtal_BW#'!$A:$Z,16,FALSE)+VLOOKUP($A111,A:AL,22,FALSE)-50))</f>
        <v>193</v>
      </c>
      <c r="X111" s="3">
        <f>IF(ISERROR(VLOOKUP($A111,'SegEnds_NonXtal_BW#'!$A:$Z,17,FALSE)+VLOOKUP($A111,A:AL,25,FALSE)-50),"-",(VLOOKUP($A111,'SegEnds_NonXtal_BW#'!$A:$Z,17,FALSE)+VLOOKUP($A111,A:AL,25,FALSE)-50))</f>
        <v>205</v>
      </c>
      <c r="Y111" s="3">
        <v>205</v>
      </c>
      <c r="Z111" s="3">
        <f>Y111+2</f>
        <v>207</v>
      </c>
      <c r="AA111" s="3">
        <f>IF(ISERROR(VLOOKUP($A111,'SegEnds_NonXtal_BW#'!$A:$Z,19,FALSE)+VLOOKUP($A111,A:AL,28,FALSE)-50),"-",(VLOOKUP($A111,'SegEnds_NonXtal_BW#'!$A:$Z,19,FALSE)+VLOOKUP($A111,A:AL,28,FALSE)-50))</f>
        <v>212</v>
      </c>
      <c r="AB111" s="3">
        <v>230</v>
      </c>
      <c r="AC111" s="3">
        <f>IF(ISERROR((VLOOKUP($A111,'SegEnds_NonXtal_BW#'!$A:$Z,20,FALSE)+VLOOKUP($A111,A:AL,28,FALSE)-50)),"-",(VLOOKUP($A111,'SegEnds_NonXtal_BW#'!$A:$Z,20,FALSE)+VLOOKUP($A111,A:AL,28,FALSE)-50))</f>
        <v>256</v>
      </c>
      <c r="AD111" s="3">
        <f>IF(ISERROR(VLOOKUP($A111,'SegEnds_NonXtal_BW#'!$A:$Z,21,FALSE)+VLOOKUP($A111,A:AL,31,FALSE)-50),"-",(VLOOKUP($A111,'SegEnds_NonXtal_BW#'!$A:$Z,21,FALSE)+VLOOKUP($A111,A:AL,31,FALSE)-50))</f>
        <v>322</v>
      </c>
      <c r="AE111" s="3">
        <v>348</v>
      </c>
      <c r="AF111" s="3">
        <f>IF(ISERROR((VLOOKUP($A111,'SegEnds_NonXtal_BW#'!$A:$Z,22,FALSE)+VLOOKUP($A111,A:AL,31,FALSE)-50)),"-",(VLOOKUP($A111,'SegEnds_NonXtal_BW#'!$A:$Z,22,FALSE)+VLOOKUP($A111,A:AL,31,FALSE)-50))</f>
        <v>359</v>
      </c>
      <c r="AG111" s="3">
        <f>IF(ISERROR(VLOOKUP($A111,'SegEnds_NonXtal_BW#'!$A:$Z,23,FALSE)+VLOOKUP($A111,A:AL,34,FALSE)-50),"-",(VLOOKUP($A111,'SegEnds_NonXtal_BW#'!$A:$Z,23,FALSE)+VLOOKUP($A111,A:AL,34,FALSE)-50))</f>
        <v>365</v>
      </c>
      <c r="AH111" s="3">
        <v>387</v>
      </c>
      <c r="AI111" s="3">
        <f>IF(ISERROR((VLOOKUP($A111,'SegEnds_NonXtal_BW#'!$A:$Z,24,FALSE)+VLOOKUP($A111,A:AL,34,FALSE)-50)),"-",(VLOOKUP($A111,'SegEnds_NonXtal_BW#'!$A:$Z,24,FALSE)+VLOOKUP($A111,A:AL,34,FALSE)-50))</f>
        <v>393</v>
      </c>
      <c r="AJ111" s="3">
        <f>IF(ISERROR(VLOOKUP($A111,'SegEnds_NonXtal_BW#'!$A:$Z,25,FALSE)+VLOOKUP($A111,A:AL,37,FALSE)-50),"-",(VLOOKUP($A111,'SegEnds_NonXtal_BW#'!$A:$Z,25,FALSE)+VLOOKUP($A111,A:AL,37,FALSE)-50))</f>
        <v>394</v>
      </c>
      <c r="AK111" s="3">
        <v>397</v>
      </c>
      <c r="AL111" s="3">
        <f>IF(ISERROR((VLOOKUP($A111,'SegEnds_NonXtal_BW#'!$A:$Z,26,FALSE)+VLOOKUP($A111,A:AL,37,FALSE)-50)),"-",(VLOOKUP($A111,'SegEnds_NonXtal_BW#'!$A:$Z,26,FALSE)+VLOOKUP($A111,A:AL,37,FALSE)-50))</f>
        <v>405</v>
      </c>
      <c r="AM111" s="28" t="str">
        <f>VLOOKUP(A111,Classification!A:B,2,FALSE)</f>
        <v>A</v>
      </c>
      <c r="AN111" s="28" t="b">
        <f>AND(IF(Y111="-",IF(AA111-W111&gt;3,TRUE,FALSE),TRUE),IF(M111="-",IF(O111-K111&gt;3,TRUE,FALSE),TRUE),C111&lt;E111,OR(E111&lt;F111,F111="-"),OR(F111&lt;H111,F111="-"),OR(H111&lt;I111,H111="-"),I111&lt;K111,OR(K111&lt;L111,L111="-"),OR(L111&lt;N111,L111="-"),OR(N111&lt;O111,N111="-"),O111&lt;Q111,OR(Q111&lt;R111,R111="-"),OR(R111&lt;T111,R111="-"),OR(T111&lt;U111,T111="-"),U111&lt;W111,OR(W111&lt;X111,X111="-"),OR(X111&lt;Z111,X111="-"),OR(Z111&lt;AA111,Z111="-"),AA111&lt;AC111,AC111&lt;AD111,AD111&lt;AF111,AF111&lt;AG111,AG111&lt;AI111,OR(AI111&lt;AJ111,AJ111="-"),OR(AJ111&lt;AL111,AJ111="-"))</f>
        <v>1</v>
      </c>
      <c r="AO111" s="3" t="str">
        <f>IF(ISERROR(MATCH(A111,'SegEnds_Xtal_Prot#'!B:B, 0)), "NoXtal", "Xtal")</f>
        <v>NoXtal</v>
      </c>
      <c r="AP111" s="3">
        <f>IF(ISERROR(F111-E111),"-",F111-E111)</f>
        <v>1</v>
      </c>
      <c r="AQ111" s="3">
        <f>IF(ISERROR(I111-H111),"-",I111-H111)</f>
        <v>1</v>
      </c>
      <c r="AR111" s="3">
        <f>IF(ISERROR(L111-K111),"-",L111-K111)</f>
        <v>2</v>
      </c>
      <c r="AS111" s="3">
        <f>IF(ISERROR(O111-N111),"-",O111-N111)</f>
        <v>1</v>
      </c>
      <c r="AT111" s="3">
        <f>IF(ISERROR(R111-Q111),"-",R111-Q111)</f>
        <v>1</v>
      </c>
      <c r="AU111" s="3">
        <f>IF(ISERROR(U111-T111),"-",U111-T111)</f>
        <v>1</v>
      </c>
      <c r="AV111" s="3">
        <f>IF(ISERROR(X111-W111),"-",X111-W111)</f>
        <v>12</v>
      </c>
      <c r="AW111" s="3">
        <f>IF(ISERROR(AA111-Z111),"-",AA111-Z111)</f>
        <v>5</v>
      </c>
      <c r="AX111" s="3">
        <f>IF(ISERROR(AD111-AC111),"-",AD111-AC111)</f>
        <v>66</v>
      </c>
      <c r="AY111" s="3">
        <f>IF(ISERROR(AG111-AF111),"-",AG111-AF111)</f>
        <v>6</v>
      </c>
      <c r="AZ111" s="3">
        <f>IF(ISERROR(AJ111-AI111),"-",AJ111-AI111)</f>
        <v>1</v>
      </c>
      <c r="BA111" s="3">
        <f>IF(ISERROR(LEN(VLOOKUP(A111,Seqs!A:E,2,FALSE))-AL111),"-",LEN(VLOOKUP(A111,Seqs!A:E,2,FALSE))-AL111)</f>
        <v>42</v>
      </c>
      <c r="BB111" s="16">
        <f>J111-D111</f>
        <v>28</v>
      </c>
      <c r="BC111" s="9">
        <f>IF(ISERROR(V111-S111),"-",V111-S111)</f>
        <v>20</v>
      </c>
      <c r="BD111" s="3">
        <f>J111-D111</f>
        <v>28</v>
      </c>
      <c r="BE111" s="3">
        <f>AE111-AB111</f>
        <v>118</v>
      </c>
    </row>
    <row r="112" spans="1:58" s="3" customFormat="1" x14ac:dyDescent="0.2">
      <c r="A112" s="3" t="s">
        <v>209</v>
      </c>
      <c r="B112" s="3" t="str">
        <f>LOWER(VLOOKUP(A112,Xtal_Templ!A:B,2,FALSE))</f>
        <v>ntr1_rat</v>
      </c>
      <c r="C112" s="3">
        <f>VLOOKUP($A112,'SegEnds_NonXtal_BW#'!$A:$Z,3,FALSE)+D112-50</f>
        <v>40</v>
      </c>
      <c r="D112" s="3">
        <v>61</v>
      </c>
      <c r="E112" s="3">
        <f>IF(ISERROR(VLOOKUP($A112,'SegEnds_NonXtal_BW#'!$A:$Z,4,FALSE)+VLOOKUP($A112,A:AL,4,FALSE)-50),"-",(VLOOKUP($A112,'SegEnds_NonXtal_BW#'!$A:$Z,4,FALSE)+VLOOKUP($A112,A:AL,4,FALSE)-50))</f>
        <v>71</v>
      </c>
      <c r="F112" s="3">
        <f>G112-2</f>
        <v>72</v>
      </c>
      <c r="G112" s="3">
        <v>74</v>
      </c>
      <c r="H112" s="3">
        <f>G112+1</f>
        <v>75</v>
      </c>
      <c r="I112" s="3">
        <f>H112+1</f>
        <v>76</v>
      </c>
      <c r="J112" s="3">
        <v>89</v>
      </c>
      <c r="K112" s="3">
        <f>VLOOKUP($A112,'SegEnds_NonXtal_BW#'!$A:$Z,8,FALSE)+VLOOKUP($A112,A:AL,10,FALSE)-50</f>
        <v>106</v>
      </c>
      <c r="L112" s="3">
        <f>M112-1</f>
        <v>108</v>
      </c>
      <c r="M112" s="3">
        <v>109</v>
      </c>
      <c r="N112" s="3">
        <f>M112+2</f>
        <v>111</v>
      </c>
      <c r="O112" s="3">
        <f>N112+1</f>
        <v>112</v>
      </c>
      <c r="P112" s="3">
        <v>141</v>
      </c>
      <c r="Q112" s="3">
        <f>VLOOKUP($A112,'SegEnds_NonXtal_BW#'!$A:$Z,12,FALSE)+VLOOKUP($A112,A:AL,16,FALSE)-50</f>
        <v>147</v>
      </c>
      <c r="R112" s="3">
        <f>IF(ISERROR(VLOOKUP($A112,'SegEnds_NonXtal_BW#'!$A:$Z,13,FALSE)+VLOOKUP($A112,A:AL,19,FALSE)-50),"-",VLOOKUP($A112,'SegEnds_NonXtal_BW#'!$A:$Z,13,FALSE)+VLOOKUP($A112,A:AL,19,FALSE)-50)</f>
        <v>148</v>
      </c>
      <c r="S112" s="3">
        <v>148</v>
      </c>
      <c r="T112" s="103">
        <f>IF(ISERROR(VLOOKUP($A112,'SegEnds_NonXtal_BW#'!$A:$Z,14,FALSE)+VLOOKUP($A112,A:AL,19,FALSE)-50),"-",(VLOOKUP($A112,'SegEnds_NonXtal_BW#'!$A:$Z,14,FALSE)+VLOOKUP($A112,A:AL,19,FALSE)-50))</f>
        <v>155</v>
      </c>
      <c r="U112" s="9">
        <f>IF(ISERROR(VLOOKUP($A112,'SegEnds_NonXtal_BW#'!$A:$Z,15,FALSE)+VLOOKUP($A112,A:AL,22,FALSE)-50),"-",VLOOKUP($A112,'SegEnds_NonXtal_BW#'!$A:$Z,15,FALSE)+VLOOKUP($A112,A:AL,22,FALSE)-50)</f>
        <v>156</v>
      </c>
      <c r="V112" s="3">
        <v>168</v>
      </c>
      <c r="W112" s="3">
        <f>IF(ISERROR(VLOOKUP($A112,'SegEnds_NonXtal_BW#'!$A:$Z,16,FALSE)+VLOOKUP($A112,A:AL,22,FALSE)-50),"-",(VLOOKUP($A112,'SegEnds_NonXtal_BW#'!$A:$Z,16,FALSE)+VLOOKUP($A112,A:AL,22,FALSE)-50))</f>
        <v>182</v>
      </c>
      <c r="X112" s="3">
        <f>IF(ISERROR(VLOOKUP($A112,'SegEnds_NonXtal_BW#'!$A:$Z,17,FALSE)+VLOOKUP($A112,A:AL,25,FALSE)-50),"-",(VLOOKUP($A112,'SegEnds_NonXtal_BW#'!$A:$Z,17,FALSE)+VLOOKUP($A112,A:AL,25,FALSE)-50))</f>
        <v>198</v>
      </c>
      <c r="Y112" s="3">
        <v>198</v>
      </c>
      <c r="Z112" s="3">
        <f>Y112+2</f>
        <v>200</v>
      </c>
      <c r="AA112" s="3">
        <f>IF(ISERROR(VLOOKUP($A112,'SegEnds_NonXtal_BW#'!$A:$Z,19,FALSE)+VLOOKUP($A112,A:AL,28,FALSE)-50),"-",(VLOOKUP($A112,'SegEnds_NonXtal_BW#'!$A:$Z,19,FALSE)+VLOOKUP($A112,A:AL,28,FALSE)-50))</f>
        <v>206</v>
      </c>
      <c r="AB112" s="3">
        <v>224</v>
      </c>
      <c r="AC112" s="3">
        <f>IF(ISERROR((VLOOKUP($A112,'SegEnds_NonXtal_BW#'!$A:$Z,20,FALSE)+VLOOKUP($A112,A:AL,28,FALSE)-50)),"-",(VLOOKUP($A112,'SegEnds_NonXtal_BW#'!$A:$Z,20,FALSE)+VLOOKUP($A112,A:AL,28,FALSE)-50))</f>
        <v>246</v>
      </c>
      <c r="AD112" s="3">
        <f>IF(ISERROR(VLOOKUP($A112,'SegEnds_NonXtal_BW#'!$A:$Z,21,FALSE)+VLOOKUP($A112,A:AL,31,FALSE)-50),"-",(VLOOKUP($A112,'SegEnds_NonXtal_BW#'!$A:$Z,21,FALSE)+VLOOKUP($A112,A:AL,31,FALSE)-50))</f>
        <v>252</v>
      </c>
      <c r="AE112" s="3">
        <v>278</v>
      </c>
      <c r="AF112" s="3">
        <f>IF(ISERROR((VLOOKUP($A112,'SegEnds_NonXtal_BW#'!$A:$Z,22,FALSE)+VLOOKUP($A112,A:AL,31,FALSE)-50)),"-",(VLOOKUP($A112,'SegEnds_NonXtal_BW#'!$A:$Z,22,FALSE)+VLOOKUP($A112,A:AL,31,FALSE)-50))</f>
        <v>289</v>
      </c>
      <c r="AG112" s="3">
        <f>IF(ISERROR(VLOOKUP($A112,'SegEnds_NonXtal_BW#'!$A:$Z,23,FALSE)+VLOOKUP($A112,A:AL,34,FALSE)-50),"-",(VLOOKUP($A112,'SegEnds_NonXtal_BW#'!$A:$Z,23,FALSE)+VLOOKUP($A112,A:AL,34,FALSE)-50))</f>
        <v>298</v>
      </c>
      <c r="AH112" s="3">
        <v>320</v>
      </c>
      <c r="AI112" s="3">
        <f>IF(ISERROR((VLOOKUP($A112,'SegEnds_NonXtal_BW#'!$A:$Z,24,FALSE)+VLOOKUP($A112,A:AL,34,FALSE)-50)),"-",(VLOOKUP($A112,'SegEnds_NonXtal_BW#'!$A:$Z,24,FALSE)+VLOOKUP($A112,A:AL,34,FALSE)-50))</f>
        <v>326</v>
      </c>
      <c r="AJ112" s="3">
        <f>IF(ISERROR(VLOOKUP($A112,'SegEnds_NonXtal_BW#'!$A:$Z,25,FALSE)+VLOOKUP($A112,A:AL,37,FALSE)-50),"-",(VLOOKUP($A112,'SegEnds_NonXtal_BW#'!$A:$Z,25,FALSE)+VLOOKUP($A112,A:AL,37,FALSE)-50))</f>
        <v>327</v>
      </c>
      <c r="AK112" s="3">
        <v>330</v>
      </c>
      <c r="AL112" s="3">
        <f>IF(ISERROR((VLOOKUP($A112,'SegEnds_NonXtal_BW#'!$A:$Z,26,FALSE)+VLOOKUP($A112,A:AL,37,FALSE)-50)),"-",(VLOOKUP($A112,'SegEnds_NonXtal_BW#'!$A:$Z,26,FALSE)+VLOOKUP($A112,A:AL,37,FALSE)-50))</f>
        <v>338</v>
      </c>
      <c r="AM112" s="28" t="str">
        <f>VLOOKUP(A112,Classification!A:B,2,FALSE)</f>
        <v>A</v>
      </c>
      <c r="AN112" s="28" t="b">
        <f>AND(IF(Y112="-",IF(AA112-W112&gt;3,TRUE,FALSE),TRUE),IF(M112="-",IF(O112-K112&gt;3,TRUE,FALSE),TRUE),C112&lt;E112,OR(E112&lt;F112,F112="-"),OR(F112&lt;H112,F112="-"),OR(H112&lt;I112,H112="-"),I112&lt;K112,OR(K112&lt;L112,L112="-"),OR(L112&lt;N112,L112="-"),OR(N112&lt;O112,N112="-"),O112&lt;Q112,OR(Q112&lt;R112,R112="-"),OR(R112&lt;T112,R112="-"),OR(T112&lt;U112,T112="-"),U112&lt;W112,OR(W112&lt;X112,X112="-"),OR(X112&lt;Z112,X112="-"),OR(Z112&lt;AA112,Z112="-"),AA112&lt;AC112,AC112&lt;AD112,AD112&lt;AF112,AF112&lt;AG112,AG112&lt;AI112,OR(AI112&lt;AJ112,AJ112="-"),OR(AJ112&lt;AL112,AJ112="-"))</f>
        <v>1</v>
      </c>
      <c r="AO112" s="3" t="str">
        <f>IF(ISERROR(MATCH(A112,'SegEnds_Xtal_Prot#'!B:B, 0)), "NoXtal", "Xtal")</f>
        <v>NoXtal</v>
      </c>
      <c r="AP112" s="3">
        <f>IF(ISERROR(F112-E112),"-",F112-E112)</f>
        <v>1</v>
      </c>
      <c r="AQ112" s="3">
        <f>IF(ISERROR(I112-H112),"-",I112-H112)</f>
        <v>1</v>
      </c>
      <c r="AR112" s="3">
        <f>IF(ISERROR(L112-K112),"-",L112-K112)</f>
        <v>2</v>
      </c>
      <c r="AS112" s="3">
        <f>IF(ISERROR(O112-N112),"-",O112-N112)</f>
        <v>1</v>
      </c>
      <c r="AT112" s="3">
        <f>IF(ISERROR(R112-Q112),"-",R112-Q112)</f>
        <v>1</v>
      </c>
      <c r="AU112" s="3">
        <f>IF(ISERROR(U112-T112),"-",U112-T112)</f>
        <v>1</v>
      </c>
      <c r="AV112" s="3">
        <f>IF(ISERROR(X112-W112),"-",X112-W112)</f>
        <v>16</v>
      </c>
      <c r="AW112" s="3">
        <f>IF(ISERROR(AA112-Z112),"-",AA112-Z112)</f>
        <v>6</v>
      </c>
      <c r="AX112" s="3">
        <f>IF(ISERROR(AD112-AC112),"-",AD112-AC112)</f>
        <v>6</v>
      </c>
      <c r="AY112" s="3">
        <f>IF(ISERROR(AG112-AF112),"-",AG112-AF112)</f>
        <v>9</v>
      </c>
      <c r="AZ112" s="3">
        <f>IF(ISERROR(AJ112-AI112),"-",AJ112-AI112)</f>
        <v>1</v>
      </c>
      <c r="BA112" s="3">
        <f>IF(ISERROR(LEN(VLOOKUP(A112,Seqs!A:E,2,FALSE))-AL112),"-",LEN(VLOOKUP(A112,Seqs!A:E,2,FALSE))-AL112)</f>
        <v>28</v>
      </c>
      <c r="BB112" s="16">
        <f>J112-D112</f>
        <v>28</v>
      </c>
      <c r="BC112" s="9">
        <f>IF(ISERROR(V112-S112),"-",V112-S112)</f>
        <v>20</v>
      </c>
      <c r="BD112" s="3">
        <f>J112-D112</f>
        <v>28</v>
      </c>
      <c r="BE112" s="3">
        <f>AE112-AB112</f>
        <v>54</v>
      </c>
      <c r="BF112" s="3">
        <f>AH112-AE112</f>
        <v>42</v>
      </c>
    </row>
    <row r="113" spans="1:60" s="3" customFormat="1" x14ac:dyDescent="0.2">
      <c r="A113" s="3" t="s">
        <v>212</v>
      </c>
      <c r="B113" s="3" t="str">
        <f>LOWER(VLOOKUP(A113,Xtal_Templ!A:B,2,FALSE))</f>
        <v>ccr5_human</v>
      </c>
      <c r="C113" s="3">
        <f>VLOOKUP($A113,'SegEnds_NonXtal_BW#'!$A:$Z,3,FALSE)+D113-50</f>
        <v>23</v>
      </c>
      <c r="D113" s="3">
        <v>49</v>
      </c>
      <c r="E113" s="3">
        <f>IF(ISERROR(VLOOKUP($A113,'SegEnds_NonXtal_BW#'!$A:$Z,4,FALSE)+VLOOKUP($A113,A:AL,4,FALSE)-50),"-",(VLOOKUP($A113,'SegEnds_NonXtal_BW#'!$A:$Z,4,FALSE)+VLOOKUP($A113,A:AL,4,FALSE)-50))</f>
        <v>59</v>
      </c>
      <c r="F113" s="3">
        <f>G113-2</f>
        <v>60</v>
      </c>
      <c r="G113" s="3">
        <v>62</v>
      </c>
      <c r="H113" s="3">
        <f>G113+1</f>
        <v>63</v>
      </c>
      <c r="I113" s="3">
        <f>H113+1</f>
        <v>64</v>
      </c>
      <c r="J113" s="3">
        <v>77</v>
      </c>
      <c r="K113" s="3">
        <f>VLOOKUP($A113,'SegEnds_NonXtal_BW#'!$A:$Z,8,FALSE)+VLOOKUP($A113,A:AL,10,FALSE)-50</f>
        <v>93</v>
      </c>
      <c r="L113" s="3">
        <f>M113-1</f>
        <v>96</v>
      </c>
      <c r="M113" s="3">
        <v>97</v>
      </c>
      <c r="N113" s="3">
        <f>M113+2</f>
        <v>99</v>
      </c>
      <c r="O113" s="3">
        <f>N113+1</f>
        <v>100</v>
      </c>
      <c r="P113" s="3">
        <v>129</v>
      </c>
      <c r="Q113" s="3">
        <f>VLOOKUP($A113,'SegEnds_NonXtal_BW#'!$A:$Z,12,FALSE)+VLOOKUP($A113,A:AL,16,FALSE)-50</f>
        <v>135</v>
      </c>
      <c r="R113" s="3">
        <f>IF(ISERROR(VLOOKUP($A113,'SegEnds_NonXtal_BW#'!$A:$Z,13,FALSE)+VLOOKUP($A113,A:AL,19,FALSE)-50),"-",VLOOKUP($A113,'SegEnds_NonXtal_BW#'!$A:$Z,13,FALSE)+VLOOKUP($A113,A:AL,19,FALSE)-50)</f>
        <v>136</v>
      </c>
      <c r="S113" s="3">
        <v>136</v>
      </c>
      <c r="T113" s="103">
        <f>IF(ISERROR(VLOOKUP($A113,'SegEnds_NonXtal_BW#'!$A:$Z,14,FALSE)+VLOOKUP($A113,A:AL,19,FALSE)-50),"-",(VLOOKUP($A113,'SegEnds_NonXtal_BW#'!$A:$Z,14,FALSE)+VLOOKUP($A113,A:AL,19,FALSE)-50))</f>
        <v>143</v>
      </c>
      <c r="U113" s="9">
        <f>IF(ISERROR(VLOOKUP($A113,'SegEnds_NonXtal_BW#'!$A:$Z,15,FALSE)+VLOOKUP($A113,A:AL,22,FALSE)-50),"-",VLOOKUP($A113,'SegEnds_NonXtal_BW#'!$A:$Z,15,FALSE)+VLOOKUP($A113,A:AL,22,FALSE)-50)</f>
        <v>144</v>
      </c>
      <c r="V113" s="3">
        <v>156</v>
      </c>
      <c r="W113" s="3">
        <f>IF(ISERROR(VLOOKUP($A113,'SegEnds_NonXtal_BW#'!$A:$Z,16,FALSE)+VLOOKUP($A113,A:AL,22,FALSE)-50),"-",(VLOOKUP($A113,'SegEnds_NonXtal_BW#'!$A:$Z,16,FALSE)+VLOOKUP($A113,A:AL,22,FALSE)-50))</f>
        <v>170</v>
      </c>
      <c r="X113" s="3">
        <f>IF(ISERROR(VLOOKUP($A113,'SegEnds_NonXtal_BW#'!$A:$Z,17,FALSE)+VLOOKUP($A113,A:AL,25,FALSE)-50),"-",(VLOOKUP($A113,'SegEnds_NonXtal_BW#'!$A:$Z,17,FALSE)+VLOOKUP($A113,A:AL,25,FALSE)-50))</f>
        <v>182</v>
      </c>
      <c r="Y113" s="3">
        <v>182</v>
      </c>
      <c r="Z113" s="3">
        <f>Y113+2</f>
        <v>184</v>
      </c>
      <c r="AA113" s="3">
        <f>IF(ISERROR(VLOOKUP($A113,'SegEnds_NonXtal_BW#'!$A:$Z,19,FALSE)+VLOOKUP($A113,A:AL,28,FALSE)-50),"-",(VLOOKUP($A113,'SegEnds_NonXtal_BW#'!$A:$Z,19,FALSE)+VLOOKUP($A113,A:AL,28,FALSE)-50))</f>
        <v>189</v>
      </c>
      <c r="AB113" s="3">
        <v>204</v>
      </c>
      <c r="AC113" s="3">
        <f>IF(ISERROR((VLOOKUP($A113,'SegEnds_NonXtal_BW#'!$A:$Z,20,FALSE)+VLOOKUP($A113,A:AL,28,FALSE)-50)),"-",(VLOOKUP($A113,'SegEnds_NonXtal_BW#'!$A:$Z,20,FALSE)+VLOOKUP($A113,A:AL,28,FALSE)-50))</f>
        <v>229</v>
      </c>
      <c r="AD113" s="3">
        <f>IF(ISERROR(VLOOKUP($A113,'SegEnds_NonXtal_BW#'!$A:$Z,21,FALSE)+VLOOKUP($A113,A:AL,31,FALSE)-50),"-",(VLOOKUP($A113,'SegEnds_NonXtal_BW#'!$A:$Z,21,FALSE)+VLOOKUP($A113,A:AL,31,FALSE)-50))</f>
        <v>388</v>
      </c>
      <c r="AE113" s="3">
        <v>414</v>
      </c>
      <c r="AF113" s="3">
        <f>IF(ISERROR((VLOOKUP($A113,'SegEnds_NonXtal_BW#'!$A:$Z,22,FALSE)+VLOOKUP($A113,A:AL,31,FALSE)-50)),"-",(VLOOKUP($A113,'SegEnds_NonXtal_BW#'!$A:$Z,22,FALSE)+VLOOKUP($A113,A:AL,31,FALSE)-50))</f>
        <v>425</v>
      </c>
      <c r="AG113" s="3">
        <f>IF(ISERROR(VLOOKUP($A113,'SegEnds_NonXtal_BW#'!$A:$Z,23,FALSE)+VLOOKUP($A113,A:AL,34,FALSE)-50),"-",(VLOOKUP($A113,'SegEnds_NonXtal_BW#'!$A:$Z,23,FALSE)+VLOOKUP($A113,A:AL,34,FALSE)-50))</f>
        <v>432</v>
      </c>
      <c r="AH113" s="3">
        <v>451</v>
      </c>
      <c r="AI113" s="3">
        <f>IF(ISERROR((VLOOKUP($A113,'SegEnds_NonXtal_BW#'!$A:$Z,24,FALSE)+VLOOKUP($A113,A:AL,34,FALSE)-50)),"-",(VLOOKUP($A113,'SegEnds_NonXtal_BW#'!$A:$Z,24,FALSE)+VLOOKUP($A113,A:AL,34,FALSE)-50))</f>
        <v>457</v>
      </c>
      <c r="AJ113" s="3">
        <f>IF(ISERROR(VLOOKUP($A113,'SegEnds_NonXtal_BW#'!$A:$Z,25,FALSE)+VLOOKUP($A113,A:AL,37,FALSE)-50),"-",(VLOOKUP($A113,'SegEnds_NonXtal_BW#'!$A:$Z,25,FALSE)+VLOOKUP($A113,A:AL,37,FALSE)-50))</f>
        <v>458</v>
      </c>
      <c r="AK113" s="3">
        <v>461</v>
      </c>
      <c r="AL113" s="3">
        <f>IF(ISERROR((VLOOKUP($A113,'SegEnds_NonXtal_BW#'!$A:$Z,26,FALSE)+VLOOKUP($A113,A:AL,37,FALSE)-50)),"-",(VLOOKUP($A113,'SegEnds_NonXtal_BW#'!$A:$Z,26,FALSE)+VLOOKUP($A113,A:AL,37,FALSE)-50))</f>
        <v>470</v>
      </c>
      <c r="AM113" s="28" t="str">
        <f>VLOOKUP(A113,Classification!A:B,2,FALSE)</f>
        <v>A</v>
      </c>
      <c r="AN113" s="28" t="b">
        <f>AND(IF(Y113="-",IF(AA113-W113&gt;3,TRUE,FALSE),TRUE),IF(M113="-",IF(O113-K113&gt;3,TRUE,FALSE),TRUE),C113&lt;E113,OR(E113&lt;F113,F113="-"),OR(F113&lt;H113,F113="-"),OR(H113&lt;I113,H113="-"),I113&lt;K113,OR(K113&lt;L113,L113="-"),OR(L113&lt;N113,L113="-"),OR(N113&lt;O113,N113="-"),O113&lt;Q113,OR(Q113&lt;R113,R113="-"),OR(R113&lt;T113,R113="-"),OR(T113&lt;U113,T113="-"),U113&lt;W113,OR(W113&lt;X113,X113="-"),OR(X113&lt;Z113,X113="-"),OR(Z113&lt;AA113,Z113="-"),AA113&lt;AC113,AC113&lt;AD113,AD113&lt;AF113,AF113&lt;AG113,AG113&lt;AI113,OR(AI113&lt;AJ113,AJ113="-"),OR(AJ113&lt;AL113,AJ113="-"))</f>
        <v>1</v>
      </c>
      <c r="AO113" s="3" t="str">
        <f>IF(ISERROR(MATCH(A113,'SegEnds_Xtal_Prot#'!B:B, 0)), "NoXtal", "Xtal")</f>
        <v>NoXtal</v>
      </c>
      <c r="AP113" s="3">
        <f>IF(ISERROR(F113-E113),"-",F113-E113)</f>
        <v>1</v>
      </c>
      <c r="AQ113" s="3">
        <f>IF(ISERROR(I113-H113),"-",I113-H113)</f>
        <v>1</v>
      </c>
      <c r="AR113" s="3">
        <f>IF(ISERROR(L113-K113),"-",L113-K113)</f>
        <v>3</v>
      </c>
      <c r="AS113" s="3">
        <f>IF(ISERROR(O113-N113),"-",O113-N113)</f>
        <v>1</v>
      </c>
      <c r="AT113" s="3">
        <f>IF(ISERROR(R113-Q113),"-",R113-Q113)</f>
        <v>1</v>
      </c>
      <c r="AU113" s="3">
        <f>IF(ISERROR(U113-T113),"-",U113-T113)</f>
        <v>1</v>
      </c>
      <c r="AV113" s="3">
        <f>IF(ISERROR(X113-W113),"-",X113-W113)</f>
        <v>12</v>
      </c>
      <c r="AW113" s="3">
        <f>IF(ISERROR(AA113-Z113),"-",AA113-Z113)</f>
        <v>5</v>
      </c>
      <c r="AX113" s="3">
        <f>IF(ISERROR(AD113-AC113),"-",AD113-AC113)</f>
        <v>159</v>
      </c>
      <c r="AY113" s="3">
        <f>IF(ISERROR(AG113-AF113),"-",AG113-AF113)</f>
        <v>7</v>
      </c>
      <c r="AZ113" s="3">
        <f>IF(ISERROR(AJ113-AI113),"-",AJ113-AI113)</f>
        <v>1</v>
      </c>
      <c r="BA113" s="3">
        <f>IF(ISERROR(LEN(VLOOKUP(A113,Seqs!A:E,2,FALSE))-AL113),"-",LEN(VLOOKUP(A113,Seqs!A:E,2,FALSE))-AL113)</f>
        <v>38</v>
      </c>
      <c r="BB113" s="16">
        <f>J113-D113</f>
        <v>28</v>
      </c>
      <c r="BC113" s="9">
        <f>IF(ISERROR(V113-S113),"-",V113-S113)</f>
        <v>20</v>
      </c>
      <c r="BD113" s="3">
        <f>J113-D113</f>
        <v>28</v>
      </c>
      <c r="BE113" s="3">
        <f>AE113-AB113</f>
        <v>210</v>
      </c>
    </row>
    <row r="114" spans="1:60" s="3" customFormat="1" x14ac:dyDescent="0.2">
      <c r="A114" s="3" t="s">
        <v>213</v>
      </c>
      <c r="B114" s="3" t="str">
        <f>LOWER(VLOOKUP(A114,Xtal_Templ!A:B,2,FALSE))</f>
        <v>5ht2b_human</v>
      </c>
      <c r="C114" s="3">
        <f>VLOOKUP($A114,'SegEnds_NonXtal_BW#'!$A:$Z,3,FALSE)+D114-50</f>
        <v>4</v>
      </c>
      <c r="D114" s="3">
        <v>22</v>
      </c>
      <c r="E114" s="3">
        <f>IF(ISERROR(VLOOKUP($A114,'SegEnds_NonXtal_BW#'!$A:$Z,4,FALSE)+VLOOKUP($A114,A:AL,4,FALSE)-50),"-",(VLOOKUP($A114,'SegEnds_NonXtal_BW#'!$A:$Z,4,FALSE)+VLOOKUP($A114,A:AL,4,FALSE)-50))</f>
        <v>32</v>
      </c>
      <c r="F114" s="3" t="str">
        <f>IF(ISERROR(VLOOKUP($A114,'SegEnds_NonXtal_BW#'!$A:$Z,5,FALSE)+VLOOKUP($A114,A:AL,7,FALSE)-50),"-",(VLOOKUP($A114,'SegEnds_NonXtal_BW#'!$A:$Z,5,FALSE)+VLOOKUP($A114,A:AL,7,FALSE)-50))</f>
        <v>-</v>
      </c>
      <c r="G114" s="3" t="s">
        <v>23</v>
      </c>
      <c r="H114" s="3" t="str">
        <f>IF(ISERROR(VLOOKUP($A114,'SegEnds_NonXtal_BW#'!$A:$Z,6,FALSE)+VLOOKUP($A114,A:AL,7,FALSE)-50),"-",(VLOOKUP($A114,'SegEnds_NonXtal_BW#'!$A:$Z,6,FALSE)+VLOOKUP($A114,A:AL,7,FALSE)-50))</f>
        <v>-</v>
      </c>
      <c r="I114" s="3">
        <f>VLOOKUP($A114,'SegEnds_NonXtal_BW#'!$A:$Z,7,FALSE)+J114-50</f>
        <v>38</v>
      </c>
      <c r="J114" s="3">
        <v>51</v>
      </c>
      <c r="K114" s="3">
        <f>VLOOKUP($A114,'SegEnds_NonXtal_BW#'!$A:$Z,8,FALSE)+VLOOKUP($A114,A:AL,10,FALSE)-50</f>
        <v>67</v>
      </c>
      <c r="L114" s="3" t="str">
        <f>IF(ISERROR(VLOOKUP($A114,'SegEnds_NonXtal_BW#'!$A:$Z,9,FALSE)+VLOOKUP($A114,A:AL,13,FALSE)-50),"-",(VLOOKUP($A114,'SegEnds_NonXtal_BW#'!$A:$Z,9,FALSE)+VLOOKUP($A114,A:AL,13,FALSE)-50))</f>
        <v>-</v>
      </c>
      <c r="M114" s="3" t="s">
        <v>23</v>
      </c>
      <c r="N114" s="3" t="str">
        <f>IF(ISERROR(VLOOKUP($A114,'SegEnds_NonXtal_BW#'!$A:$Z,10,FALSE)+VLOOKUP($A114,A:AL,13,FALSE)-50),"-",(VLOOKUP($A114,'SegEnds_NonXtal_BW#'!$A:$Z,10,FALSE)+VLOOKUP($A114,A:AL,13,FALSE)-50))</f>
        <v>-</v>
      </c>
      <c r="O114" s="3">
        <f>VLOOKUP($A114,'SegEnds_NonXtal_BW#'!$A:$Z,11,FALSE)+VLOOKUP($A114,A:AL,16,FALSE)-50</f>
        <v>71</v>
      </c>
      <c r="P114" s="3">
        <v>103</v>
      </c>
      <c r="Q114" s="3">
        <f>VLOOKUP($A114,'SegEnds_NonXtal_BW#'!$A:$Z,12,FALSE)+VLOOKUP($A114,A:AL,16,FALSE)-50</f>
        <v>109</v>
      </c>
      <c r="R114" s="3">
        <f>IF(ISERROR(VLOOKUP($A114,'SegEnds_NonXtal_BW#'!$A:$Z,13,FALSE)+VLOOKUP($A114,A:AL,19,FALSE)-50),"-",VLOOKUP($A114,'SegEnds_NonXtal_BW#'!$A:$Z,13,FALSE)+VLOOKUP($A114,A:AL,19,FALSE)-50)</f>
        <v>110</v>
      </c>
      <c r="S114" s="3">
        <v>110</v>
      </c>
      <c r="T114" s="103">
        <f>IF(ISERROR(VLOOKUP($A114,'SegEnds_NonXtal_BW#'!$A:$Z,14,FALSE)+VLOOKUP($A114,A:AL,19,FALSE)-50),"-",(VLOOKUP($A114,'SegEnds_NonXtal_BW#'!$A:$Z,14,FALSE)+VLOOKUP($A114,A:AL,19,FALSE)-50))</f>
        <v>117</v>
      </c>
      <c r="U114" s="9">
        <f>IF(ISERROR(VLOOKUP($A114,'SegEnds_NonXtal_BW#'!$A:$Z,15,FALSE)+VLOOKUP($A114,A:AL,22,FALSE)-50),"-",VLOOKUP($A114,'SegEnds_NonXtal_BW#'!$A:$Z,15,FALSE)+VLOOKUP($A114,A:AL,22,FALSE)-50)</f>
        <v>118</v>
      </c>
      <c r="V114" s="3">
        <v>130</v>
      </c>
      <c r="W114" s="3">
        <f>IF(ISERROR(VLOOKUP($A114,'SegEnds_NonXtal_BW#'!$A:$Z,16,FALSE)+VLOOKUP($A114,A:AL,22,FALSE)-50),"-",(VLOOKUP($A114,'SegEnds_NonXtal_BW#'!$A:$Z,16,FALSE)+VLOOKUP($A114,A:AL,22,FALSE)-50))</f>
        <v>144</v>
      </c>
      <c r="X114" s="3">
        <f>Y114</f>
        <v>155</v>
      </c>
      <c r="Y114" s="3">
        <v>155</v>
      </c>
      <c r="Z114" s="3">
        <f>Y114+2</f>
        <v>157</v>
      </c>
      <c r="AA114" s="3">
        <f>IF(ISERROR(VLOOKUP($A114,'SegEnds_NonXtal_BW#'!$A:$Z,19,FALSE)+VLOOKUP($A114,A:AL,28,FALSE)-50),"-",(VLOOKUP($A114,'SegEnds_NonXtal_BW#'!$A:$Z,19,FALSE)+VLOOKUP($A114,A:AL,28,FALSE)-50))</f>
        <v>161</v>
      </c>
      <c r="AB114" s="3">
        <v>176</v>
      </c>
      <c r="AC114" s="3">
        <f>IF(ISERROR((VLOOKUP($A114,'SegEnds_NonXtal_BW#'!$A:$Z,20,FALSE)+VLOOKUP($A114,A:AL,28,FALSE)-50)),"-",(VLOOKUP($A114,'SegEnds_NonXtal_BW#'!$A:$Z,20,FALSE)+VLOOKUP($A114,A:AL,28,FALSE)-50))</f>
        <v>200</v>
      </c>
      <c r="AD114" s="3">
        <f>IF(ISERROR(VLOOKUP($A114,'SegEnds_NonXtal_BW#'!$A:$Z,21,FALSE)+VLOOKUP($A114,A:AL,31,FALSE)-50),"-",(VLOOKUP($A114,'SegEnds_NonXtal_BW#'!$A:$Z,21,FALSE)+VLOOKUP($A114,A:AL,31,FALSE)-50))</f>
        <v>211</v>
      </c>
      <c r="AE114" s="3">
        <v>240</v>
      </c>
      <c r="AF114" s="3">
        <f>IF(ISERROR((VLOOKUP($A114,'SegEnds_NonXtal_BW#'!$A:$Z,22,FALSE)+VLOOKUP($A114,A:AL,31,FALSE)-50)),"-",(VLOOKUP($A114,'SegEnds_NonXtal_BW#'!$A:$Z,22,FALSE)+VLOOKUP($A114,A:AL,31,FALSE)-50))</f>
        <v>251</v>
      </c>
      <c r="AG114" s="3">
        <f>IF(ISERROR(VLOOKUP($A114,'SegEnds_NonXtal_BW#'!$A:$Z,23,FALSE)+VLOOKUP($A114,A:AL,34,FALSE)-50),"-",(VLOOKUP($A114,'SegEnds_NonXtal_BW#'!$A:$Z,23,FALSE)+VLOOKUP($A114,A:AL,34,FALSE)-50))</f>
        <v>257</v>
      </c>
      <c r="AH114" s="3">
        <v>276</v>
      </c>
      <c r="AI114" s="3">
        <v>282</v>
      </c>
      <c r="AJ114" s="3">
        <f>IF(ISERROR(VLOOKUP($A114,'SegEnds_NonXtal_BW#'!$A:$Z,25,FALSE)+VLOOKUP($A114,A:AL,37,FALSE)-50),"-",(VLOOKUP($A114,'SegEnds_NonXtal_BW#'!$A:$Z,25,FALSE)+VLOOKUP($A114,A:AL,37,FALSE)-50))</f>
        <v>283</v>
      </c>
      <c r="AK114" s="3">
        <v>286</v>
      </c>
      <c r="AL114" s="3">
        <f>IF(ISERROR((VLOOKUP($A114,'SegEnds_NonXtal_BW#'!$A:$Z,26,FALSE)+VLOOKUP($A114,A:AL,37,FALSE)-50)),"-",(VLOOKUP($A114,'SegEnds_NonXtal_BW#'!$A:$Z,26,FALSE)+VLOOKUP($A114,A:AL,37,FALSE)-50))</f>
        <v>294</v>
      </c>
      <c r="AM114" s="28" t="str">
        <f>VLOOKUP(A114,Classification!A:B,2,FALSE)</f>
        <v>A</v>
      </c>
      <c r="AN114" s="28" t="b">
        <f>AND(IF(Y114="-",IF(AA114-W114&gt;3,TRUE,FALSE),TRUE),IF(M114="-",IF(O114-K114&gt;3,TRUE,FALSE),TRUE),C114&lt;E114,OR(E114&lt;F114,F114="-"),OR(F114&lt;H114,F114="-"),OR(H114&lt;I114,H114="-"),I114&lt;K114,OR(K114&lt;L114,L114="-"),OR(L114&lt;N114,L114="-"),OR(N114&lt;O114,N114="-"),O114&lt;Q114,OR(Q114&lt;R114,R114="-"),OR(R114&lt;T114,R114="-"),OR(T114&lt;U114,T114="-"),U114&lt;W114,OR(W114&lt;X114,X114="-"),OR(X114&lt;Z114,X114="-"),OR(Z114&lt;AA114,Z114="-"),AA114&lt;AC114,AC114&lt;AD114,AD114&lt;AF114,AF114&lt;AG114,AG114&lt;AI114,OR(AI114&lt;AJ114,AJ114="-"),OR(AJ114&lt;AL114,AJ114="-"))</f>
        <v>1</v>
      </c>
      <c r="AO114" s="3" t="str">
        <f>IF(ISERROR(MATCH(A114,'SegEnds_Xtal_Prot#'!B:B, 0)), "NoXtal", "Xtal")</f>
        <v>NoXtal</v>
      </c>
      <c r="AP114" s="3" t="str">
        <f>IF(ISERROR(F114-E114),"-",F114-E114)</f>
        <v>-</v>
      </c>
      <c r="AQ114" s="3" t="str">
        <f>IF(ISERROR(I114-H114),"-",I114-H114)</f>
        <v>-</v>
      </c>
      <c r="AR114" s="3" t="str">
        <f>IF(ISERROR(L114-K114),"-",L114-K114)</f>
        <v>-</v>
      </c>
      <c r="AS114" s="3" t="str">
        <f>IF(ISERROR(O114-N114),"-",O114-N114)</f>
        <v>-</v>
      </c>
      <c r="AT114" s="3">
        <f>IF(ISERROR(R114-Q114),"-",R114-Q114)</f>
        <v>1</v>
      </c>
      <c r="AU114" s="3">
        <f>IF(ISERROR(U114-T114),"-",U114-T114)</f>
        <v>1</v>
      </c>
      <c r="AV114" s="3">
        <f>IF(ISERROR(X114-W114),"-",X114-W114)</f>
        <v>11</v>
      </c>
      <c r="AW114" s="3">
        <f>IF(ISERROR(AA114-Z114),"-",AA114-Z114)</f>
        <v>4</v>
      </c>
      <c r="AX114" s="3">
        <f>IF(ISERROR(AD114-AC114),"-",AD114-AC114)</f>
        <v>11</v>
      </c>
      <c r="AY114" s="3">
        <f>IF(ISERROR(AG114-AF114),"-",AG114-AF114)</f>
        <v>6</v>
      </c>
      <c r="AZ114" s="3">
        <f>IF(ISERROR(AJ114-AI114),"-",AJ114-AI114)</f>
        <v>1</v>
      </c>
      <c r="BA114" s="3">
        <f>IF(ISERROR(LEN(VLOOKUP(A114,Seqs!A:E,2,FALSE))-AL114),"-",LEN(VLOOKUP(A114,Seqs!A:E,2,FALSE))-AL114)</f>
        <v>41</v>
      </c>
      <c r="BB114" s="16">
        <f>J114-D114</f>
        <v>29</v>
      </c>
      <c r="BC114" s="9">
        <f>IF(ISERROR(V114-S114),"-",V114-S114)</f>
        <v>20</v>
      </c>
      <c r="BD114" s="3">
        <f>J114-D114</f>
        <v>29</v>
      </c>
      <c r="BE114" s="3">
        <f>AE114-AB114</f>
        <v>64</v>
      </c>
    </row>
    <row r="115" spans="1:60" s="3" customFormat="1" x14ac:dyDescent="0.2">
      <c r="A115" s="3" t="s">
        <v>217</v>
      </c>
      <c r="B115" s="3" t="str">
        <f>LOWER(VLOOKUP(A115,Xtal_Templ!A:B,2,FALSE))</f>
        <v>hrh1_human</v>
      </c>
      <c r="C115" s="3">
        <f>VLOOKUP($A115,'SegEnds_NonXtal_BW#'!$A:$Z,3,FALSE)+D115-50</f>
        <v>18</v>
      </c>
      <c r="D115" s="3">
        <v>34</v>
      </c>
      <c r="E115" s="3">
        <f>IF(ISERROR(VLOOKUP($A115,'SegEnds_NonXtal_BW#'!$A:$Z,4,FALSE)+VLOOKUP($A115,A:AL,4,FALSE)-50),"-",(VLOOKUP($A115,'SegEnds_NonXtal_BW#'!$A:$Z,4,FALSE)+VLOOKUP($A115,A:AL,4,FALSE)-50))</f>
        <v>44</v>
      </c>
      <c r="F115" s="3">
        <f>G115-2</f>
        <v>45</v>
      </c>
      <c r="G115" s="3">
        <v>47</v>
      </c>
      <c r="H115" s="3">
        <f>G115+1</f>
        <v>48</v>
      </c>
      <c r="I115" s="3">
        <f>H115+1</f>
        <v>49</v>
      </c>
      <c r="J115" s="3">
        <v>62</v>
      </c>
      <c r="K115" s="3">
        <f>VLOOKUP($A115,'SegEnds_NonXtal_BW#'!$A:$Z,8,FALSE)+VLOOKUP($A115,A:AL,10,FALSE)-50</f>
        <v>78</v>
      </c>
      <c r="L115" s="3">
        <f>M115-1</f>
        <v>80</v>
      </c>
      <c r="M115" s="3">
        <v>81</v>
      </c>
      <c r="N115" s="3">
        <f>M115+2</f>
        <v>83</v>
      </c>
      <c r="O115" s="3">
        <f>N115+1</f>
        <v>84</v>
      </c>
      <c r="P115" s="3">
        <v>113</v>
      </c>
      <c r="Q115" s="3">
        <f>VLOOKUP($A115,'SegEnds_NonXtal_BW#'!$A:$Z,12,FALSE)+VLOOKUP($A115,A:AL,16,FALSE)-50</f>
        <v>119</v>
      </c>
      <c r="R115" s="3">
        <f>IF(ISERROR(VLOOKUP($A115,'SegEnds_NonXtal_BW#'!$A:$Z,13,FALSE)+VLOOKUP($A115,A:AL,19,FALSE)-50),"-",VLOOKUP($A115,'SegEnds_NonXtal_BW#'!$A:$Z,13,FALSE)+VLOOKUP($A115,A:AL,19,FALSE)-50)</f>
        <v>120</v>
      </c>
      <c r="S115" s="3">
        <v>120</v>
      </c>
      <c r="T115" s="103">
        <f>IF(ISERROR(VLOOKUP($A115,'SegEnds_NonXtal_BW#'!$A:$Z,14,FALSE)+VLOOKUP($A115,A:AL,19,FALSE)-50),"-",(VLOOKUP($A115,'SegEnds_NonXtal_BW#'!$A:$Z,14,FALSE)+VLOOKUP($A115,A:AL,19,FALSE)-50))</f>
        <v>127</v>
      </c>
      <c r="U115" s="9">
        <f>IF(ISERROR(VLOOKUP($A115,'SegEnds_NonXtal_BW#'!$A:$Z,15,FALSE)+VLOOKUP($A115,A:AL,22,FALSE)-50),"-",VLOOKUP($A115,'SegEnds_NonXtal_BW#'!$A:$Z,15,FALSE)+VLOOKUP($A115,A:AL,22,FALSE)-50)</f>
        <v>128</v>
      </c>
      <c r="V115" s="3">
        <v>140</v>
      </c>
      <c r="W115" s="3">
        <f>IF(ISERROR(VLOOKUP($A115,'SegEnds_NonXtal_BW#'!$A:$Z,16,FALSE)+VLOOKUP($A115,A:AL,22,FALSE)-50),"-",(VLOOKUP($A115,'SegEnds_NonXtal_BW#'!$A:$Z,16,FALSE)+VLOOKUP($A115,A:AL,22,FALSE)-50))</f>
        <v>152</v>
      </c>
      <c r="X115" s="3">
        <f>IF(ISERROR(VLOOKUP($A115,'SegEnds_NonXtal_BW#'!$A:$Z,17,FALSE)+VLOOKUP($A115,A:AL,25,FALSE)-50),"-",(VLOOKUP($A115,'SegEnds_NonXtal_BW#'!$A:$Z,17,FALSE)+VLOOKUP($A115,A:AL,25,FALSE)-50))</f>
        <v>166</v>
      </c>
      <c r="Y115" s="3">
        <v>166</v>
      </c>
      <c r="Z115" s="3">
        <f>Y115+2</f>
        <v>168</v>
      </c>
      <c r="AA115" s="3">
        <f>IF(ISERROR(VLOOKUP($A115,'SegEnds_NonXtal_BW#'!$A:$Z,19,FALSE)+VLOOKUP($A115,A:AL,28,FALSE)-50),"-",(VLOOKUP($A115,'SegEnds_NonXtal_BW#'!$A:$Z,19,FALSE)+VLOOKUP($A115,A:AL,28,FALSE)-50))</f>
        <v>181</v>
      </c>
      <c r="AB115" s="3">
        <v>196</v>
      </c>
      <c r="AC115" s="3">
        <f>IF(ISERROR((VLOOKUP($A115,'SegEnds_NonXtal_BW#'!$A:$Z,20,FALSE)+VLOOKUP($A115,A:AL,28,FALSE)-50)),"-",(VLOOKUP($A115,'SegEnds_NonXtal_BW#'!$A:$Z,20,FALSE)+VLOOKUP($A115,A:AL,28,FALSE)-50))</f>
        <v>214</v>
      </c>
      <c r="AD115" s="3">
        <f>IF(ISERROR(VLOOKUP($A115,'SegEnds_NonXtal_BW#'!$A:$Z,21,FALSE)+VLOOKUP($A115,A:AL,31,FALSE)-50),"-",(VLOOKUP($A115,'SegEnds_NonXtal_BW#'!$A:$Z,21,FALSE)+VLOOKUP($A115,A:AL,31,FALSE)-50))</f>
        <v>218</v>
      </c>
      <c r="AE115" s="3">
        <v>240</v>
      </c>
      <c r="AF115" s="3">
        <f>IF(ISERROR((VLOOKUP($A115,'SegEnds_NonXtal_BW#'!$A:$Z,22,FALSE)+VLOOKUP($A115,A:AL,31,FALSE)-50)),"-",(VLOOKUP($A115,'SegEnds_NonXtal_BW#'!$A:$Z,22,FALSE)+VLOOKUP($A115,A:AL,31,FALSE)-50))</f>
        <v>251</v>
      </c>
      <c r="AG115" s="3">
        <f>IF(ISERROR(VLOOKUP($A115,'SegEnds_NonXtal_BW#'!$A:$Z,23,FALSE)+VLOOKUP($A115,A:AL,34,FALSE)-50),"-",(VLOOKUP($A115,'SegEnds_NonXtal_BW#'!$A:$Z,23,FALSE)+VLOOKUP($A115,A:AL,34,FALSE)-50))</f>
        <v>258</v>
      </c>
      <c r="AH115" s="3">
        <v>280</v>
      </c>
      <c r="AI115" s="3">
        <f>IF(ISERROR((VLOOKUP($A115,'SegEnds_NonXtal_BW#'!$A:$Z,24,FALSE)+VLOOKUP($A115,A:AL,34,FALSE)-50)),"-",(VLOOKUP($A115,'SegEnds_NonXtal_BW#'!$A:$Z,24,FALSE)+VLOOKUP($A115,A:AL,34,FALSE)-50))</f>
        <v>286</v>
      </c>
      <c r="AJ115" s="3">
        <v>288</v>
      </c>
      <c r="AK115" s="3">
        <v>291</v>
      </c>
      <c r="AL115" s="3">
        <v>300</v>
      </c>
      <c r="AM115" s="28" t="str">
        <f>VLOOKUP(A115,Classification!A:B,2,FALSE)</f>
        <v>A</v>
      </c>
      <c r="AN115" s="28" t="b">
        <f>AND(IF(Y115="-",IF(AA115-W115&gt;3,TRUE,FALSE),TRUE),IF(M115="-",IF(O115-K115&gt;3,TRUE,FALSE),TRUE),C115&lt;E115,OR(E115&lt;F115,F115="-"),OR(F115&lt;H115,F115="-"),OR(H115&lt;I115,H115="-"),I115&lt;K115,OR(K115&lt;L115,L115="-"),OR(L115&lt;N115,L115="-"),OR(N115&lt;O115,N115="-"),O115&lt;Q115,OR(Q115&lt;R115,R115="-"),OR(R115&lt;T115,R115="-"),OR(T115&lt;U115,T115="-"),U115&lt;W115,OR(W115&lt;X115,X115="-"),OR(X115&lt;Z115,X115="-"),OR(Z115&lt;AA115,Z115="-"),AA115&lt;AC115,AC115&lt;AD115,AD115&lt;AF115,AF115&lt;AG115,AG115&lt;AI115,OR(AI115&lt;AJ115,AJ115="-"),OR(AJ115&lt;AL115,AJ115="-"))</f>
        <v>1</v>
      </c>
      <c r="AO115" s="3" t="str">
        <f>IF(ISERROR(MATCH(A115,'SegEnds_Xtal_Prot#'!B:B, 0)), "NoXtal", "Xtal")</f>
        <v>NoXtal</v>
      </c>
      <c r="AP115" s="3">
        <f>IF(ISERROR(F115-E115),"-",F115-E115)</f>
        <v>1</v>
      </c>
      <c r="AQ115" s="3">
        <f>IF(ISERROR(I115-H115),"-",I115-H115)</f>
        <v>1</v>
      </c>
      <c r="AR115" s="3">
        <f>IF(ISERROR(L115-K115),"-",L115-K115)</f>
        <v>2</v>
      </c>
      <c r="AS115" s="3">
        <f>IF(ISERROR(O115-N115),"-",O115-N115)</f>
        <v>1</v>
      </c>
      <c r="AT115" s="3">
        <f>IF(ISERROR(R115-Q115),"-",R115-Q115)</f>
        <v>1</v>
      </c>
      <c r="AU115" s="3">
        <f>IF(ISERROR(U115-T115),"-",U115-T115)</f>
        <v>1</v>
      </c>
      <c r="AV115" s="3">
        <f>IF(ISERROR(X115-W115),"-",X115-W115)</f>
        <v>14</v>
      </c>
      <c r="AW115" s="3">
        <f>IF(ISERROR(AA115-Z115),"-",AA115-Z115)</f>
        <v>13</v>
      </c>
      <c r="AX115" s="3">
        <f>IF(ISERROR(AD115-AC115),"-",AD115-AC115)</f>
        <v>4</v>
      </c>
      <c r="AY115" s="3">
        <f>IF(ISERROR(AG115-AF115),"-",AG115-AF115)</f>
        <v>7</v>
      </c>
      <c r="AZ115" s="3">
        <f>IF(ISERROR(AJ115-AI115),"-",AJ115-AI115)</f>
        <v>2</v>
      </c>
      <c r="BA115" s="3">
        <f>IF(ISERROR(LEN(VLOOKUP(A115,Seqs!A:E,2,FALSE))-AL115),"-",LEN(VLOOKUP(A115,Seqs!A:E,2,FALSE))-AL115)</f>
        <v>5</v>
      </c>
      <c r="BB115" s="16">
        <f>J115-D115</f>
        <v>28</v>
      </c>
      <c r="BC115" s="9">
        <f>IF(ISERROR(V115-S115),"-",V115-S115)</f>
        <v>20</v>
      </c>
      <c r="BD115" s="3">
        <f>J115-D115</f>
        <v>28</v>
      </c>
      <c r="BE115" s="3">
        <f>AE115-AB115</f>
        <v>44</v>
      </c>
      <c r="BF115" s="3">
        <f>AH115-AE115</f>
        <v>40</v>
      </c>
    </row>
    <row r="116" spans="1:60" s="3" customFormat="1" x14ac:dyDescent="0.2">
      <c r="A116" s="3" t="s">
        <v>220</v>
      </c>
      <c r="B116" s="3" t="str">
        <f>LOWER(VLOOKUP(A116,Xtal_Templ!A:B,2,FALSE))</f>
        <v>5ht1b_human</v>
      </c>
      <c r="C116" s="3">
        <f>VLOOKUP($A116,'SegEnds_NonXtal_BW#'!$A:$Z,3,FALSE)+D116-50</f>
        <v>46</v>
      </c>
      <c r="D116" s="3">
        <v>67</v>
      </c>
      <c r="E116" s="3">
        <f>IF(ISERROR(VLOOKUP($A116,'SegEnds_NonXtal_BW#'!$A:$Z,4,FALSE)+VLOOKUP($A116,A:AL,4,FALSE)-50),"-",(VLOOKUP($A116,'SegEnds_NonXtal_BW#'!$A:$Z,4,FALSE)+VLOOKUP($A116,A:AL,4,FALSE)-50))</f>
        <v>77</v>
      </c>
      <c r="F116" s="3">
        <f>G116-2</f>
        <v>78</v>
      </c>
      <c r="G116" s="3">
        <v>80</v>
      </c>
      <c r="H116" s="3">
        <f>G116+1</f>
        <v>81</v>
      </c>
      <c r="I116" s="3">
        <f>H116+1</f>
        <v>82</v>
      </c>
      <c r="J116" s="3">
        <v>96</v>
      </c>
      <c r="K116" s="3">
        <f>VLOOKUP($A116,'SegEnds_NonXtal_BW#'!$A:$Z,8,FALSE)+VLOOKUP($A116,A:AL,10,FALSE)-50</f>
        <v>112</v>
      </c>
      <c r="L116" s="3">
        <f>M116-1</f>
        <v>113</v>
      </c>
      <c r="M116" s="3">
        <v>114</v>
      </c>
      <c r="N116" s="3">
        <f>M116+2</f>
        <v>116</v>
      </c>
      <c r="O116" s="3">
        <f>N116+1</f>
        <v>117</v>
      </c>
      <c r="P116" s="3">
        <v>146</v>
      </c>
      <c r="Q116" s="3">
        <f>VLOOKUP($A116,'SegEnds_NonXtal_BW#'!$A:$Z,12,FALSE)+VLOOKUP($A116,A:AL,16,FALSE)-50</f>
        <v>152</v>
      </c>
      <c r="R116" s="3">
        <f>IF(ISERROR(VLOOKUP($A116,'SegEnds_NonXtal_BW#'!$A:$Z,13,FALSE)+VLOOKUP($A116,A:AL,19,FALSE)-50),"-",VLOOKUP($A116,'SegEnds_NonXtal_BW#'!$A:$Z,13,FALSE)+VLOOKUP($A116,A:AL,19,FALSE)-50)</f>
        <v>153</v>
      </c>
      <c r="S116" s="3">
        <v>153</v>
      </c>
      <c r="T116" s="103">
        <f>IF(ISERROR(VLOOKUP($A116,'SegEnds_NonXtal_BW#'!$A:$Z,14,FALSE)+VLOOKUP($A116,A:AL,19,FALSE)-50),"-",(VLOOKUP($A116,'SegEnds_NonXtal_BW#'!$A:$Z,14,FALSE)+VLOOKUP($A116,A:AL,19,FALSE)-50))</f>
        <v>160</v>
      </c>
      <c r="U116" s="9">
        <f>IF(ISERROR(VLOOKUP($A116,'SegEnds_NonXtal_BW#'!$A:$Z,15,FALSE)+VLOOKUP($A116,A:AL,22,FALSE)-50),"-",VLOOKUP($A116,'SegEnds_NonXtal_BW#'!$A:$Z,15,FALSE)+VLOOKUP($A116,A:AL,22,FALSE)-50)</f>
        <v>161</v>
      </c>
      <c r="V116" s="3">
        <v>173</v>
      </c>
      <c r="W116" s="3">
        <f>IF(ISERROR(VLOOKUP($A116,'SegEnds_NonXtal_BW#'!$A:$Z,16,FALSE)+VLOOKUP($A116,A:AL,22,FALSE)-50),"-",(VLOOKUP($A116,'SegEnds_NonXtal_BW#'!$A:$Z,16,FALSE)+VLOOKUP($A116,A:AL,22,FALSE)-50))</f>
        <v>186</v>
      </c>
      <c r="X116" s="3" t="str">
        <f>IF(ISERROR(VLOOKUP($A116,'SegEnds_NonXtal_BW#'!$A:$Z,17,FALSE)+VLOOKUP($A116,A:AL,25,FALSE)-50),"-",(VLOOKUP($A116,'SegEnds_NonXtal_BW#'!$A:$Z,17,FALSE)+VLOOKUP($A116,A:AL,25,FALSE)-50))</f>
        <v>-</v>
      </c>
      <c r="Y116" s="3" t="s">
        <v>23</v>
      </c>
      <c r="Z116" s="3" t="str">
        <f>IF(ISERROR(VLOOKUP($A116,'SegEnds_NonXtal_BW#'!$A:$Z,18,FALSE)+VLOOKUP($A116,A:AL,25,FALSE)-50),"-",(VLOOKUP($A116,'SegEnds_NonXtal_BW#'!$A:$Z,18,FALSE)+VLOOKUP($A116,A:AL,25,FALSE)-50))</f>
        <v>-</v>
      </c>
      <c r="AA116" s="3">
        <f>IF(ISERROR(VLOOKUP($A116,'SegEnds_NonXtal_BW#'!$A:$Z,19,FALSE)+VLOOKUP($A116,A:AL,28,FALSE)-50),"-",(VLOOKUP($A116,'SegEnds_NonXtal_BW#'!$A:$Z,19,FALSE)+VLOOKUP($A116,A:AL,28,FALSE)-50))</f>
        <v>196</v>
      </c>
      <c r="AB116" s="3">
        <v>211</v>
      </c>
      <c r="AC116" s="3">
        <f>IF(ISERROR((VLOOKUP($A116,'SegEnds_NonXtal_BW#'!$A:$Z,20,FALSE)+VLOOKUP($A116,A:AL,28,FALSE)-50)),"-",(VLOOKUP($A116,'SegEnds_NonXtal_BW#'!$A:$Z,20,FALSE)+VLOOKUP($A116,A:AL,28,FALSE)-50))</f>
        <v>237</v>
      </c>
      <c r="AD116" s="3">
        <f>IF(ISERROR(VLOOKUP($A116,'SegEnds_NonXtal_BW#'!$A:$Z,21,FALSE)+VLOOKUP($A116,A:AL,31,FALSE)-50),"-",(VLOOKUP($A116,'SegEnds_NonXtal_BW#'!$A:$Z,21,FALSE)+VLOOKUP($A116,A:AL,31,FALSE)-50))</f>
        <v>253</v>
      </c>
      <c r="AE116" s="3">
        <v>279</v>
      </c>
      <c r="AF116" s="3">
        <f>IF(ISERROR((VLOOKUP($A116,'SegEnds_NonXtal_BW#'!$A:$Z,22,FALSE)+VLOOKUP($A116,A:AL,31,FALSE)-50)),"-",(VLOOKUP($A116,'SegEnds_NonXtal_BW#'!$A:$Z,22,FALSE)+VLOOKUP($A116,A:AL,31,FALSE)-50))</f>
        <v>287</v>
      </c>
      <c r="AG116" s="3">
        <f>IF(ISERROR(VLOOKUP($A116,'SegEnds_NonXtal_BW#'!$A:$Z,23,FALSE)+VLOOKUP($A116,A:AL,34,FALSE)-50),"-",(VLOOKUP($A116,'SegEnds_NonXtal_BW#'!$A:$Z,23,FALSE)+VLOOKUP($A116,A:AL,34,FALSE)-50))</f>
        <v>295</v>
      </c>
      <c r="AH116" s="3">
        <v>309</v>
      </c>
      <c r="AI116" s="3">
        <v>316</v>
      </c>
      <c r="AJ116" s="3">
        <f>IF(ISERROR(VLOOKUP($A116,'SegEnds_NonXtal_BW#'!$A:$Z,25,FALSE)+VLOOKUP($A116,A:AL,37,FALSE)-50),"-",(VLOOKUP($A116,'SegEnds_NonXtal_BW#'!$A:$Z,25,FALSE)+VLOOKUP($A116,A:AL,37,FALSE)-50))</f>
        <v>317</v>
      </c>
      <c r="AK116" s="3">
        <v>320</v>
      </c>
      <c r="AL116" s="3">
        <f>IF(ISERROR((VLOOKUP($A116,'SegEnds_NonXtal_BW#'!$A:$Z,26,FALSE)+VLOOKUP($A116,A:AL,37,FALSE)-50)),"-",(VLOOKUP($A116,'SegEnds_NonXtal_BW#'!$A:$Z,26,FALSE)+VLOOKUP($A116,A:AL,37,FALSE)-50))</f>
        <v>328</v>
      </c>
      <c r="AM116" s="28" t="str">
        <f>VLOOKUP(A116,Classification!A:B,2,FALSE)</f>
        <v>A</v>
      </c>
      <c r="AN116" s="28" t="b">
        <f>AND(IF(Y116="-",IF(AA116-W116&gt;3,TRUE,FALSE),TRUE),IF(M116="-",IF(O116-K116&gt;3,TRUE,FALSE),TRUE),C116&lt;E116,OR(E116&lt;F116,F116="-"),OR(F116&lt;H116,F116="-"),OR(H116&lt;I116,H116="-"),I116&lt;K116,OR(K116&lt;L116,L116="-"),OR(L116&lt;N116,L116="-"),OR(N116&lt;O116,N116="-"),O116&lt;Q116,OR(Q116&lt;R116,R116="-"),OR(R116&lt;T116,R116="-"),OR(T116&lt;U116,T116="-"),U116&lt;W116,OR(W116&lt;X116,X116="-"),OR(X116&lt;Z116,X116="-"),OR(Z116&lt;AA116,Z116="-"),AA116&lt;AC116,AC116&lt;AD116,AD116&lt;AF116,AF116&lt;AG116,AG116&lt;AI116,OR(AI116&lt;AJ116,AJ116="-"),OR(AJ116&lt;AL116,AJ116="-"))</f>
        <v>1</v>
      </c>
      <c r="AO116" s="3" t="str">
        <f>IF(ISERROR(MATCH(A116,'SegEnds_Xtal_Prot#'!B:B, 0)), "NoXtal", "Xtal")</f>
        <v>NoXtal</v>
      </c>
      <c r="AP116" s="3">
        <f>IF(ISERROR(F116-E116),"-",F116-E116)</f>
        <v>1</v>
      </c>
      <c r="AQ116" s="3">
        <f>IF(ISERROR(I116-H116),"-",I116-H116)</f>
        <v>1</v>
      </c>
      <c r="AR116" s="3">
        <f>IF(ISERROR(L116-K116),"-",L116-K116)</f>
        <v>1</v>
      </c>
      <c r="AS116" s="3">
        <f>IF(ISERROR(O116-N116),"-",O116-N116)</f>
        <v>1</v>
      </c>
      <c r="AT116" s="3">
        <f>IF(ISERROR(R116-Q116),"-",R116-Q116)</f>
        <v>1</v>
      </c>
      <c r="AU116" s="3">
        <f>IF(ISERROR(U116-T116),"-",U116-T116)</f>
        <v>1</v>
      </c>
      <c r="AV116" s="3" t="str">
        <f>IF(ISERROR(X116-W116),"-",X116-W116)</f>
        <v>-</v>
      </c>
      <c r="AW116" s="3" t="str">
        <f>IF(ISERROR(AA116-Z116),"-",AA116-Z116)</f>
        <v>-</v>
      </c>
      <c r="AX116" s="3">
        <f>IF(ISERROR(AD116-AC116),"-",AD116-AC116)</f>
        <v>16</v>
      </c>
      <c r="AY116" s="3">
        <f>IF(ISERROR(AG116-AF116),"-",AG116-AF116)</f>
        <v>8</v>
      </c>
      <c r="AZ116" s="3">
        <f>IF(ISERROR(AJ116-AI116),"-",AJ116-AI116)</f>
        <v>1</v>
      </c>
      <c r="BA116" s="3">
        <f>IF(ISERROR(LEN(VLOOKUP(A116,Seqs!A:E,2,FALSE))-AL116),"-",LEN(VLOOKUP(A116,Seqs!A:E,2,FALSE))-AL116)</f>
        <v>19</v>
      </c>
      <c r="BB116" s="16">
        <f>J116-D116</f>
        <v>29</v>
      </c>
      <c r="BC116" s="9">
        <f>IF(ISERROR(V116-S116),"-",V116-S116)</f>
        <v>20</v>
      </c>
      <c r="BD116" s="3">
        <f>J116-D116</f>
        <v>29</v>
      </c>
      <c r="BE116" s="3">
        <f>AE116-AB116</f>
        <v>68</v>
      </c>
      <c r="BF116" s="3">
        <f>AH116-AE116</f>
        <v>30</v>
      </c>
    </row>
    <row r="117" spans="1:60" s="3" customFormat="1" x14ac:dyDescent="0.2">
      <c r="A117" s="3" t="s">
        <v>224</v>
      </c>
      <c r="B117" s="3" t="str">
        <f>LOWER(VLOOKUP(A117,Xtal_Templ!A:B,2,FALSE))</f>
        <v>ntr1_rat</v>
      </c>
      <c r="C117" s="3">
        <f>VLOOKUP($A117,'SegEnds_NonXtal_BW#'!$A:$Z,3,FALSE)+D117-50</f>
        <v>26</v>
      </c>
      <c r="D117" s="3">
        <v>47</v>
      </c>
      <c r="E117" s="3">
        <f>IF(ISERROR(VLOOKUP($A117,'SegEnds_NonXtal_BW#'!$A:$Z,4,FALSE)+VLOOKUP($A117,A:AL,4,FALSE)-50),"-",(VLOOKUP($A117,'SegEnds_NonXtal_BW#'!$A:$Z,4,FALSE)+VLOOKUP($A117,A:AL,4,FALSE)-50))</f>
        <v>57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64</v>
      </c>
      <c r="J117" s="3">
        <v>77</v>
      </c>
      <c r="K117" s="3">
        <f>VLOOKUP($A117,'SegEnds_NonXtal_BW#'!$A:$Z,8,FALSE)+VLOOKUP($A117,A:AL,10,FALSE)-50</f>
        <v>94</v>
      </c>
      <c r="L117" s="3">
        <f>M117-1</f>
        <v>96</v>
      </c>
      <c r="M117" s="3">
        <v>97</v>
      </c>
      <c r="N117" s="3">
        <f>M117+2</f>
        <v>99</v>
      </c>
      <c r="O117" s="3">
        <f>N117+1</f>
        <v>100</v>
      </c>
      <c r="P117" s="3">
        <v>129</v>
      </c>
      <c r="Q117" s="3">
        <f>VLOOKUP($A117,'SegEnds_NonXtal_BW#'!$A:$Z,12,FALSE)+VLOOKUP($A117,A:AL,16,FALSE)-50</f>
        <v>135</v>
      </c>
      <c r="R117" s="3">
        <f>IF(ISERROR(VLOOKUP($A117,'SegEnds_NonXtal_BW#'!$A:$Z,13,FALSE)+VLOOKUP($A117,A:AL,19,FALSE)-50),"-",VLOOKUP($A117,'SegEnds_NonXtal_BW#'!$A:$Z,13,FALSE)+VLOOKUP($A117,A:AL,19,FALSE)-50)</f>
        <v>136</v>
      </c>
      <c r="S117" s="3">
        <v>136</v>
      </c>
      <c r="T117" s="103">
        <f>IF(ISERROR(VLOOKUP($A117,'SegEnds_NonXtal_BW#'!$A:$Z,14,FALSE)+VLOOKUP($A117,A:AL,19,FALSE)-50),"-",(VLOOKUP($A117,'SegEnds_NonXtal_BW#'!$A:$Z,14,FALSE)+VLOOKUP($A117,A:AL,19,FALSE)-50))</f>
        <v>143</v>
      </c>
      <c r="U117" s="9">
        <f>IF(ISERROR(VLOOKUP($A117,'SegEnds_NonXtal_BW#'!$A:$Z,15,FALSE)+VLOOKUP($A117,A:AL,22,FALSE)-50),"-",VLOOKUP($A117,'SegEnds_NonXtal_BW#'!$A:$Z,15,FALSE)+VLOOKUP($A117,A:AL,22,FALSE)-50)</f>
        <v>144</v>
      </c>
      <c r="V117" s="3">
        <v>156</v>
      </c>
      <c r="W117" s="3">
        <f>IF(ISERROR(VLOOKUP($A117,'SegEnds_NonXtal_BW#'!$A:$Z,16,FALSE)+VLOOKUP($A117,A:AL,22,FALSE)-50),"-",(VLOOKUP($A117,'SegEnds_NonXtal_BW#'!$A:$Z,16,FALSE)+VLOOKUP($A117,A:AL,22,FALSE)-50))</f>
        <v>170</v>
      </c>
      <c r="X117" s="3">
        <f>IF(ISERROR(VLOOKUP($A117,'SegEnds_NonXtal_BW#'!$A:$Z,17,FALSE)+VLOOKUP($A117,A:AL,25,FALSE)-50),"-",(VLOOKUP($A117,'SegEnds_NonXtal_BW#'!$A:$Z,17,FALSE)+VLOOKUP($A117,A:AL,25,FALSE)-50))</f>
        <v>182</v>
      </c>
      <c r="Y117" s="3">
        <v>182</v>
      </c>
      <c r="Z117" s="3">
        <f>Y117+2</f>
        <v>184</v>
      </c>
      <c r="AA117" s="3">
        <f>IF(ISERROR(VLOOKUP($A117,'SegEnds_NonXtal_BW#'!$A:$Z,19,FALSE)+VLOOKUP($A117,A:AL,28,FALSE)-50),"-",(VLOOKUP($A117,'SegEnds_NonXtal_BW#'!$A:$Z,19,FALSE)+VLOOKUP($A117,A:AL,28,FALSE)-50))</f>
        <v>189</v>
      </c>
      <c r="AB117" s="3">
        <v>204</v>
      </c>
      <c r="AC117" s="3">
        <f>IF(ISERROR((VLOOKUP($A117,'SegEnds_NonXtal_BW#'!$A:$Z,20,FALSE)+VLOOKUP($A117,A:AL,28,FALSE)-50)),"-",(VLOOKUP($A117,'SegEnds_NonXtal_BW#'!$A:$Z,20,FALSE)+VLOOKUP($A117,A:AL,28,FALSE)-50))</f>
        <v>222</v>
      </c>
      <c r="AD117" s="3">
        <f>IF(ISERROR(VLOOKUP($A117,'SegEnds_NonXtal_BW#'!$A:$Z,21,FALSE)+VLOOKUP($A117,A:AL,31,FALSE)-50),"-",(VLOOKUP($A117,'SegEnds_NonXtal_BW#'!$A:$Z,21,FALSE)+VLOOKUP($A117,A:AL,31,FALSE)-50))</f>
        <v>226</v>
      </c>
      <c r="AE117" s="3">
        <v>252</v>
      </c>
      <c r="AF117" s="3">
        <f>IF(ISERROR((VLOOKUP($A117,'SegEnds_NonXtal_BW#'!$A:$Z,22,FALSE)+VLOOKUP($A117,A:AL,31,FALSE)-50)),"-",(VLOOKUP($A117,'SegEnds_NonXtal_BW#'!$A:$Z,22,FALSE)+VLOOKUP($A117,A:AL,31,FALSE)-50))</f>
        <v>263</v>
      </c>
      <c r="AG117" s="3">
        <f>IF(ISERROR(VLOOKUP($A117,'SegEnds_NonXtal_BW#'!$A:$Z,23,FALSE)+VLOOKUP($A117,A:AL,34,FALSE)-50),"-",(VLOOKUP($A117,'SegEnds_NonXtal_BW#'!$A:$Z,23,FALSE)+VLOOKUP($A117,A:AL,34,FALSE)-50))</f>
        <v>270</v>
      </c>
      <c r="AH117" s="3">
        <v>292</v>
      </c>
      <c r="AI117" s="3">
        <f>IF(ISERROR((VLOOKUP($A117,'SegEnds_NonXtal_BW#'!$A:$Z,24,FALSE)+VLOOKUP($A117,A:AL,34,FALSE)-50)),"-",(VLOOKUP($A117,'SegEnds_NonXtal_BW#'!$A:$Z,24,FALSE)+VLOOKUP($A117,A:AL,34,FALSE)-50))</f>
        <v>298</v>
      </c>
      <c r="AJ117" s="3">
        <f>IF(ISERROR(VLOOKUP($A117,'SegEnds_NonXtal_BW#'!$A:$Z,25,FALSE)+VLOOKUP($A117,A:AL,37,FALSE)-50),"-",(VLOOKUP($A117,'SegEnds_NonXtal_BW#'!$A:$Z,25,FALSE)+VLOOKUP($A117,A:AL,37,FALSE)-50))</f>
        <v>299</v>
      </c>
      <c r="AK117" s="3">
        <v>302</v>
      </c>
      <c r="AL117" s="3">
        <f>IF(ISERROR((VLOOKUP($A117,'SegEnds_NonXtal_BW#'!$A:$Z,26,FALSE)+VLOOKUP($A117,A:AL,37,FALSE)-50)),"-",(VLOOKUP($A117,'SegEnds_NonXtal_BW#'!$A:$Z,26,FALSE)+VLOOKUP($A117,A:AL,37,FALSE)-50))</f>
        <v>310</v>
      </c>
      <c r="AM117" s="28" t="str">
        <f>VLOOKUP(A117,Classification!A:B,2,FALSE)</f>
        <v>A</v>
      </c>
      <c r="AN117" s="28" t="b">
        <f>AND(IF(Y117="-",IF(AA117-W117&gt;3,TRUE,FALSE),TRUE),IF(M117="-",IF(O117-K117&gt;3,TRUE,FALSE),TRUE),C117&lt;E117,OR(E117&lt;F117,F117="-"),OR(F117&lt;H117,F117="-"),OR(H117&lt;I117,H117="-"),I117&lt;K117,OR(K117&lt;L117,L117="-"),OR(L117&lt;N117,L117="-"),OR(N117&lt;O117,N117="-"),O117&lt;Q117,OR(Q117&lt;R117,R117="-"),OR(R117&lt;T117,R117="-"),OR(T117&lt;U117,T117="-"),U117&lt;W117,OR(W117&lt;X117,X117="-"),OR(X117&lt;Z117,X117="-"),OR(Z117&lt;AA117,Z117="-"),AA117&lt;AC117,AC117&lt;AD117,AD117&lt;AF117,AF117&lt;AG117,AG117&lt;AI117,OR(AI117&lt;AJ117,AJ117="-"),OR(AJ117&lt;AL117,AJ117="-"))</f>
        <v>1</v>
      </c>
      <c r="AO117" s="3" t="str">
        <f>IF(ISERROR(MATCH(A117,'SegEnds_Xtal_Prot#'!B:B, 0)), "NoXtal", "Xtal")</f>
        <v>NoXtal</v>
      </c>
      <c r="AP117" s="3" t="str">
        <f>IF(ISERROR(F117-E117),"-",F117-E117)</f>
        <v>-</v>
      </c>
      <c r="AQ117" s="3" t="str">
        <f>IF(ISERROR(I117-H117),"-",I117-H117)</f>
        <v>-</v>
      </c>
      <c r="AR117" s="3">
        <f>IF(ISERROR(L117-K117),"-",L117-K117)</f>
        <v>2</v>
      </c>
      <c r="AS117" s="3">
        <f>IF(ISERROR(O117-N117),"-",O117-N117)</f>
        <v>1</v>
      </c>
      <c r="AT117" s="3">
        <f>IF(ISERROR(R117-Q117),"-",R117-Q117)</f>
        <v>1</v>
      </c>
      <c r="AU117" s="3">
        <f>IF(ISERROR(U117-T117),"-",U117-T117)</f>
        <v>1</v>
      </c>
      <c r="AV117" s="3">
        <f>IF(ISERROR(X117-W117),"-",X117-W117)</f>
        <v>12</v>
      </c>
      <c r="AW117" s="3">
        <f>IF(ISERROR(AA117-Z117),"-",AA117-Z117)</f>
        <v>5</v>
      </c>
      <c r="AX117" s="3">
        <f>IF(ISERROR(AD117-AC117),"-",AD117-AC117)</f>
        <v>4</v>
      </c>
      <c r="AY117" s="3">
        <f>IF(ISERROR(AG117-AF117),"-",AG117-AF117)</f>
        <v>7</v>
      </c>
      <c r="AZ117" s="3">
        <f>IF(ISERROR(AJ117-AI117),"-",AJ117-AI117)</f>
        <v>1</v>
      </c>
      <c r="BA117" s="3">
        <f>IF(ISERROR(LEN(VLOOKUP(A117,Seqs!A:E,2,FALSE))-AL117),"-",LEN(VLOOKUP(A117,Seqs!A:E,2,FALSE))-AL117)</f>
        <v>160</v>
      </c>
      <c r="BB117" s="16">
        <f>J117-D117</f>
        <v>30</v>
      </c>
      <c r="BC117" s="9">
        <f>IF(ISERROR(V117-S117),"-",V117-S117)</f>
        <v>20</v>
      </c>
      <c r="BD117" s="3">
        <f>J117-D117</f>
        <v>30</v>
      </c>
      <c r="BE117" s="3">
        <f>AE117-AB117</f>
        <v>48</v>
      </c>
    </row>
    <row r="118" spans="1:60" s="3" customFormat="1" x14ac:dyDescent="0.2">
      <c r="A118" s="3" t="s">
        <v>225</v>
      </c>
      <c r="B118" s="3" t="str">
        <f>LOWER(VLOOKUP(A118,Xtal_Templ!A:B,2,FALSE))</f>
        <v>ox2r_human</v>
      </c>
      <c r="C118" s="3">
        <f>VLOOKUP($A118,'SegEnds_NonXtal_BW#'!$A:$Z,3,FALSE)+D118-50</f>
        <v>6</v>
      </c>
      <c r="D118" s="3">
        <v>25</v>
      </c>
      <c r="E118" s="3">
        <f>IF(ISERROR(VLOOKUP($A118,'SegEnds_NonXtal_BW#'!$A:$Z,4,FALSE)+VLOOKUP($A118,A:AL,4,FALSE)-50),"-",(VLOOKUP($A118,'SegEnds_NonXtal_BW#'!$A:$Z,4,FALSE)+VLOOKUP($A118,A:AL,4,FALSE)-50))</f>
        <v>35</v>
      </c>
      <c r="F118" s="3">
        <f>G118-2</f>
        <v>36</v>
      </c>
      <c r="G118" s="3">
        <v>38</v>
      </c>
      <c r="H118" s="3">
        <f>G118+1</f>
        <v>39</v>
      </c>
      <c r="I118" s="3">
        <f>H118+1</f>
        <v>40</v>
      </c>
      <c r="J118" s="108">
        <v>52</v>
      </c>
      <c r="K118" s="3">
        <f>VLOOKUP($A118,'SegEnds_NonXtal_BW#'!$A:$Z,8,FALSE)+VLOOKUP($A118,A:AL,10,FALSE)-50</f>
        <v>69</v>
      </c>
      <c r="L118" s="3">
        <f>M118-1</f>
        <v>75</v>
      </c>
      <c r="M118" s="3">
        <v>76</v>
      </c>
      <c r="N118" s="3">
        <f>M118+2</f>
        <v>78</v>
      </c>
      <c r="O118" s="3">
        <f>N118+1</f>
        <v>79</v>
      </c>
      <c r="P118" s="3">
        <v>108</v>
      </c>
      <c r="Q118" s="3">
        <f>VLOOKUP($A118,'SegEnds_NonXtal_BW#'!$A:$Z,12,FALSE)+VLOOKUP($A118,A:AL,16,FALSE)-50</f>
        <v>114</v>
      </c>
      <c r="R118" s="3">
        <f>IF(ISERROR(VLOOKUP($A118,'SegEnds_NonXtal_BW#'!$A:$Z,13,FALSE)+VLOOKUP($A118,A:AL,19,FALSE)-50),"-",VLOOKUP($A118,'SegEnds_NonXtal_BW#'!$A:$Z,13,FALSE)+VLOOKUP($A118,A:AL,19,FALSE)-50)</f>
        <v>115</v>
      </c>
      <c r="S118" s="3">
        <v>115</v>
      </c>
      <c r="T118" s="103">
        <f>IF(ISERROR(VLOOKUP($A118,'SegEnds_NonXtal_BW#'!$A:$Z,14,FALSE)+VLOOKUP($A118,A:AL,19,FALSE)-50),"-",(VLOOKUP($A118,'SegEnds_NonXtal_BW#'!$A:$Z,14,FALSE)+VLOOKUP($A118,A:AL,19,FALSE)-50))</f>
        <v>122</v>
      </c>
      <c r="U118" s="9">
        <f>IF(ISERROR(VLOOKUP($A118,'SegEnds_NonXtal_BW#'!$A:$Z,15,FALSE)+VLOOKUP($A118,A:AL,22,FALSE)-50),"-",VLOOKUP($A118,'SegEnds_NonXtal_BW#'!$A:$Z,15,FALSE)+VLOOKUP($A118,A:AL,22,FALSE)-50)</f>
        <v>123</v>
      </c>
      <c r="V118" s="3">
        <v>135</v>
      </c>
      <c r="W118" s="3">
        <f>IF(ISERROR(VLOOKUP($A118,'SegEnds_NonXtal_BW#'!$A:$Z,16,FALSE)+VLOOKUP($A118,A:AL,22,FALSE)-50),"-",(VLOOKUP($A118,'SegEnds_NonXtal_BW#'!$A:$Z,16,FALSE)+VLOOKUP($A118,A:AL,22,FALSE)-50))</f>
        <v>148</v>
      </c>
      <c r="X118" s="3">
        <f>IF(ISERROR(VLOOKUP($A118,'SegEnds_NonXtal_BW#'!$A:$Z,17,FALSE)+VLOOKUP($A118,A:AL,25,FALSE)-50),"-",(VLOOKUP($A118,'SegEnds_NonXtal_BW#'!$A:$Z,17,FALSE)+VLOOKUP($A118,A:AL,25,FALSE)-50))</f>
        <v>161</v>
      </c>
      <c r="Y118" s="3">
        <v>161</v>
      </c>
      <c r="Z118" s="3">
        <f>Y118+2</f>
        <v>163</v>
      </c>
      <c r="AA118" s="3">
        <f>IF(ISERROR(VLOOKUP($A118,'SegEnds_NonXtal_BW#'!$A:$Z,19,FALSE)+VLOOKUP($A118,A:AL,28,FALSE)-50),"-",(VLOOKUP($A118,'SegEnds_NonXtal_BW#'!$A:$Z,19,FALSE)+VLOOKUP($A118,A:AL,28,FALSE)-50))</f>
        <v>169</v>
      </c>
      <c r="AB118" s="3">
        <v>184</v>
      </c>
      <c r="AC118" s="3">
        <f>IF(ISERROR((VLOOKUP($A118,'SegEnds_NonXtal_BW#'!$A:$Z,20,FALSE)+VLOOKUP($A118,A:AL,28,FALSE)-50)),"-",(VLOOKUP($A118,'SegEnds_NonXtal_BW#'!$A:$Z,20,FALSE)+VLOOKUP($A118,A:AL,28,FALSE)-50))</f>
        <v>210</v>
      </c>
      <c r="AD118" s="3">
        <f>IF(ISERROR(VLOOKUP($A118,'SegEnds_NonXtal_BW#'!$A:$Z,21,FALSE)+VLOOKUP($A118,A:AL,31,FALSE)-50),"-",(VLOOKUP($A118,'SegEnds_NonXtal_BW#'!$A:$Z,21,FALSE)+VLOOKUP($A118,A:AL,31,FALSE)-50))</f>
        <v>234</v>
      </c>
      <c r="AE118" s="3">
        <v>260</v>
      </c>
      <c r="AF118" s="3">
        <f>IF(ISERROR((VLOOKUP($A118,'SegEnds_NonXtal_BW#'!$A:$Z,22,FALSE)+VLOOKUP($A118,A:AL,31,FALSE)-50)),"-",(VLOOKUP($A118,'SegEnds_NonXtal_BW#'!$A:$Z,22,FALSE)+VLOOKUP($A118,A:AL,31,FALSE)-50))</f>
        <v>271</v>
      </c>
      <c r="AG118" s="3">
        <f>IF(ISERROR(VLOOKUP($A118,'SegEnds_NonXtal_BW#'!$A:$Z,23,FALSE)+VLOOKUP($A118,A:AL,34,FALSE)-50),"-",(VLOOKUP($A118,'SegEnds_NonXtal_BW#'!$A:$Z,23,FALSE)+VLOOKUP($A118,A:AL,34,FALSE)-50))</f>
        <v>276</v>
      </c>
      <c r="AH118" s="3">
        <v>294</v>
      </c>
      <c r="AI118" s="3">
        <v>299</v>
      </c>
      <c r="AJ118" s="3">
        <f>IF(ISERROR(VLOOKUP($A118,'SegEnds_NonXtal_BW#'!$A:$Z,25,FALSE)+VLOOKUP($A118,A:AL,37,FALSE)-50),"-",(VLOOKUP($A118,'SegEnds_NonXtal_BW#'!$A:$Z,25,FALSE)+VLOOKUP($A118,A:AL,37,FALSE)-50))</f>
        <v>300</v>
      </c>
      <c r="AK118" s="3">
        <v>303</v>
      </c>
      <c r="AL118" s="3">
        <f>IF(ISERROR((VLOOKUP($A118,'SegEnds_NonXtal_BW#'!$A:$Z,26,FALSE)+VLOOKUP($A118,A:AL,37,FALSE)-50)),"-",(VLOOKUP($A118,'SegEnds_NonXtal_BW#'!$A:$Z,26,FALSE)+VLOOKUP($A118,A:AL,37,FALSE)-50))</f>
        <v>311</v>
      </c>
      <c r="AM118" s="28" t="str">
        <f>VLOOKUP(A118,Classification!A:B,2,FALSE)</f>
        <v>A</v>
      </c>
      <c r="AN118" s="28" t="b">
        <f>AND(IF(Y118="-",IF(AA118-W118&gt;3,TRUE,FALSE),TRUE),IF(M118="-",IF(O118-K118&gt;3,TRUE,FALSE),TRUE),C118&lt;E118,OR(E118&lt;F118,F118="-"),OR(F118&lt;H118,F118="-"),OR(H118&lt;I118,H118="-"),I118&lt;K118,OR(K118&lt;L118,L118="-"),OR(L118&lt;N118,L118="-"),OR(N118&lt;O118,N118="-"),O118&lt;Q118,OR(Q118&lt;R118,R118="-"),OR(R118&lt;T118,R118="-"),OR(T118&lt;U118,T118="-"),U118&lt;W118,OR(W118&lt;X118,X118="-"),OR(X118&lt;Z118,X118="-"),OR(Z118&lt;AA118,Z118="-"),AA118&lt;AC118,AC118&lt;AD118,AD118&lt;AF118,AF118&lt;AG118,AG118&lt;AI118,OR(AI118&lt;AJ118,AJ118="-"),OR(AJ118&lt;AL118,AJ118="-"))</f>
        <v>1</v>
      </c>
      <c r="AO118" s="3" t="str">
        <f>IF(ISERROR(MATCH(A118,'SegEnds_Xtal_Prot#'!B:B, 0)), "NoXtal", "Xtal")</f>
        <v>NoXtal</v>
      </c>
      <c r="AP118" s="3">
        <f>IF(ISERROR(F118-E118),"-",F118-E118)</f>
        <v>1</v>
      </c>
      <c r="AQ118" s="3">
        <f>IF(ISERROR(I118-H118),"-",I118-H118)</f>
        <v>1</v>
      </c>
      <c r="AR118" s="3">
        <f>IF(ISERROR(L118-K118),"-",L118-K118)</f>
        <v>6</v>
      </c>
      <c r="AS118" s="3">
        <f>IF(ISERROR(O118-N118),"-",O118-N118)</f>
        <v>1</v>
      </c>
      <c r="AT118" s="3">
        <f>IF(ISERROR(R118-Q118),"-",R118-Q118)</f>
        <v>1</v>
      </c>
      <c r="AU118" s="3">
        <f>IF(ISERROR(U118-T118),"-",U118-T118)</f>
        <v>1</v>
      </c>
      <c r="AV118" s="3">
        <f>IF(ISERROR(X118-W118),"-",X118-W118)</f>
        <v>13</v>
      </c>
      <c r="AW118" s="3">
        <f>IF(ISERROR(AA118-Z118),"-",AA118-Z118)</f>
        <v>6</v>
      </c>
      <c r="AX118" s="3">
        <f>IF(ISERROR(AD118-AC118),"-",AD118-AC118)</f>
        <v>24</v>
      </c>
      <c r="AY118" s="3">
        <f>IF(ISERROR(AG118-AF118),"-",AG118-AF118)</f>
        <v>5</v>
      </c>
      <c r="AZ118" s="3">
        <f>IF(ISERROR(AJ118-AI118),"-",AJ118-AI118)</f>
        <v>1</v>
      </c>
      <c r="BA118" s="3">
        <f>IF(ISERROR(LEN(VLOOKUP(A118,Seqs!A:E,2,FALSE))-AL118),"-",LEN(VLOOKUP(A118,Seqs!A:E,2,FALSE))-AL118)</f>
        <v>298</v>
      </c>
      <c r="BB118" s="16">
        <f>J118-D118</f>
        <v>27</v>
      </c>
      <c r="BC118" s="9">
        <f>IF(ISERROR(V118-S118),"-",V118-S118)</f>
        <v>20</v>
      </c>
      <c r="BD118" s="3">
        <f>J118-D118</f>
        <v>27</v>
      </c>
      <c r="BE118" s="3">
        <f>AE118-AB118</f>
        <v>76</v>
      </c>
    </row>
    <row r="119" spans="1:60" s="3" customFormat="1" x14ac:dyDescent="0.2">
      <c r="A119" s="3" t="s">
        <v>227</v>
      </c>
      <c r="B119" s="3" t="str">
        <f>LOWER(VLOOKUP(A119,Xtal_Templ!A:B,2,FALSE))</f>
        <v>5ht1b_human</v>
      </c>
      <c r="C119" s="3">
        <f>VLOOKUP($A119,'SegEnds_NonXtal_BW#'!$A:$Z,3,FALSE)+D119-50</f>
        <v>24</v>
      </c>
      <c r="D119" s="3">
        <v>45</v>
      </c>
      <c r="E119" s="3">
        <f>IF(ISERROR(VLOOKUP($A119,'SegEnds_NonXtal_BW#'!$A:$Z,4,FALSE)+VLOOKUP($A119,A:AL,4,FALSE)-50),"-",(VLOOKUP($A119,'SegEnds_NonXtal_BW#'!$A:$Z,4,FALSE)+VLOOKUP($A119,A:AL,4,FALSE)-50))</f>
        <v>55</v>
      </c>
      <c r="F119" s="3">
        <f>G119-2</f>
        <v>56</v>
      </c>
      <c r="G119" s="3">
        <v>58</v>
      </c>
      <c r="H119" s="3">
        <f>G119+1</f>
        <v>59</v>
      </c>
      <c r="I119" s="3">
        <f>H119+1</f>
        <v>60</v>
      </c>
      <c r="J119" s="3">
        <v>73</v>
      </c>
      <c r="K119" s="3">
        <f>VLOOKUP($A119,'SegEnds_NonXtal_BW#'!$A:$Z,8,FALSE)+VLOOKUP($A119,A:AL,10,FALSE)-50</f>
        <v>90</v>
      </c>
      <c r="L119" s="3">
        <f>M119-1</f>
        <v>92</v>
      </c>
      <c r="M119" s="3">
        <v>93</v>
      </c>
      <c r="N119" s="3">
        <f>M119+2</f>
        <v>95</v>
      </c>
      <c r="O119" s="3">
        <f>N119+1</f>
        <v>96</v>
      </c>
      <c r="P119" s="3">
        <v>125</v>
      </c>
      <c r="Q119" s="3">
        <f>VLOOKUP($A119,'SegEnds_NonXtal_BW#'!$A:$Z,12,FALSE)+VLOOKUP($A119,A:AL,16,FALSE)-50</f>
        <v>131</v>
      </c>
      <c r="R119" s="3">
        <f>IF(ISERROR(VLOOKUP($A119,'SegEnds_NonXtal_BW#'!$A:$Z,13,FALSE)+VLOOKUP($A119,A:AL,19,FALSE)-50),"-",VLOOKUP($A119,'SegEnds_NonXtal_BW#'!$A:$Z,13,FALSE)+VLOOKUP($A119,A:AL,19,FALSE)-50)</f>
        <v>132</v>
      </c>
      <c r="S119" s="3">
        <v>132</v>
      </c>
      <c r="T119" s="103">
        <f>IF(ISERROR(VLOOKUP($A119,'SegEnds_NonXtal_BW#'!$A:$Z,14,FALSE)+VLOOKUP($A119,A:AL,19,FALSE)-50),"-",(VLOOKUP($A119,'SegEnds_NonXtal_BW#'!$A:$Z,14,FALSE)+VLOOKUP($A119,A:AL,19,FALSE)-50))</f>
        <v>139</v>
      </c>
      <c r="U119" s="9">
        <f>IF(ISERROR(VLOOKUP($A119,'SegEnds_NonXtal_BW#'!$A:$Z,15,FALSE)+VLOOKUP($A119,A:AL,22,FALSE)-50),"-",VLOOKUP($A119,'SegEnds_NonXtal_BW#'!$A:$Z,15,FALSE)+VLOOKUP($A119,A:AL,22,FALSE)-50)</f>
        <v>140</v>
      </c>
      <c r="V119" s="3">
        <v>152</v>
      </c>
      <c r="W119" s="3">
        <f>IF(ISERROR(VLOOKUP($A119,'SegEnds_NonXtal_BW#'!$A:$Z,16,FALSE)+VLOOKUP($A119,A:AL,22,FALSE)-50),"-",(VLOOKUP($A119,'SegEnds_NonXtal_BW#'!$A:$Z,16,FALSE)+VLOOKUP($A119,A:AL,22,FALSE)-50))</f>
        <v>165</v>
      </c>
      <c r="X119" s="3">
        <f>IF(ISERROR(VLOOKUP($A119,'SegEnds_NonXtal_BW#'!$A:$Z,17,FALSE)+VLOOKUP($A119,A:AL,25,FALSE)-50),"-",(VLOOKUP($A119,'SegEnds_NonXtal_BW#'!$A:$Z,17,FALSE)+VLOOKUP($A119,A:AL,25,FALSE)-50))</f>
        <v>178</v>
      </c>
      <c r="Y119" s="3">
        <v>178</v>
      </c>
      <c r="Z119" s="3">
        <f>Y119+2</f>
        <v>180</v>
      </c>
      <c r="AA119" s="3">
        <f>IF(ISERROR(VLOOKUP($A119,'SegEnds_NonXtal_BW#'!$A:$Z,19,FALSE)+VLOOKUP($A119,A:AL,28,FALSE)-50),"-",(VLOOKUP($A119,'SegEnds_NonXtal_BW#'!$A:$Z,19,FALSE)+VLOOKUP($A119,A:AL,28,FALSE)-50))</f>
        <v>185</v>
      </c>
      <c r="AB119" s="3">
        <v>200</v>
      </c>
      <c r="AC119" s="3">
        <f>IF(ISERROR((VLOOKUP($A119,'SegEnds_NonXtal_BW#'!$A:$Z,20,FALSE)+VLOOKUP($A119,A:AL,28,FALSE)-50)),"-",(VLOOKUP($A119,'SegEnds_NonXtal_BW#'!$A:$Z,20,FALSE)+VLOOKUP($A119,A:AL,28,FALSE)-50))</f>
        <v>226</v>
      </c>
      <c r="AD119" s="3">
        <f>IF(ISERROR(VLOOKUP($A119,'SegEnds_NonXtal_BW#'!$A:$Z,21,FALSE)+VLOOKUP($A119,A:AL,31,FALSE)-50),"-",(VLOOKUP($A119,'SegEnds_NonXtal_BW#'!$A:$Z,21,FALSE)+VLOOKUP($A119,A:AL,31,FALSE)-50))</f>
        <v>259</v>
      </c>
      <c r="AE119" s="3">
        <v>285</v>
      </c>
      <c r="AF119" s="3">
        <f>IF(ISERROR((VLOOKUP($A119,'SegEnds_NonXtal_BW#'!$A:$Z,22,FALSE)+VLOOKUP($A119,A:AL,31,FALSE)-50)),"-",(VLOOKUP($A119,'SegEnds_NonXtal_BW#'!$A:$Z,22,FALSE)+VLOOKUP($A119,A:AL,31,FALSE)-50))</f>
        <v>296</v>
      </c>
      <c r="AG119" s="3">
        <f>IF(ISERROR(VLOOKUP($A119,'SegEnds_NonXtal_BW#'!$A:$Z,23,FALSE)+VLOOKUP($A119,A:AL,34,FALSE)-50),"-",(VLOOKUP($A119,'SegEnds_NonXtal_BW#'!$A:$Z,23,FALSE)+VLOOKUP($A119,A:AL,34,FALSE)-50))</f>
        <v>302</v>
      </c>
      <c r="AH119" s="3">
        <v>321</v>
      </c>
      <c r="AI119" s="3">
        <f>IF(ISERROR((VLOOKUP($A119,'SegEnds_NonXtal_BW#'!$A:$Z,24,FALSE)+VLOOKUP($A119,A:AL,34,FALSE)-50)),"-",(VLOOKUP($A119,'SegEnds_NonXtal_BW#'!$A:$Z,24,FALSE)+VLOOKUP($A119,A:AL,34,FALSE)-50))</f>
        <v>327</v>
      </c>
      <c r="AJ119" s="3">
        <f>IF(ISERROR(VLOOKUP($A119,'SegEnds_NonXtal_BW#'!$A:$Z,25,FALSE)+VLOOKUP($A119,A:AL,37,FALSE)-50),"-",(VLOOKUP($A119,'SegEnds_NonXtal_BW#'!$A:$Z,25,FALSE)+VLOOKUP($A119,A:AL,37,FALSE)-50))</f>
        <v>328</v>
      </c>
      <c r="AK119" s="3">
        <v>331</v>
      </c>
      <c r="AL119" s="3">
        <f>IF(ISERROR((VLOOKUP($A119,'SegEnds_NonXtal_BW#'!$A:$Z,26,FALSE)+VLOOKUP($A119,A:AL,37,FALSE)-50)),"-",(VLOOKUP($A119,'SegEnds_NonXtal_BW#'!$A:$Z,26,FALSE)+VLOOKUP($A119,A:AL,37,FALSE)-50))</f>
        <v>339</v>
      </c>
      <c r="AM119" s="28" t="str">
        <f>VLOOKUP(A119,Classification!A:B,2,FALSE)</f>
        <v>A</v>
      </c>
      <c r="AN119" s="28" t="b">
        <f>AND(IF(Y119="-",IF(AA119-W119&gt;3,TRUE,FALSE),TRUE),IF(M119="-",IF(O119-K119&gt;3,TRUE,FALSE),TRUE),C119&lt;E119,OR(E119&lt;F119,F119="-"),OR(F119&lt;H119,F119="-"),OR(H119&lt;I119,H119="-"),I119&lt;K119,OR(K119&lt;L119,L119="-"),OR(L119&lt;N119,L119="-"),OR(N119&lt;O119,N119="-"),O119&lt;Q119,OR(Q119&lt;R119,R119="-"),OR(R119&lt;T119,R119="-"),OR(T119&lt;U119,T119="-"),U119&lt;W119,OR(W119&lt;X119,X119="-"),OR(X119&lt;Z119,X119="-"),OR(Z119&lt;AA119,Z119="-"),AA119&lt;AC119,AC119&lt;AD119,AD119&lt;AF119,AF119&lt;AG119,AG119&lt;AI119,OR(AI119&lt;AJ119,AJ119="-"),OR(AJ119&lt;AL119,AJ119="-"))</f>
        <v>1</v>
      </c>
      <c r="AO119" s="3" t="str">
        <f>IF(ISERROR(MATCH(A119,'SegEnds_Xtal_Prot#'!B:B, 0)), "NoXtal", "Xtal")</f>
        <v>NoXtal</v>
      </c>
      <c r="AP119" s="3">
        <f>IF(ISERROR(F119-E119),"-",F119-E119)</f>
        <v>1</v>
      </c>
      <c r="AQ119" s="3">
        <f>IF(ISERROR(I119-H119),"-",I119-H119)</f>
        <v>1</v>
      </c>
      <c r="AR119" s="3">
        <f>IF(ISERROR(L119-K119),"-",L119-K119)</f>
        <v>2</v>
      </c>
      <c r="AS119" s="3">
        <f>IF(ISERROR(O119-N119),"-",O119-N119)</f>
        <v>1</v>
      </c>
      <c r="AT119" s="3">
        <f>IF(ISERROR(R119-Q119),"-",R119-Q119)</f>
        <v>1</v>
      </c>
      <c r="AU119" s="3">
        <f>IF(ISERROR(U119-T119),"-",U119-T119)</f>
        <v>1</v>
      </c>
      <c r="AV119" s="3">
        <f>IF(ISERROR(X119-W119),"-",X119-W119)</f>
        <v>13</v>
      </c>
      <c r="AW119" s="3">
        <f>IF(ISERROR(AA119-Z119),"-",AA119-Z119)</f>
        <v>5</v>
      </c>
      <c r="AX119" s="3">
        <f>IF(ISERROR(AD119-AC119),"-",AD119-AC119)</f>
        <v>33</v>
      </c>
      <c r="AY119" s="3">
        <f>IF(ISERROR(AG119-AF119),"-",AG119-AF119)</f>
        <v>6</v>
      </c>
      <c r="AZ119" s="3">
        <f>IF(ISERROR(AJ119-AI119),"-",AJ119-AI119)</f>
        <v>1</v>
      </c>
      <c r="BA119" s="3">
        <f>IF(ISERROR(LEN(VLOOKUP(A119,Seqs!A:E,2,FALSE))-AL119),"-",LEN(VLOOKUP(A119,Seqs!A:E,2,FALSE))-AL119)</f>
        <v>190</v>
      </c>
      <c r="BB119" s="16">
        <f>J119-D119</f>
        <v>28</v>
      </c>
      <c r="BC119" s="9">
        <f>IF(ISERROR(V119-S119),"-",V119-S119)</f>
        <v>20</v>
      </c>
      <c r="BD119" s="3">
        <f>J119-D119</f>
        <v>28</v>
      </c>
      <c r="BE119" s="3">
        <f>AE119-AB119</f>
        <v>85</v>
      </c>
    </row>
    <row r="120" spans="1:60" s="3" customFormat="1" x14ac:dyDescent="0.2">
      <c r="A120" s="3" t="s">
        <v>228</v>
      </c>
      <c r="B120" s="3" t="str">
        <f>LOWER(VLOOKUP(A120,Xtal_Templ!A:B,2,FALSE))</f>
        <v>ox2r_human</v>
      </c>
      <c r="C120" s="3">
        <f>VLOOKUP($A120,'SegEnds_NonXtal_BW#'!$A:$Z,3,FALSE)+D120-50</f>
        <v>12</v>
      </c>
      <c r="D120" s="3">
        <v>31</v>
      </c>
      <c r="E120" s="3">
        <f>IF(ISERROR(VLOOKUP($A120,'SegEnds_NonXtal_BW#'!$A:$Z,4,FALSE)+VLOOKUP($A120,A:AL,4,FALSE)-50),"-",(VLOOKUP($A120,'SegEnds_NonXtal_BW#'!$A:$Z,4,FALSE)+VLOOKUP($A120,A:AL,4,FALSE)-50))</f>
        <v>41</v>
      </c>
      <c r="F120" s="3">
        <f>G120-2</f>
        <v>42</v>
      </c>
      <c r="G120" s="3">
        <v>44</v>
      </c>
      <c r="H120" s="3">
        <f>G120+1</f>
        <v>45</v>
      </c>
      <c r="I120" s="3">
        <f>H120+1</f>
        <v>46</v>
      </c>
      <c r="J120" s="108">
        <v>58</v>
      </c>
      <c r="K120" s="3">
        <f>VLOOKUP($A120,'SegEnds_NonXtal_BW#'!$A:$Z,8,FALSE)+VLOOKUP($A120,A:AL,10,FALSE)-50</f>
        <v>75</v>
      </c>
      <c r="L120" s="3">
        <f>M120-1</f>
        <v>82</v>
      </c>
      <c r="M120" s="3">
        <v>83</v>
      </c>
      <c r="N120" s="3">
        <f>M120+2</f>
        <v>85</v>
      </c>
      <c r="O120" s="3">
        <f>N120+1</f>
        <v>86</v>
      </c>
      <c r="P120" s="3">
        <v>115</v>
      </c>
      <c r="Q120" s="3">
        <f>VLOOKUP($A120,'SegEnds_NonXtal_BW#'!$A:$Z,12,FALSE)+VLOOKUP($A120,A:AL,16,FALSE)-50</f>
        <v>121</v>
      </c>
      <c r="R120" s="3">
        <f>IF(ISERROR(VLOOKUP($A120,'SegEnds_NonXtal_BW#'!$A:$Z,13,FALSE)+VLOOKUP($A120,A:AL,19,FALSE)-50),"-",VLOOKUP($A120,'SegEnds_NonXtal_BW#'!$A:$Z,13,FALSE)+VLOOKUP($A120,A:AL,19,FALSE)-50)</f>
        <v>122</v>
      </c>
      <c r="S120" s="3">
        <v>122</v>
      </c>
      <c r="T120" s="103">
        <f>IF(ISERROR(VLOOKUP($A120,'SegEnds_NonXtal_BW#'!$A:$Z,14,FALSE)+VLOOKUP($A120,A:AL,19,FALSE)-50),"-",(VLOOKUP($A120,'SegEnds_NonXtal_BW#'!$A:$Z,14,FALSE)+VLOOKUP($A120,A:AL,19,FALSE)-50))</f>
        <v>129</v>
      </c>
      <c r="U120" s="9">
        <f>IF(ISERROR(VLOOKUP($A120,'SegEnds_NonXtal_BW#'!$A:$Z,15,FALSE)+VLOOKUP($A120,A:AL,22,FALSE)-50),"-",VLOOKUP($A120,'SegEnds_NonXtal_BW#'!$A:$Z,15,FALSE)+VLOOKUP($A120,A:AL,22,FALSE)-50)</f>
        <v>130</v>
      </c>
      <c r="V120" s="3">
        <v>142</v>
      </c>
      <c r="W120" s="3">
        <f>IF(ISERROR(VLOOKUP($A120,'SegEnds_NonXtal_BW#'!$A:$Z,16,FALSE)+VLOOKUP($A120,A:AL,22,FALSE)-50),"-",(VLOOKUP($A120,'SegEnds_NonXtal_BW#'!$A:$Z,16,FALSE)+VLOOKUP($A120,A:AL,22,FALSE)-50))</f>
        <v>156</v>
      </c>
      <c r="X120" s="3">
        <f>IF(ISERROR(VLOOKUP($A120,'SegEnds_NonXtal_BW#'!$A:$Z,17,FALSE)+VLOOKUP($A120,A:AL,25,FALSE)-50),"-",(VLOOKUP($A120,'SegEnds_NonXtal_BW#'!$A:$Z,17,FALSE)+VLOOKUP($A120,A:AL,25,FALSE)-50))</f>
        <v>168</v>
      </c>
      <c r="Y120" s="3">
        <v>168</v>
      </c>
      <c r="Z120" s="3">
        <f>Y120+2</f>
        <v>170</v>
      </c>
      <c r="AA120" s="3">
        <f>IF(ISERROR(VLOOKUP($A120,'SegEnds_NonXtal_BW#'!$A:$Z,19,FALSE)+VLOOKUP($A120,A:AL,28,FALSE)-50),"-",(VLOOKUP($A120,'SegEnds_NonXtal_BW#'!$A:$Z,19,FALSE)+VLOOKUP($A120,A:AL,28,FALSE)-50))</f>
        <v>176</v>
      </c>
      <c r="AB120" s="3">
        <v>191</v>
      </c>
      <c r="AC120" s="3">
        <f>IF(ISERROR((VLOOKUP($A120,'SegEnds_NonXtal_BW#'!$A:$Z,20,FALSE)+VLOOKUP($A120,A:AL,28,FALSE)-50)),"-",(VLOOKUP($A120,'SegEnds_NonXtal_BW#'!$A:$Z,20,FALSE)+VLOOKUP($A120,A:AL,28,FALSE)-50))</f>
        <v>215</v>
      </c>
      <c r="AD120" s="3">
        <f>IF(ISERROR(VLOOKUP($A120,'SegEnds_NonXtal_BW#'!$A:$Z,21,FALSE)+VLOOKUP($A120,A:AL,31,FALSE)-50),"-",(VLOOKUP($A120,'SegEnds_NonXtal_BW#'!$A:$Z,21,FALSE)+VLOOKUP($A120,A:AL,31,FALSE)-50))</f>
        <v>261</v>
      </c>
      <c r="AE120" s="3">
        <v>287</v>
      </c>
      <c r="AF120" s="3">
        <f>IF(ISERROR((VLOOKUP($A120,'SegEnds_NonXtal_BW#'!$A:$Z,22,FALSE)+VLOOKUP($A120,A:AL,31,FALSE)-50)),"-",(VLOOKUP($A120,'SegEnds_NonXtal_BW#'!$A:$Z,22,FALSE)+VLOOKUP($A120,A:AL,31,FALSE)-50))</f>
        <v>298</v>
      </c>
      <c r="AG120" s="3">
        <f>IF(ISERROR(VLOOKUP($A120,'SegEnds_NonXtal_BW#'!$A:$Z,23,FALSE)+VLOOKUP($A120,A:AL,34,FALSE)-50),"-",(VLOOKUP($A120,'SegEnds_NonXtal_BW#'!$A:$Z,23,FALSE)+VLOOKUP($A120,A:AL,34,FALSE)-50))</f>
        <v>303</v>
      </c>
      <c r="AH120" s="3">
        <v>321</v>
      </c>
      <c r="AI120" s="3">
        <v>326</v>
      </c>
      <c r="AJ120" s="3">
        <f>IF(ISERROR(VLOOKUP($A120,'SegEnds_NonXtal_BW#'!$A:$Z,25,FALSE)+VLOOKUP($A120,A:AL,37,FALSE)-50),"-",(VLOOKUP($A120,'SegEnds_NonXtal_BW#'!$A:$Z,25,FALSE)+VLOOKUP($A120,A:AL,37,FALSE)-50))</f>
        <v>327</v>
      </c>
      <c r="AK120" s="3">
        <v>330</v>
      </c>
      <c r="AL120" s="3">
        <f>IF(ISERROR((VLOOKUP($A120,'SegEnds_NonXtal_BW#'!$A:$Z,26,FALSE)+VLOOKUP($A120,A:AL,37,FALSE)-50)),"-",(VLOOKUP($A120,'SegEnds_NonXtal_BW#'!$A:$Z,26,FALSE)+VLOOKUP($A120,A:AL,37,FALSE)-50))</f>
        <v>338</v>
      </c>
      <c r="AM120" s="28" t="str">
        <f>VLOOKUP(A120,Classification!A:B,2,FALSE)</f>
        <v>A</v>
      </c>
      <c r="AN120" s="28" t="b">
        <f>AND(IF(Y120="-",IF(AA120-W120&gt;3,TRUE,FALSE),TRUE),IF(M120="-",IF(O120-K120&gt;3,TRUE,FALSE),TRUE),C120&lt;E120,OR(E120&lt;F120,F120="-"),OR(F120&lt;H120,F120="-"),OR(H120&lt;I120,H120="-"),I120&lt;K120,OR(K120&lt;L120,L120="-"),OR(L120&lt;N120,L120="-"),OR(N120&lt;O120,N120="-"),O120&lt;Q120,OR(Q120&lt;R120,R120="-"),OR(R120&lt;T120,R120="-"),OR(T120&lt;U120,T120="-"),U120&lt;W120,OR(W120&lt;X120,X120="-"),OR(X120&lt;Z120,X120="-"),OR(Z120&lt;AA120,Z120="-"),AA120&lt;AC120,AC120&lt;AD120,AD120&lt;AF120,AF120&lt;AG120,AG120&lt;AI120,OR(AI120&lt;AJ120,AJ120="-"),OR(AJ120&lt;AL120,AJ120="-"))</f>
        <v>1</v>
      </c>
      <c r="AO120" s="3" t="str">
        <f>IF(ISERROR(MATCH(A120,'SegEnds_Xtal_Prot#'!B:B, 0)), "NoXtal", "Xtal")</f>
        <v>NoXtal</v>
      </c>
      <c r="AP120" s="3">
        <f>IF(ISERROR(F120-E120),"-",F120-E120)</f>
        <v>1</v>
      </c>
      <c r="AQ120" s="3">
        <f>IF(ISERROR(I120-H120),"-",I120-H120)</f>
        <v>1</v>
      </c>
      <c r="AR120" s="3">
        <f>IF(ISERROR(L120-K120),"-",L120-K120)</f>
        <v>7</v>
      </c>
      <c r="AS120" s="3">
        <f>IF(ISERROR(O120-N120),"-",O120-N120)</f>
        <v>1</v>
      </c>
      <c r="AT120" s="3">
        <f>IF(ISERROR(R120-Q120),"-",R120-Q120)</f>
        <v>1</v>
      </c>
      <c r="AU120" s="3">
        <f>IF(ISERROR(U120-T120),"-",U120-T120)</f>
        <v>1</v>
      </c>
      <c r="AV120" s="3">
        <f>IF(ISERROR(X120-W120),"-",X120-W120)</f>
        <v>12</v>
      </c>
      <c r="AW120" s="3">
        <f>IF(ISERROR(AA120-Z120),"-",AA120-Z120)</f>
        <v>6</v>
      </c>
      <c r="AX120" s="3">
        <f>IF(ISERROR(AD120-AC120),"-",AD120-AC120)</f>
        <v>46</v>
      </c>
      <c r="AY120" s="3">
        <f>IF(ISERROR(AG120-AF120),"-",AG120-AF120)</f>
        <v>5</v>
      </c>
      <c r="AZ120" s="3">
        <f>IF(ISERROR(AJ120-AI120),"-",AJ120-AI120)</f>
        <v>1</v>
      </c>
      <c r="BA120" s="3">
        <f>IF(ISERROR(LEN(VLOOKUP(A120,Seqs!A:E,2,FALSE))-AL120),"-",LEN(VLOOKUP(A120,Seqs!A:E,2,FALSE))-AL120)</f>
        <v>250</v>
      </c>
      <c r="BB120" s="16">
        <f>J120-D120</f>
        <v>27</v>
      </c>
      <c r="BC120" s="9">
        <f>IF(ISERROR(V120-S120),"-",V120-S120)</f>
        <v>20</v>
      </c>
      <c r="BD120" s="3">
        <f>J120-D120</f>
        <v>27</v>
      </c>
      <c r="BE120" s="3">
        <f>AE120-AB120</f>
        <v>96</v>
      </c>
    </row>
    <row r="121" spans="1:60" s="9" customFormat="1" x14ac:dyDescent="0.2">
      <c r="A121" s="3" t="s">
        <v>229</v>
      </c>
      <c r="B121" s="3" t="str">
        <f>LOWER(VLOOKUP(A121,Xtal_Templ!A:B,2,FALSE))</f>
        <v>p2y12_human</v>
      </c>
      <c r="C121" s="3">
        <f>VLOOKUP($A121,'SegEnds_NonXtal_BW#'!$A:$Z,3,FALSE)+D121-50</f>
        <v>10</v>
      </c>
      <c r="D121" s="3">
        <v>32</v>
      </c>
      <c r="E121" s="3">
        <f>IF(ISERROR(VLOOKUP($A121,'SegEnds_NonXtal_BW#'!$A:$Z,4,FALSE)+VLOOKUP($A121,A:AL,4,FALSE)-50),"-",(VLOOKUP($A121,'SegEnds_NonXtal_BW#'!$A:$Z,4,FALSE)+VLOOKUP($A121,A:AL,4,FALSE)-50))</f>
        <v>42</v>
      </c>
      <c r="F121" s="3" t="str">
        <f>IF(ISERROR(VLOOKUP($A121,'SegEnds_NonXtal_BW#'!$A:$Z,5,FALSE)+VLOOKUP($A121,A:AL,7,FALSE)-50),"-",(VLOOKUP($A121,'SegEnds_NonXtal_BW#'!$A:$Z,5,FALSE)+VLOOKUP($A121,A:AL,7,FALSE)-50))</f>
        <v>-</v>
      </c>
      <c r="G121" s="3" t="s">
        <v>23</v>
      </c>
      <c r="H121" s="3" t="str">
        <f>IF(ISERROR(VLOOKUP($A121,'SegEnds_NonXtal_BW#'!$A:$Z,6,FALSE)+VLOOKUP($A121,A:AL,7,FALSE)-50),"-",(VLOOKUP($A121,'SegEnds_NonXtal_BW#'!$A:$Z,6,FALSE)+VLOOKUP($A121,A:AL,7,FALSE)-50))</f>
        <v>-</v>
      </c>
      <c r="I121" s="3">
        <f>VLOOKUP($A121,'SegEnds_NonXtal_BW#'!$A:$Z,7,FALSE)+J121-50</f>
        <v>47</v>
      </c>
      <c r="J121" s="3">
        <v>60</v>
      </c>
      <c r="K121" s="3">
        <f>VLOOKUP($A121,'SegEnds_NonXtal_BW#'!$A:$Z,8,FALSE)+VLOOKUP($A121,A:AL,10,FALSE)-50</f>
        <v>76</v>
      </c>
      <c r="L121" s="3" t="str">
        <f>IF(ISERROR(VLOOKUP($A121,'SegEnds_NonXtal_BW#'!$A:$Z,9,FALSE)+VLOOKUP($A121,A:AL,13,FALSE)-50),"-",(VLOOKUP($A121,'SegEnds_NonXtal_BW#'!$A:$Z,9,FALSE)+VLOOKUP($A121,A:AL,13,FALSE)-50))</f>
        <v>-</v>
      </c>
      <c r="M121" s="3" t="s">
        <v>23</v>
      </c>
      <c r="N121" s="3" t="str">
        <f>IF(ISERROR(VLOOKUP($A121,'SegEnds_NonXtal_BW#'!$A:$Z,10,FALSE)+VLOOKUP($A121,A:AL,13,FALSE)-50),"-",(VLOOKUP($A121,'SegEnds_NonXtal_BW#'!$A:$Z,10,FALSE)+VLOOKUP($A121,A:AL,13,FALSE)-50))</f>
        <v>-</v>
      </c>
      <c r="O121" s="3">
        <f>VLOOKUP($A121,'SegEnds_NonXtal_BW#'!$A:$Z,11,FALSE)+VLOOKUP($A121,A:AL,16,FALSE)-50</f>
        <v>80</v>
      </c>
      <c r="P121" s="3">
        <v>112</v>
      </c>
      <c r="Q121" s="3">
        <f>VLOOKUP($A121,'SegEnds_NonXtal_BW#'!$A:$Z,12,FALSE)+VLOOKUP($A121,A:AL,16,FALSE)-50</f>
        <v>118</v>
      </c>
      <c r="R121" s="3">
        <f>IF(ISERROR(VLOOKUP($A121,'SegEnds_NonXtal_BW#'!$A:$Z,13,FALSE)+VLOOKUP($A121,A:AL,19,FALSE)-50),"-",VLOOKUP($A121,'SegEnds_NonXtal_BW#'!$A:$Z,13,FALSE)+VLOOKUP($A121,A:AL,19,FALSE)-50)</f>
        <v>119</v>
      </c>
      <c r="S121" s="3">
        <v>119</v>
      </c>
      <c r="T121" s="103">
        <f>IF(ISERROR(VLOOKUP($A121,'SegEnds_NonXtal_BW#'!$A:$Z,14,FALSE)+VLOOKUP($A121,A:AL,19,FALSE)-50),"-",(VLOOKUP($A121,'SegEnds_NonXtal_BW#'!$A:$Z,14,FALSE)+VLOOKUP($A121,A:AL,19,FALSE)-50))</f>
        <v>126</v>
      </c>
      <c r="U121" s="9">
        <f>IF(ISERROR(VLOOKUP($A121,'SegEnds_NonXtal_BW#'!$A:$Z,15,FALSE)+VLOOKUP($A121,A:AL,22,FALSE)-50),"-",VLOOKUP($A121,'SegEnds_NonXtal_BW#'!$A:$Z,15,FALSE)+VLOOKUP($A121,A:AL,22,FALSE)-50)</f>
        <v>127</v>
      </c>
      <c r="V121" s="3">
        <v>139</v>
      </c>
      <c r="W121" s="3">
        <f>IF(ISERROR(VLOOKUP($A121,'SegEnds_NonXtal_BW#'!$A:$Z,16,FALSE)+VLOOKUP($A121,A:AL,22,FALSE)-50),"-",(VLOOKUP($A121,'SegEnds_NonXtal_BW#'!$A:$Z,16,FALSE)+VLOOKUP($A121,A:AL,22,FALSE)-50))</f>
        <v>153</v>
      </c>
      <c r="X121" s="3">
        <f>IF(ISERROR(VLOOKUP($A121,'SegEnds_NonXtal_BW#'!$A:$Z,17,FALSE)+VLOOKUP($A121,A:AL,25,FALSE)-50),"-",(VLOOKUP($A121,'SegEnds_NonXtal_BW#'!$A:$Z,17,FALSE)+VLOOKUP($A121,A:AL,25,FALSE)-50))</f>
        <v>165</v>
      </c>
      <c r="Y121" s="3">
        <v>165</v>
      </c>
      <c r="Z121" s="3">
        <f>Y121+2</f>
        <v>167</v>
      </c>
      <c r="AA121" s="3">
        <f>IF(ISERROR(VLOOKUP($A121,'SegEnds_NonXtal_BW#'!$A:$Z,19,FALSE)+VLOOKUP($A121,A:AL,28,FALSE)-50),"-",(VLOOKUP($A121,'SegEnds_NonXtal_BW#'!$A:$Z,19,FALSE)+VLOOKUP($A121,A:AL,28,FALSE)-50))</f>
        <v>171</v>
      </c>
      <c r="AB121" s="3">
        <v>191</v>
      </c>
      <c r="AC121" s="3">
        <f>IF(ISERROR((VLOOKUP($A121,'SegEnds_NonXtal_BW#'!$A:$Z,20,FALSE)+VLOOKUP($A121,A:AL,28,FALSE)-50)),"-",(VLOOKUP($A121,'SegEnds_NonXtal_BW#'!$A:$Z,20,FALSE)+VLOOKUP($A121,A:AL,28,FALSE)-50))</f>
        <v>208</v>
      </c>
      <c r="AD121" s="3">
        <f>IF(ISERROR(VLOOKUP($A121,'SegEnds_NonXtal_BW#'!$A:$Z,21,FALSE)+VLOOKUP($A121,A:AL,31,FALSE)-50),"-",(VLOOKUP($A121,'SegEnds_NonXtal_BW#'!$A:$Z,21,FALSE)+VLOOKUP($A121,A:AL,31,FALSE)-50))</f>
        <v>214</v>
      </c>
      <c r="AE121" s="3">
        <v>238</v>
      </c>
      <c r="AF121" s="3">
        <f>IF(ISERROR((VLOOKUP($A121,'SegEnds_NonXtal_BW#'!$A:$Z,22,FALSE)+VLOOKUP($A121,A:AL,31,FALSE)-50)),"-",(VLOOKUP($A121,'SegEnds_NonXtal_BW#'!$A:$Z,22,FALSE)+VLOOKUP($A121,A:AL,31,FALSE)-50))</f>
        <v>252</v>
      </c>
      <c r="AG121" s="3">
        <f>IF(ISERROR(VLOOKUP($A121,'SegEnds_NonXtal_BW#'!$A:$Z,23,FALSE)+VLOOKUP($A121,A:AL,34,FALSE)-50),"-",(VLOOKUP($A121,'SegEnds_NonXtal_BW#'!$A:$Z,23,FALSE)+VLOOKUP($A121,A:AL,34,FALSE)-50))</f>
        <v>256</v>
      </c>
      <c r="AH121" s="3">
        <v>282</v>
      </c>
      <c r="AI121" s="3">
        <f>IF(ISERROR((VLOOKUP($A121,'SegEnds_NonXtal_BW#'!$A:$Z,24,FALSE)+VLOOKUP($A121,A:AL,34,FALSE)-50)),"-",(VLOOKUP($A121,'SegEnds_NonXtal_BW#'!$A:$Z,24,FALSE)+VLOOKUP($A121,A:AL,34,FALSE)-50))</f>
        <v>288</v>
      </c>
      <c r="AJ121" s="3">
        <f>IF(ISERROR(VLOOKUP($A121,'SegEnds_NonXtal_BW#'!$A:$Z,25,FALSE)+VLOOKUP($A121,A:AL,37,FALSE)-50),"-",(VLOOKUP($A121,'SegEnds_NonXtal_BW#'!$A:$Z,25,FALSE)+VLOOKUP($A121,A:AL,37,FALSE)-50))</f>
        <v>289</v>
      </c>
      <c r="AK121" s="3">
        <v>292</v>
      </c>
      <c r="AL121" s="3">
        <f>IF(ISERROR((VLOOKUP($A121,'SegEnds_NonXtal_BW#'!$A:$Z,26,FALSE)+VLOOKUP($A121,A:AL,37,FALSE)-50)),"-",(VLOOKUP($A121,'SegEnds_NonXtal_BW#'!$A:$Z,26,FALSE)+VLOOKUP($A121,A:AL,37,FALSE)-50))</f>
        <v>299</v>
      </c>
      <c r="AM121" s="28" t="str">
        <f>VLOOKUP(A121,Classification!A:B,2,FALSE)</f>
        <v>A</v>
      </c>
      <c r="AN121" s="28" t="b">
        <f>AND(IF(Y121="-",IF(AA121-W121&gt;3,TRUE,FALSE),TRUE),IF(M121="-",IF(O121-K121&gt;3,TRUE,FALSE),TRUE),C121&lt;E121,OR(E121&lt;F121,F121="-"),OR(F121&lt;H121,F121="-"),OR(H121&lt;I121,H121="-"),I121&lt;K121,OR(K121&lt;L121,L121="-"),OR(L121&lt;N121,L121="-"),OR(N121&lt;O121,N121="-"),O121&lt;Q121,OR(Q121&lt;R121,R121="-"),OR(R121&lt;T121,R121="-"),OR(T121&lt;U121,T121="-"),U121&lt;W121,OR(W121&lt;X121,X121="-"),OR(X121&lt;Z121,X121="-"),OR(Z121&lt;AA121,Z121="-"),AA121&lt;AC121,AC121&lt;AD121,AD121&lt;AF121,AF121&lt;AG121,AG121&lt;AI121,OR(AI121&lt;AJ121,AJ121="-"),OR(AJ121&lt;AL121,AJ121="-"))</f>
        <v>1</v>
      </c>
      <c r="AO121" s="3" t="str">
        <f>IF(ISERROR(MATCH(A121,'SegEnds_Xtal_Prot#'!B:B, 0)), "NoXtal", "Xtal")</f>
        <v>NoXtal</v>
      </c>
      <c r="AP121" s="3" t="str">
        <f>IF(ISERROR(F121-E121),"-",F121-E121)</f>
        <v>-</v>
      </c>
      <c r="AQ121" s="3" t="str">
        <f>IF(ISERROR(I121-H121),"-",I121-H121)</f>
        <v>-</v>
      </c>
      <c r="AR121" s="3" t="str">
        <f>IF(ISERROR(L121-K121),"-",L121-K121)</f>
        <v>-</v>
      </c>
      <c r="AS121" s="3" t="str">
        <f>IF(ISERROR(O121-N121),"-",O121-N121)</f>
        <v>-</v>
      </c>
      <c r="AT121" s="3">
        <f>IF(ISERROR(R121-Q121),"-",R121-Q121)</f>
        <v>1</v>
      </c>
      <c r="AU121" s="3">
        <f>IF(ISERROR(U121-T121),"-",U121-T121)</f>
        <v>1</v>
      </c>
      <c r="AV121" s="3">
        <f>IF(ISERROR(X121-W121),"-",X121-W121)</f>
        <v>12</v>
      </c>
      <c r="AW121" s="3">
        <f>IF(ISERROR(AA121-Z121),"-",AA121-Z121)</f>
        <v>4</v>
      </c>
      <c r="AX121" s="3">
        <f>IF(ISERROR(AD121-AC121),"-",AD121-AC121)</f>
        <v>6</v>
      </c>
      <c r="AY121" s="3">
        <f>IF(ISERROR(AG121-AF121),"-",AG121-AF121)</f>
        <v>4</v>
      </c>
      <c r="AZ121" s="3">
        <f>IF(ISERROR(AJ121-AI121),"-",AJ121-AI121)</f>
        <v>1</v>
      </c>
      <c r="BA121" s="3">
        <f>IF(ISERROR(LEN(VLOOKUP(A121,Seqs!A:E,2,FALSE))-AL121),"-",LEN(VLOOKUP(A121,Seqs!A:E,2,FALSE))-AL121)</f>
        <v>20</v>
      </c>
      <c r="BB121" s="16">
        <f>J121-D121</f>
        <v>28</v>
      </c>
      <c r="BC121" s="9">
        <f>IF(ISERROR(V121-S121),"-",V121-S121)</f>
        <v>20</v>
      </c>
      <c r="BD121" s="3">
        <f>J121-D121</f>
        <v>28</v>
      </c>
      <c r="BE121" s="3">
        <f>AE121-AB121</f>
        <v>47</v>
      </c>
      <c r="BF121" s="3">
        <f>AH121-AE121</f>
        <v>44</v>
      </c>
      <c r="BG121" s="3"/>
      <c r="BH121" s="3"/>
    </row>
    <row r="122" spans="1:60" s="3" customFormat="1" x14ac:dyDescent="0.2">
      <c r="A122" s="3" t="s">
        <v>230</v>
      </c>
      <c r="B122" s="3" t="str">
        <f>LOWER(VLOOKUP(A122,Xtal_Templ!A:B,2,FALSE))</f>
        <v>ox1r_human</v>
      </c>
      <c r="C122" s="3">
        <f>VLOOKUP($A122,'SegEnds_NonXtal_BW#'!$A:$Z,3,FALSE)+D122-50</f>
        <v>22</v>
      </c>
      <c r="D122" s="3">
        <v>40</v>
      </c>
      <c r="E122" s="3">
        <f>IF(ISERROR(VLOOKUP($A122,'SegEnds_NonXtal_BW#'!$A:$Z,4,FALSE)+VLOOKUP($A122,A:AL,4,FALSE)-50),"-",(VLOOKUP($A122,'SegEnds_NonXtal_BW#'!$A:$Z,4,FALSE)+VLOOKUP($A122,A:AL,4,FALSE)-50))</f>
        <v>50</v>
      </c>
      <c r="F122" s="3">
        <f>G122-2</f>
        <v>51</v>
      </c>
      <c r="G122" s="3">
        <v>53</v>
      </c>
      <c r="H122" s="3">
        <f>G122+1</f>
        <v>54</v>
      </c>
      <c r="I122" s="3">
        <f>H122+1</f>
        <v>55</v>
      </c>
      <c r="J122" s="3">
        <v>68</v>
      </c>
      <c r="K122" s="3">
        <f>VLOOKUP($A122,'SegEnds_NonXtal_BW#'!$A:$Z,8,FALSE)+VLOOKUP($A122,A:AL,10,FALSE)-50</f>
        <v>85</v>
      </c>
      <c r="L122" s="3">
        <f>M122-1</f>
        <v>88</v>
      </c>
      <c r="M122" s="3">
        <v>89</v>
      </c>
      <c r="N122" s="3">
        <f>M122+2</f>
        <v>91</v>
      </c>
      <c r="O122" s="3">
        <f>N122+1</f>
        <v>92</v>
      </c>
      <c r="P122" s="3">
        <v>121</v>
      </c>
      <c r="Q122" s="3">
        <f>VLOOKUP($A122,'SegEnds_NonXtal_BW#'!$A:$Z,12,FALSE)+VLOOKUP($A122,A:AL,16,FALSE)-50</f>
        <v>127</v>
      </c>
      <c r="R122" s="3">
        <f>IF(ISERROR(VLOOKUP($A122,'SegEnds_NonXtal_BW#'!$A:$Z,13,FALSE)+VLOOKUP($A122,A:AL,19,FALSE)-50),"-",VLOOKUP($A122,'SegEnds_NonXtal_BW#'!$A:$Z,13,FALSE)+VLOOKUP($A122,A:AL,19,FALSE)-50)</f>
        <v>128</v>
      </c>
      <c r="S122" s="3">
        <v>128</v>
      </c>
      <c r="T122" s="103">
        <f>IF(ISERROR(VLOOKUP($A122,'SegEnds_NonXtal_BW#'!$A:$Z,14,FALSE)+VLOOKUP($A122,A:AL,19,FALSE)-50),"-",(VLOOKUP($A122,'SegEnds_NonXtal_BW#'!$A:$Z,14,FALSE)+VLOOKUP($A122,A:AL,19,FALSE)-50))</f>
        <v>135</v>
      </c>
      <c r="U122" s="9">
        <f>IF(ISERROR(VLOOKUP($A122,'SegEnds_NonXtal_BW#'!$A:$Z,15,FALSE)+VLOOKUP($A122,A:AL,22,FALSE)-50),"-",VLOOKUP($A122,'SegEnds_NonXtal_BW#'!$A:$Z,15,FALSE)+VLOOKUP($A122,A:AL,22,FALSE)-50)</f>
        <v>136</v>
      </c>
      <c r="V122" s="3">
        <v>148</v>
      </c>
      <c r="W122" s="3">
        <f>IF(ISERROR(VLOOKUP($A122,'SegEnds_NonXtal_BW#'!$A:$Z,16,FALSE)+VLOOKUP($A122,A:AL,22,FALSE)-50),"-",(VLOOKUP($A122,'SegEnds_NonXtal_BW#'!$A:$Z,16,FALSE)+VLOOKUP($A122,A:AL,22,FALSE)-50))</f>
        <v>162</v>
      </c>
      <c r="X122" s="3">
        <f>IF(ISERROR(VLOOKUP($A122,'SegEnds_NonXtal_BW#'!$A:$Z,17,FALSE)+VLOOKUP($A122,A:AL,25,FALSE)-50),"-",(VLOOKUP($A122,'SegEnds_NonXtal_BW#'!$A:$Z,17,FALSE)+VLOOKUP($A122,A:AL,25,FALSE)-50))</f>
        <v>174</v>
      </c>
      <c r="Y122" s="3">
        <v>174</v>
      </c>
      <c r="Z122" s="3">
        <f>Y122+2</f>
        <v>176</v>
      </c>
      <c r="AA122" s="3">
        <f>IF(ISERROR(VLOOKUP($A122,'SegEnds_NonXtal_BW#'!$A:$Z,19,FALSE)+VLOOKUP($A122,A:AL,28,FALSE)-50),"-",(VLOOKUP($A122,'SegEnds_NonXtal_BW#'!$A:$Z,19,FALSE)+VLOOKUP($A122,A:AL,28,FALSE)-50))</f>
        <v>220</v>
      </c>
      <c r="AB122" s="3">
        <v>235</v>
      </c>
      <c r="AC122" s="3">
        <f>IF(ISERROR((VLOOKUP($A122,'SegEnds_NonXtal_BW#'!$A:$Z,20,FALSE)+VLOOKUP($A122,A:AL,28,FALSE)-50)),"-",(VLOOKUP($A122,'SegEnds_NonXtal_BW#'!$A:$Z,20,FALSE)+VLOOKUP($A122,A:AL,28,FALSE)-50))</f>
        <v>259</v>
      </c>
      <c r="AD122" s="3">
        <f>IF(ISERROR(VLOOKUP($A122,'SegEnds_NonXtal_BW#'!$A:$Z,21,FALSE)+VLOOKUP($A122,A:AL,31,FALSE)-50),"-",(VLOOKUP($A122,'SegEnds_NonXtal_BW#'!$A:$Z,21,FALSE)+VLOOKUP($A122,A:AL,31,FALSE)-50))</f>
        <v>272</v>
      </c>
      <c r="AE122" s="3">
        <v>301</v>
      </c>
      <c r="AF122" s="3">
        <f>IF(ISERROR((VLOOKUP($A122,'SegEnds_NonXtal_BW#'!$A:$Z,22,FALSE)+VLOOKUP($A122,A:AL,31,FALSE)-50)),"-",(VLOOKUP($A122,'SegEnds_NonXtal_BW#'!$A:$Z,22,FALSE)+VLOOKUP($A122,A:AL,31,FALSE)-50))</f>
        <v>312</v>
      </c>
      <c r="AG122" s="3">
        <f>IF(ISERROR(VLOOKUP($A122,'SegEnds_NonXtal_BW#'!$A:$Z,23,FALSE)+VLOOKUP($A122,A:AL,34,FALSE)-50),"-",(VLOOKUP($A122,'SegEnds_NonXtal_BW#'!$A:$Z,23,FALSE)+VLOOKUP($A122,A:AL,34,FALSE)-50))</f>
        <v>318</v>
      </c>
      <c r="AH122" s="3">
        <v>337</v>
      </c>
      <c r="AI122" s="3">
        <f>IF(ISERROR((VLOOKUP($A122,'SegEnds_NonXtal_BW#'!$A:$Z,24,FALSE)+VLOOKUP($A122,A:AL,34,FALSE)-50)),"-",(VLOOKUP($A122,'SegEnds_NonXtal_BW#'!$A:$Z,24,FALSE)+VLOOKUP($A122,A:AL,34,FALSE)-50))</f>
        <v>343</v>
      </c>
      <c r="AJ122" s="3">
        <f>IF(ISERROR(VLOOKUP($A122,'SegEnds_NonXtal_BW#'!$A:$Z,25,FALSE)+VLOOKUP($A122,A:AL,37,FALSE)-50),"-",(VLOOKUP($A122,'SegEnds_NonXtal_BW#'!$A:$Z,25,FALSE)+VLOOKUP($A122,A:AL,37,FALSE)-50))</f>
        <v>344</v>
      </c>
      <c r="AK122" s="3">
        <v>347</v>
      </c>
      <c r="AL122" s="3">
        <f>IF(ISERROR((VLOOKUP($A122,'SegEnds_NonXtal_BW#'!$A:$Z,26,FALSE)+VLOOKUP($A122,A:AL,37,FALSE)-50)),"-",(VLOOKUP($A122,'SegEnds_NonXtal_BW#'!$A:$Z,26,FALSE)+VLOOKUP($A122,A:AL,37,FALSE)-50))</f>
        <v>355</v>
      </c>
      <c r="AM122" s="28" t="str">
        <f>VLOOKUP(A122,Classification!A:B,2,FALSE)</f>
        <v>A</v>
      </c>
      <c r="AN122" s="28" t="b">
        <f>AND(IF(Y122="-",IF(AA122-W122&gt;3,TRUE,FALSE),TRUE),IF(M122="-",IF(O122-K122&gt;3,TRUE,FALSE),TRUE),C122&lt;E122,OR(E122&lt;F122,F122="-"),OR(F122&lt;H122,F122="-"),OR(H122&lt;I122,H122="-"),I122&lt;K122,OR(K122&lt;L122,L122="-"),OR(L122&lt;N122,L122="-"),OR(N122&lt;O122,N122="-"),O122&lt;Q122,OR(Q122&lt;R122,R122="-"),OR(R122&lt;T122,R122="-"),OR(T122&lt;U122,T122="-"),U122&lt;W122,OR(W122&lt;X122,X122="-"),OR(X122&lt;Z122,X122="-"),OR(Z122&lt;AA122,Z122="-"),AA122&lt;AC122,AC122&lt;AD122,AD122&lt;AF122,AF122&lt;AG122,AG122&lt;AI122,OR(AI122&lt;AJ122,AJ122="-"),OR(AJ122&lt;AL122,AJ122="-"))</f>
        <v>1</v>
      </c>
      <c r="AO122" s="3" t="str">
        <f>IF(ISERROR(MATCH(A122,'SegEnds_Xtal_Prot#'!B:B, 0)), "NoXtal", "Xtal")</f>
        <v>NoXtal</v>
      </c>
      <c r="AP122" s="3">
        <f>IF(ISERROR(F122-E122),"-",F122-E122)</f>
        <v>1</v>
      </c>
      <c r="AQ122" s="3">
        <f>IF(ISERROR(I122-H122),"-",I122-H122)</f>
        <v>1</v>
      </c>
      <c r="AR122" s="3">
        <f>IF(ISERROR(L122-K122),"-",L122-K122)</f>
        <v>3</v>
      </c>
      <c r="AS122" s="3">
        <f>IF(ISERROR(O122-N122),"-",O122-N122)</f>
        <v>1</v>
      </c>
      <c r="AT122" s="3">
        <f>IF(ISERROR(R122-Q122),"-",R122-Q122)</f>
        <v>1</v>
      </c>
      <c r="AU122" s="3">
        <f>IF(ISERROR(U122-T122),"-",U122-T122)</f>
        <v>1</v>
      </c>
      <c r="AV122" s="3">
        <f>IF(ISERROR(X122-W122),"-",X122-W122)</f>
        <v>12</v>
      </c>
      <c r="AW122" s="3">
        <f>IF(ISERROR(AA122-Z122),"-",AA122-Z122)</f>
        <v>44</v>
      </c>
      <c r="AX122" s="3">
        <f>IF(ISERROR(AD122-AC122),"-",AD122-AC122)</f>
        <v>13</v>
      </c>
      <c r="AY122" s="3">
        <f>IF(ISERROR(AG122-AF122),"-",AG122-AF122)</f>
        <v>6</v>
      </c>
      <c r="AZ122" s="3">
        <f>IF(ISERROR(AJ122-AI122),"-",AJ122-AI122)</f>
        <v>1</v>
      </c>
      <c r="BA122" s="3">
        <f>IF(ISERROR(LEN(VLOOKUP(A122,Seqs!A:E,2,FALSE))-AL122),"-",LEN(VLOOKUP(A122,Seqs!A:E,2,FALSE))-AL122)</f>
        <v>18</v>
      </c>
      <c r="BB122" s="16">
        <f>J122-D122</f>
        <v>28</v>
      </c>
      <c r="BC122" s="9">
        <f>IF(ISERROR(V122-S122),"-",V122-S122)</f>
        <v>20</v>
      </c>
      <c r="BD122" s="3">
        <f>J122-D122</f>
        <v>28</v>
      </c>
      <c r="BE122" s="3">
        <f>AE122-AB122</f>
        <v>66</v>
      </c>
      <c r="BF122" s="3">
        <f>AH122-AE122</f>
        <v>36</v>
      </c>
    </row>
    <row r="123" spans="1:60" s="3" customFormat="1" x14ac:dyDescent="0.2">
      <c r="A123" s="3" t="s">
        <v>233</v>
      </c>
      <c r="B123" s="3" t="str">
        <f>LOWER(VLOOKUP(A123,Xtal_Templ!A:B,2,FALSE))</f>
        <v>apj_human</v>
      </c>
      <c r="C123" s="3">
        <f>VLOOKUP($A123,'SegEnds_NonXtal_BW#'!$A:$Z,3,FALSE)+D123-50</f>
        <v>54</v>
      </c>
      <c r="D123" s="3">
        <v>71</v>
      </c>
      <c r="E123" s="3">
        <f>IF(ISERROR(VLOOKUP($A123,'SegEnds_NonXtal_BW#'!$A:$Z,4,FALSE)+VLOOKUP($A123,A:AL,4,FALSE)-50),"-",(VLOOKUP($A123,'SegEnds_NonXtal_BW#'!$A:$Z,4,FALSE)+VLOOKUP($A123,A:AL,4,FALSE)-50))</f>
        <v>81</v>
      </c>
      <c r="F123" s="3">
        <f>G123-2</f>
        <v>82</v>
      </c>
      <c r="G123" s="3">
        <v>84</v>
      </c>
      <c r="H123" s="3">
        <f>G123+1</f>
        <v>85</v>
      </c>
      <c r="I123" s="3">
        <f>H123+1</f>
        <v>86</v>
      </c>
      <c r="J123" s="3">
        <v>99</v>
      </c>
      <c r="K123" s="3">
        <f>VLOOKUP($A123,'SegEnds_NonXtal_BW#'!$A:$Z,8,FALSE)+VLOOKUP($A123,A:AL,10,FALSE)-50</f>
        <v>116</v>
      </c>
      <c r="L123" s="3">
        <f>M123-1</f>
        <v>118</v>
      </c>
      <c r="M123" s="3">
        <v>119</v>
      </c>
      <c r="N123" s="3">
        <f>M123+2</f>
        <v>121</v>
      </c>
      <c r="O123" s="3">
        <f>N123+1</f>
        <v>122</v>
      </c>
      <c r="P123" s="3">
        <v>151</v>
      </c>
      <c r="Q123" s="3">
        <f>VLOOKUP($A123,'SegEnds_NonXtal_BW#'!$A:$Z,12,FALSE)+VLOOKUP($A123,A:AL,16,FALSE)-50</f>
        <v>157</v>
      </c>
      <c r="R123" s="3">
        <f>IF(ISERROR(VLOOKUP($A123,'SegEnds_NonXtal_BW#'!$A:$Z,13,FALSE)+VLOOKUP($A123,A:AL,19,FALSE)-50),"-",VLOOKUP($A123,'SegEnds_NonXtal_BW#'!$A:$Z,13,FALSE)+VLOOKUP($A123,A:AL,19,FALSE)-50)</f>
        <v>158</v>
      </c>
      <c r="S123" s="3">
        <v>158</v>
      </c>
      <c r="T123" s="103">
        <f>IF(ISERROR(VLOOKUP($A123,'SegEnds_NonXtal_BW#'!$A:$Z,14,FALSE)+VLOOKUP($A123,A:AL,19,FALSE)-50),"-",(VLOOKUP($A123,'SegEnds_NonXtal_BW#'!$A:$Z,14,FALSE)+VLOOKUP($A123,A:AL,19,FALSE)-50))</f>
        <v>165</v>
      </c>
      <c r="U123" s="9">
        <f>IF(ISERROR(VLOOKUP($A123,'SegEnds_NonXtal_BW#'!$A:$Z,15,FALSE)+VLOOKUP($A123,A:AL,22,FALSE)-50),"-",VLOOKUP($A123,'SegEnds_NonXtal_BW#'!$A:$Z,15,FALSE)+VLOOKUP($A123,A:AL,22,FALSE)-50)</f>
        <v>166</v>
      </c>
      <c r="V123" s="3">
        <v>178</v>
      </c>
      <c r="W123" s="3">
        <f>IF(ISERROR(VLOOKUP($A123,'SegEnds_NonXtal_BW#'!$A:$Z,16,FALSE)+VLOOKUP($A123,A:AL,22,FALSE)-50),"-",(VLOOKUP($A123,'SegEnds_NonXtal_BW#'!$A:$Z,16,FALSE)+VLOOKUP($A123,A:AL,22,FALSE)-50))</f>
        <v>192</v>
      </c>
      <c r="X123" s="3">
        <f>IF(ISERROR(VLOOKUP($A123,'SegEnds_NonXtal_BW#'!$A:$Z,17,FALSE)+VLOOKUP($A123,A:AL,25,FALSE)-50),"-",(VLOOKUP($A123,'SegEnds_NonXtal_BW#'!$A:$Z,17,FALSE)+VLOOKUP($A123,A:AL,25,FALSE)-50))</f>
        <v>202</v>
      </c>
      <c r="Y123" s="3">
        <v>202</v>
      </c>
      <c r="Z123" s="3">
        <f>Y123+2</f>
        <v>204</v>
      </c>
      <c r="AA123" s="3">
        <f>IF(ISERROR(VLOOKUP($A123,'SegEnds_NonXtal_BW#'!$A:$Z,19,FALSE)+VLOOKUP($A123,A:AL,28,FALSE)-50),"-",(VLOOKUP($A123,'SegEnds_NonXtal_BW#'!$A:$Z,19,FALSE)+VLOOKUP($A123,A:AL,28,FALSE)-50))</f>
        <v>210</v>
      </c>
      <c r="AB123" s="3">
        <v>230</v>
      </c>
      <c r="AC123" s="3">
        <f>IF(ISERROR((VLOOKUP($A123,'SegEnds_NonXtal_BW#'!$A:$Z,20,FALSE)+VLOOKUP($A123,A:AL,28,FALSE)-50)),"-",(VLOOKUP($A123,'SegEnds_NonXtal_BW#'!$A:$Z,20,FALSE)+VLOOKUP($A123,A:AL,28,FALSE)-50))</f>
        <v>248</v>
      </c>
      <c r="AD123" s="3">
        <f>IF(ISERROR(VLOOKUP($A123,'SegEnds_NonXtal_BW#'!$A:$Z,21,FALSE)+VLOOKUP($A123,A:AL,31,FALSE)-50),"-",(VLOOKUP($A123,'SegEnds_NonXtal_BW#'!$A:$Z,21,FALSE)+VLOOKUP($A123,A:AL,31,FALSE)-50))</f>
        <v>253</v>
      </c>
      <c r="AE123" s="3">
        <v>273</v>
      </c>
      <c r="AF123" s="3">
        <f>IF(ISERROR((VLOOKUP($A123,'SegEnds_NonXtal_BW#'!$A:$Z,22,FALSE)+VLOOKUP($A123,A:AL,31,FALSE)-50)),"-",(VLOOKUP($A123,'SegEnds_NonXtal_BW#'!$A:$Z,22,FALSE)+VLOOKUP($A123,A:AL,31,FALSE)-50))</f>
        <v>287</v>
      </c>
      <c r="AG123" s="3">
        <f>IF(ISERROR(VLOOKUP($A123,'SegEnds_NonXtal_BW#'!$A:$Z,23,FALSE)+VLOOKUP($A123,A:AL,34,FALSE)-50),"-",(VLOOKUP($A123,'SegEnds_NonXtal_BW#'!$A:$Z,23,FALSE)+VLOOKUP($A123,A:AL,34,FALSE)-50))</f>
        <v>291</v>
      </c>
      <c r="AH123" s="3">
        <v>317</v>
      </c>
      <c r="AI123" s="3">
        <f>IF(ISERROR((VLOOKUP($A123,'SegEnds_NonXtal_BW#'!$A:$Z,24,FALSE)+VLOOKUP($A123,A:AL,34,FALSE)-50)),"-",(VLOOKUP($A123,'SegEnds_NonXtal_BW#'!$A:$Z,24,FALSE)+VLOOKUP($A123,A:AL,34,FALSE)-50))</f>
        <v>323</v>
      </c>
      <c r="AJ123" s="3">
        <f>IF(ISERROR(VLOOKUP($A123,'SegEnds_NonXtal_BW#'!$A:$Z,25,FALSE)+VLOOKUP($A123,A:AL,37,FALSE)-50),"-",(VLOOKUP($A123,'SegEnds_NonXtal_BW#'!$A:$Z,25,FALSE)+VLOOKUP($A123,A:AL,37,FALSE)-50))</f>
        <v>324</v>
      </c>
      <c r="AK123" s="3">
        <v>327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>AND(IF(Y123="-",IF(AA123-W123&gt;3,TRUE,FALSE),TRUE),IF(M123="-",IF(O123-K123&gt;3,TRUE,FALSE),TRUE),C123&lt;E123,OR(E123&lt;F123,F123="-"),OR(F123&lt;H123,F123="-"),OR(H123&lt;I123,H123="-"),I123&lt;K123,OR(K123&lt;L123,L123="-"),OR(L123&lt;N123,L123="-"),OR(N123&lt;O123,N123="-"),O123&lt;Q123,OR(Q123&lt;R123,R123="-"),OR(R123&lt;T123,R123="-"),OR(T123&lt;U123,T123="-"),U123&lt;W123,OR(W123&lt;X123,X123="-"),OR(X123&lt;Z123,X123="-"),OR(Z123&lt;AA123,Z123="-"),AA123&lt;AC123,AC123&lt;AD123,AD123&lt;AF123,AF123&lt;AG123,AG123&lt;AI123,OR(AI123&lt;AJ123,AJ123="-"),OR(AJ123&lt;AL123,AJ123="-"))</f>
        <v>1</v>
      </c>
      <c r="AO123" s="3" t="str">
        <f>IF(ISERROR(MATCH(A123,'SegEnds_Xtal_Prot#'!B:B, 0)), "NoXtal", "Xtal")</f>
        <v>NoXtal</v>
      </c>
      <c r="AP123" s="3">
        <f>IF(ISERROR(F123-E123),"-",F123-E123)</f>
        <v>1</v>
      </c>
      <c r="AQ123" s="3">
        <f>IF(ISERROR(I123-H123),"-",I123-H123)</f>
        <v>1</v>
      </c>
      <c r="AR123" s="3">
        <f>IF(ISERROR(L123-K123),"-",L123-K123)</f>
        <v>2</v>
      </c>
      <c r="AS123" s="3">
        <f>IF(ISERROR(O123-N123),"-",O123-N123)</f>
        <v>1</v>
      </c>
      <c r="AT123" s="3">
        <f>IF(ISERROR(R123-Q123),"-",R123-Q123)</f>
        <v>1</v>
      </c>
      <c r="AU123" s="3">
        <f>IF(ISERROR(U123-T123),"-",U123-T123)</f>
        <v>1</v>
      </c>
      <c r="AV123" s="3">
        <f>IF(ISERROR(X123-W123),"-",X123-W123)</f>
        <v>10</v>
      </c>
      <c r="AW123" s="3">
        <f>IF(ISERROR(AA123-Z123),"-",AA123-Z123)</f>
        <v>6</v>
      </c>
      <c r="AX123" s="3">
        <f>IF(ISERROR(AD123-AC123),"-",AD123-AC123)</f>
        <v>5</v>
      </c>
      <c r="AY123" s="3">
        <f>IF(ISERROR(AG123-AF123),"-",AG123-AF123)</f>
        <v>4</v>
      </c>
      <c r="AZ123" s="3">
        <f>IF(ISERROR(AJ123-AI123),"-",AJ123-AI123)</f>
        <v>1</v>
      </c>
      <c r="BA123" s="3">
        <f>IF(ISERROR(LEN(VLOOKUP(A123,Seqs!A:E,2,FALSE))-AL123),"-",LEN(VLOOKUP(A123,Seqs!A:E,2,FALSE))-AL123)</f>
        <v>66</v>
      </c>
      <c r="BB123" s="16">
        <f>J123-D123</f>
        <v>28</v>
      </c>
      <c r="BC123" s="9">
        <f>IF(ISERROR(V123-S123),"-",V123-S123)</f>
        <v>20</v>
      </c>
      <c r="BD123" s="3">
        <f>J123-D123</f>
        <v>28</v>
      </c>
      <c r="BE123" s="3">
        <f>AE123-AB123</f>
        <v>43</v>
      </c>
    </row>
    <row r="124" spans="1:60" s="3" customFormat="1" x14ac:dyDescent="0.2">
      <c r="A124" s="3" t="s">
        <v>234</v>
      </c>
      <c r="B124" s="3" t="str">
        <f>LOWER(VLOOKUP(A124,Xtal_Templ!A:B,2,FALSE))</f>
        <v>oprk_human</v>
      </c>
      <c r="C124" s="3">
        <f>VLOOKUP($A124,'SegEnds_NonXtal_BW#'!$A:$Z,3,FALSE)+D124-50</f>
        <v>29</v>
      </c>
      <c r="D124" s="3">
        <v>49</v>
      </c>
      <c r="E124" s="3">
        <f>IF(ISERROR(VLOOKUP($A124,'SegEnds_NonXtal_BW#'!$A:$Z,4,FALSE)+VLOOKUP($A124,A:AL,4,FALSE)-50),"-",(VLOOKUP($A124,'SegEnds_NonXtal_BW#'!$A:$Z,4,FALSE)+VLOOKUP($A124,A:AL,4,FALSE)-50))</f>
        <v>59</v>
      </c>
      <c r="F124" s="3">
        <f>G124-2</f>
        <v>60</v>
      </c>
      <c r="G124" s="3">
        <v>62</v>
      </c>
      <c r="H124" s="3">
        <f>G124+1</f>
        <v>63</v>
      </c>
      <c r="I124" s="3">
        <f>H124+1</f>
        <v>64</v>
      </c>
      <c r="J124" s="3">
        <v>77</v>
      </c>
      <c r="K124" s="3">
        <f>VLOOKUP($A124,'SegEnds_NonXtal_BW#'!$A:$Z,8,FALSE)+VLOOKUP($A124,A:AL,10,FALSE)-50</f>
        <v>93</v>
      </c>
      <c r="L124" s="3">
        <f>M124-1</f>
        <v>96</v>
      </c>
      <c r="M124" s="3">
        <v>97</v>
      </c>
      <c r="N124" s="3">
        <f>M124+2</f>
        <v>99</v>
      </c>
      <c r="O124" s="3">
        <f>N124+1</f>
        <v>100</v>
      </c>
      <c r="P124" s="3">
        <v>129</v>
      </c>
      <c r="Q124" s="3">
        <f>VLOOKUP($A124,'SegEnds_NonXtal_BW#'!$A:$Z,12,FALSE)+VLOOKUP($A124,A:AL,16,FALSE)-50</f>
        <v>135</v>
      </c>
      <c r="R124" s="3">
        <f>IF(ISERROR(VLOOKUP($A124,'SegEnds_NonXtal_BW#'!$A:$Z,13,FALSE)+VLOOKUP($A124,A:AL,19,FALSE)-50),"-",VLOOKUP($A124,'SegEnds_NonXtal_BW#'!$A:$Z,13,FALSE)+VLOOKUP($A124,A:AL,19,FALSE)-50)</f>
        <v>136</v>
      </c>
      <c r="S124" s="3">
        <v>136</v>
      </c>
      <c r="T124" s="103">
        <f>IF(ISERROR(VLOOKUP($A124,'SegEnds_NonXtal_BW#'!$A:$Z,14,FALSE)+VLOOKUP($A124,A:AL,19,FALSE)-50),"-",(VLOOKUP($A124,'SegEnds_NonXtal_BW#'!$A:$Z,14,FALSE)+VLOOKUP($A124,A:AL,19,FALSE)-50))</f>
        <v>143</v>
      </c>
      <c r="U124" s="9">
        <f>IF(ISERROR(VLOOKUP($A124,'SegEnds_NonXtal_BW#'!$A:$Z,15,FALSE)+VLOOKUP($A124,A:AL,22,FALSE)-50),"-",VLOOKUP($A124,'SegEnds_NonXtal_BW#'!$A:$Z,15,FALSE)+VLOOKUP($A124,A:AL,22,FALSE)-50)</f>
        <v>144</v>
      </c>
      <c r="V124" s="3">
        <v>156</v>
      </c>
      <c r="W124" s="3">
        <f>IF(ISERROR(VLOOKUP($A124,'SegEnds_NonXtal_BW#'!$A:$Z,16,FALSE)+VLOOKUP($A124,A:AL,22,FALSE)-50),"-",(VLOOKUP($A124,'SegEnds_NonXtal_BW#'!$A:$Z,16,FALSE)+VLOOKUP($A124,A:AL,22,FALSE)-50))</f>
        <v>170</v>
      </c>
      <c r="X124" s="3">
        <f>IF(ISERROR(VLOOKUP($A124,'SegEnds_NonXtal_BW#'!$A:$Z,17,FALSE)+VLOOKUP($A124,A:AL,25,FALSE)-50),"-",(VLOOKUP($A124,'SegEnds_NonXtal_BW#'!$A:$Z,17,FALSE)+VLOOKUP($A124,A:AL,25,FALSE)-50))</f>
        <v>181</v>
      </c>
      <c r="Y124" s="3">
        <v>181</v>
      </c>
      <c r="Z124" s="3">
        <f>Y124+2</f>
        <v>183</v>
      </c>
      <c r="AA124" s="3">
        <f>IF(ISERROR(VLOOKUP($A124,'SegEnds_NonXtal_BW#'!$A:$Z,19,FALSE)+VLOOKUP($A124,A:AL,28,FALSE)-50),"-",(VLOOKUP($A124,'SegEnds_NonXtal_BW#'!$A:$Z,19,FALSE)+VLOOKUP($A124,A:AL,28,FALSE)-50))</f>
        <v>189</v>
      </c>
      <c r="AB124" s="3">
        <v>208</v>
      </c>
      <c r="AC124" s="3">
        <f>IF(ISERROR((VLOOKUP($A124,'SegEnds_NonXtal_BW#'!$A:$Z,20,FALSE)+VLOOKUP($A124,A:AL,28,FALSE)-50)),"-",(VLOOKUP($A124,'SegEnds_NonXtal_BW#'!$A:$Z,20,FALSE)+VLOOKUP($A124,A:AL,28,FALSE)-50))</f>
        <v>226</v>
      </c>
      <c r="AD124" s="3">
        <f>IF(ISERROR(VLOOKUP($A124,'SegEnds_NonXtal_BW#'!$A:$Z,21,FALSE)+VLOOKUP($A124,A:AL,31,FALSE)-50),"-",(VLOOKUP($A124,'SegEnds_NonXtal_BW#'!$A:$Z,21,FALSE)+VLOOKUP($A124,A:AL,31,FALSE)-50))</f>
        <v>232</v>
      </c>
      <c r="AE124" s="3">
        <v>259</v>
      </c>
      <c r="AF124" s="3">
        <f>IF(ISERROR((VLOOKUP($A124,'SegEnds_NonXtal_BW#'!$A:$Z,22,FALSE)+VLOOKUP($A124,A:AL,31,FALSE)-50)),"-",(VLOOKUP($A124,'SegEnds_NonXtal_BW#'!$A:$Z,22,FALSE)+VLOOKUP($A124,A:AL,31,FALSE)-50))</f>
        <v>273</v>
      </c>
      <c r="AG124" s="3">
        <f>IF(ISERROR(VLOOKUP($A124,'SegEnds_NonXtal_BW#'!$A:$Z,23,FALSE)+VLOOKUP($A124,A:AL,34,FALSE)-50),"-",(VLOOKUP($A124,'SegEnds_NonXtal_BW#'!$A:$Z,23,FALSE)+VLOOKUP($A124,A:AL,34,FALSE)-50))</f>
        <v>279</v>
      </c>
      <c r="AH124" s="3">
        <v>305</v>
      </c>
      <c r="AI124" s="3">
        <f>IF(ISERROR((VLOOKUP($A124,'SegEnds_NonXtal_BW#'!$A:$Z,24,FALSE)+VLOOKUP($A124,A:AL,34,FALSE)-50)),"-",(VLOOKUP($A124,'SegEnds_NonXtal_BW#'!$A:$Z,24,FALSE)+VLOOKUP($A124,A:AL,34,FALSE)-50))</f>
        <v>311</v>
      </c>
      <c r="AJ124" s="3">
        <f>IF(ISERROR(VLOOKUP($A124,'SegEnds_NonXtal_BW#'!$A:$Z,25,FALSE)+VLOOKUP($A124,A:AL,37,FALSE)-50),"-",(VLOOKUP($A124,'SegEnds_NonXtal_BW#'!$A:$Z,25,FALSE)+VLOOKUP($A124,A:AL,37,FALSE)-50))</f>
        <v>312</v>
      </c>
      <c r="AK124" s="3">
        <v>315</v>
      </c>
      <c r="AL124" s="3">
        <f>IF(ISERROR((VLOOKUP($A124,'SegEnds_NonXtal_BW#'!$A:$Z,26,FALSE)+VLOOKUP($A124,A:AL,37,FALSE)-50)),"-",(VLOOKUP($A124,'SegEnds_NonXtal_BW#'!$A:$Z,26,FALSE)+VLOOKUP($A124,A:AL,37,FALSE)-50))</f>
        <v>324</v>
      </c>
      <c r="AM124" s="28" t="str">
        <f>VLOOKUP(A124,Classification!A:B,2,FALSE)</f>
        <v>A</v>
      </c>
      <c r="AN124" s="28" t="b">
        <f>AND(IF(Y124="-",IF(AA124-W124&gt;3,TRUE,FALSE),TRUE),IF(M124="-",IF(O124-K124&gt;3,TRUE,FALSE),TRUE),C124&lt;E124,OR(E124&lt;F124,F124="-"),OR(F124&lt;H124,F124="-"),OR(H124&lt;I124,H124="-"),I124&lt;K124,OR(K124&lt;L124,L124="-"),OR(L124&lt;N124,L124="-"),OR(N124&lt;O124,N124="-"),O124&lt;Q124,OR(Q124&lt;R124,R124="-"),OR(R124&lt;T124,R124="-"),OR(T124&lt;U124,T124="-"),U124&lt;W124,OR(W124&lt;X124,X124="-"),OR(X124&lt;Z124,X124="-"),OR(Z124&lt;AA124,Z124="-"),AA124&lt;AC124,AC124&lt;AD124,AD124&lt;AF124,AF124&lt;AG124,AG124&lt;AI124,OR(AI124&lt;AJ124,AJ124="-"),OR(AJ124&lt;AL124,AJ124="-"))</f>
        <v>1</v>
      </c>
      <c r="AO124" s="3" t="str">
        <f>IF(ISERROR(MATCH(A124,'SegEnds_Xtal_Prot#'!B:B, 0)), "NoXtal", "Xtal")</f>
        <v>NoXtal</v>
      </c>
      <c r="AP124" s="3">
        <f>IF(ISERROR(F124-E124),"-",F124-E124)</f>
        <v>1</v>
      </c>
      <c r="AQ124" s="3">
        <f>IF(ISERROR(I124-H124),"-",I124-H124)</f>
        <v>1</v>
      </c>
      <c r="AR124" s="3">
        <f>IF(ISERROR(L124-K124),"-",L124-K124)</f>
        <v>3</v>
      </c>
      <c r="AS124" s="3">
        <f>IF(ISERROR(O124-N124),"-",O124-N124)</f>
        <v>1</v>
      </c>
      <c r="AT124" s="3">
        <f>IF(ISERROR(R124-Q124),"-",R124-Q124)</f>
        <v>1</v>
      </c>
      <c r="AU124" s="3">
        <f>IF(ISERROR(U124-T124),"-",U124-T124)</f>
        <v>1</v>
      </c>
      <c r="AV124" s="3">
        <f>IF(ISERROR(X124-W124),"-",X124-W124)</f>
        <v>11</v>
      </c>
      <c r="AW124" s="3">
        <f>IF(ISERROR(AA124-Z124),"-",AA124-Z124)</f>
        <v>6</v>
      </c>
      <c r="AX124" s="3">
        <f>IF(ISERROR(AD124-AC124),"-",AD124-AC124)</f>
        <v>6</v>
      </c>
      <c r="AY124" s="3">
        <f>IF(ISERROR(AG124-AF124),"-",AG124-AF124)</f>
        <v>6</v>
      </c>
      <c r="AZ124" s="3">
        <f>IF(ISERROR(AJ124-AI124),"-",AJ124-AI124)</f>
        <v>1</v>
      </c>
      <c r="BA124" s="3">
        <f>IF(ISERROR(LEN(VLOOKUP(A124,Seqs!A:E,2,FALSE))-AL124),"-",LEN(VLOOKUP(A124,Seqs!A:E,2,FALSE))-AL124)</f>
        <v>37</v>
      </c>
      <c r="BB124" s="16">
        <f>J124-D124</f>
        <v>28</v>
      </c>
      <c r="BC124" s="9">
        <f>IF(ISERROR(V124-S124),"-",V124-S124)</f>
        <v>20</v>
      </c>
      <c r="BD124" s="3">
        <f>J124-D124</f>
        <v>28</v>
      </c>
      <c r="BE124" s="3">
        <f>AE124-AB124</f>
        <v>51</v>
      </c>
    </row>
    <row r="125" spans="1:60" s="3" customFormat="1" x14ac:dyDescent="0.2">
      <c r="A125" s="3" t="s">
        <v>236</v>
      </c>
      <c r="B125" s="3" t="str">
        <f>LOWER(VLOOKUP(A125,Xtal_Templ!A:B,2,FALSE))</f>
        <v>ccr5_human</v>
      </c>
      <c r="C125" s="3">
        <f>VLOOKUP($A125,'SegEnds_NonXtal_BW#'!$A:$Z,3,FALSE)+D125-50</f>
        <v>51</v>
      </c>
      <c r="D125" s="3">
        <v>77</v>
      </c>
      <c r="E125" s="3">
        <f>IF(ISERROR(VLOOKUP($A125,'SegEnds_NonXtal_BW#'!$A:$Z,4,FALSE)+VLOOKUP($A125,A:AL,4,FALSE)-50),"-",(VLOOKUP($A125,'SegEnds_NonXtal_BW#'!$A:$Z,4,FALSE)+VLOOKUP($A125,A:AL,4,FALSE)-50))</f>
        <v>87</v>
      </c>
      <c r="F125" s="3">
        <f>G125-2</f>
        <v>88</v>
      </c>
      <c r="G125" s="3">
        <v>90</v>
      </c>
      <c r="H125" s="3">
        <f>G125+1</f>
        <v>91</v>
      </c>
      <c r="I125" s="3">
        <f>H125+1</f>
        <v>92</v>
      </c>
      <c r="J125" s="3">
        <v>105</v>
      </c>
      <c r="K125" s="3">
        <f>VLOOKUP($A125,'SegEnds_NonXtal_BW#'!$A:$Z,8,FALSE)+VLOOKUP($A125,A:AL,10,FALSE)-50</f>
        <v>121</v>
      </c>
      <c r="L125" s="3">
        <f>M125-1</f>
        <v>123</v>
      </c>
      <c r="M125" s="3">
        <v>124</v>
      </c>
      <c r="N125" s="3">
        <f>M125+2</f>
        <v>126</v>
      </c>
      <c r="O125" s="3">
        <f>N125+1</f>
        <v>127</v>
      </c>
      <c r="P125" s="3">
        <v>155</v>
      </c>
      <c r="Q125" s="3">
        <f>VLOOKUP($A125,'SegEnds_NonXtal_BW#'!$A:$Z,12,FALSE)+VLOOKUP($A125,A:AL,16,FALSE)-50</f>
        <v>161</v>
      </c>
      <c r="R125" s="3">
        <f>IF(ISERROR(VLOOKUP($A125,'SegEnds_NonXtal_BW#'!$A:$Z,13,FALSE)+VLOOKUP($A125,A:AL,19,FALSE)-50),"-",VLOOKUP($A125,'SegEnds_NonXtal_BW#'!$A:$Z,13,FALSE)+VLOOKUP($A125,A:AL,19,FALSE)-50)</f>
        <v>162</v>
      </c>
      <c r="S125" s="3">
        <v>162</v>
      </c>
      <c r="T125" s="103">
        <f>IF(ISERROR(VLOOKUP($A125,'SegEnds_NonXtal_BW#'!$A:$Z,14,FALSE)+VLOOKUP($A125,A:AL,19,FALSE)-50),"-",(VLOOKUP($A125,'SegEnds_NonXtal_BW#'!$A:$Z,14,FALSE)+VLOOKUP($A125,A:AL,19,FALSE)-50))</f>
        <v>169</v>
      </c>
      <c r="U125" s="9">
        <f>IF(ISERROR(VLOOKUP($A125,'SegEnds_NonXtal_BW#'!$A:$Z,15,FALSE)+VLOOKUP($A125,A:AL,22,FALSE)-50),"-",VLOOKUP($A125,'SegEnds_NonXtal_BW#'!$A:$Z,15,FALSE)+VLOOKUP($A125,A:AL,22,FALSE)-50)</f>
        <v>170</v>
      </c>
      <c r="V125" s="3">
        <v>182</v>
      </c>
      <c r="W125" s="3">
        <f>IF(ISERROR(VLOOKUP($A125,'SegEnds_NonXtal_BW#'!$A:$Z,16,FALSE)+VLOOKUP($A125,A:AL,22,FALSE)-50),"-",(VLOOKUP($A125,'SegEnds_NonXtal_BW#'!$A:$Z,16,FALSE)+VLOOKUP($A125,A:AL,22,FALSE)-50))</f>
        <v>196</v>
      </c>
      <c r="X125" s="3">
        <f>IF(ISERROR(VLOOKUP($A125,'SegEnds_NonXtal_BW#'!$A:$Z,17,FALSE)+VLOOKUP($A125,A:AL,25,FALSE)-50),"-",(VLOOKUP($A125,'SegEnds_NonXtal_BW#'!$A:$Z,17,FALSE)+VLOOKUP($A125,A:AL,25,FALSE)-50))</f>
        <v>205</v>
      </c>
      <c r="Y125" s="3">
        <v>205</v>
      </c>
      <c r="Z125" s="3">
        <f>Y125+2</f>
        <v>207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226</v>
      </c>
      <c r="AC125" s="3">
        <f>IF(ISERROR((VLOOKUP($A125,'SegEnds_NonXtal_BW#'!$A:$Z,20,FALSE)+VLOOKUP($A125,A:AL,28,FALSE)-50)),"-",(VLOOKUP($A125,'SegEnds_NonXtal_BW#'!$A:$Z,20,FALSE)+VLOOKUP($A125,A:AL,28,FALSE)-50))</f>
        <v>244</v>
      </c>
      <c r="AD125" s="3">
        <f>IF(ISERROR(VLOOKUP($A125,'SegEnds_NonXtal_BW#'!$A:$Z,21,FALSE)+VLOOKUP($A125,A:AL,31,FALSE)-50),"-",(VLOOKUP($A125,'SegEnds_NonXtal_BW#'!$A:$Z,21,FALSE)+VLOOKUP($A125,A:AL,31,FALSE)-50))</f>
        <v>248</v>
      </c>
      <c r="AE125" s="3">
        <v>274</v>
      </c>
      <c r="AF125" s="3">
        <f>IF(ISERROR((VLOOKUP($A125,'SegEnds_NonXtal_BW#'!$A:$Z,22,FALSE)+VLOOKUP($A125,A:AL,31,FALSE)-50)),"-",(VLOOKUP($A125,'SegEnds_NonXtal_BW#'!$A:$Z,22,FALSE)+VLOOKUP($A125,A:AL,31,FALSE)-50))</f>
        <v>288</v>
      </c>
      <c r="AG125" s="3">
        <f>IF(ISERROR(VLOOKUP($A125,'SegEnds_NonXtal_BW#'!$A:$Z,23,FALSE)+VLOOKUP($A125,A:AL,34,FALSE)-50),"-",(VLOOKUP($A125,'SegEnds_NonXtal_BW#'!$A:$Z,23,FALSE)+VLOOKUP($A125,A:AL,34,FALSE)-50))</f>
        <v>295</v>
      </c>
      <c r="AH125" s="3">
        <v>321</v>
      </c>
      <c r="AI125" s="3">
        <f>IF(ISERROR((VLOOKUP($A125,'SegEnds_NonXtal_BW#'!$A:$Z,24,FALSE)+VLOOKUP($A125,A:AL,34,FALSE)-50)),"-",(VLOOKUP($A125,'SegEnds_NonXtal_BW#'!$A:$Z,24,FALSE)+VLOOKUP($A125,A:AL,34,FALSE)-50))</f>
        <v>327</v>
      </c>
      <c r="AJ125" s="3">
        <f>IF(ISERROR(VLOOKUP($A125,'SegEnds_NonXtal_BW#'!$A:$Z,25,FALSE)+VLOOKUP($A125,A:AL,37,FALSE)-50),"-",(VLOOKUP($A125,'SegEnds_NonXtal_BW#'!$A:$Z,25,FALSE)+VLOOKUP($A125,A:AL,37,FALSE)-50))</f>
        <v>328</v>
      </c>
      <c r="AK125" s="3">
        <v>331</v>
      </c>
      <c r="AL125" s="3">
        <f>IF(ISERROR((VLOOKUP($A125,'SegEnds_NonXtal_BW#'!$A:$Z,26,FALSE)+VLOOKUP($A125,A:AL,37,FALSE)-50)),"-",(VLOOKUP($A125,'SegEnds_NonXtal_BW#'!$A:$Z,26,FALSE)+VLOOKUP($A125,A:AL,37,FALSE)-50))</f>
        <v>340</v>
      </c>
      <c r="AM125" s="28" t="str">
        <f>VLOOKUP(A125,Classification!A:B,2,FALSE)</f>
        <v>A</v>
      </c>
      <c r="AN125" s="28" t="b">
        <f>AND(IF(Y125="-",IF(AA125-W125&gt;3,TRUE,FALSE),TRUE),IF(M125="-",IF(O125-K125&gt;3,TRUE,FALSE),TRUE),C125&lt;E125,OR(E125&lt;F125,F125="-"),OR(F125&lt;H125,F125="-"),OR(H125&lt;I125,H125="-"),I125&lt;K125,OR(K125&lt;L125,L125="-"),OR(L125&lt;N125,L125="-"),OR(N125&lt;O125,N125="-"),O125&lt;Q125,OR(Q125&lt;R125,R125="-"),OR(R125&lt;T125,R125="-"),OR(T125&lt;U125,T125="-"),U125&lt;W125,OR(W125&lt;X125,X125="-"),OR(X125&lt;Z125,X125="-"),OR(Z125&lt;AA125,Z125="-"),AA125&lt;AC125,AC125&lt;AD125,AD125&lt;AF125,AF125&lt;AG125,AG125&lt;AI125,OR(AI125&lt;AJ125,AJ125="-"),OR(AJ125&lt;AL125,AJ125="-"))</f>
        <v>1</v>
      </c>
      <c r="AO125" s="3" t="str">
        <f>IF(ISERROR(MATCH(A125,'SegEnds_Xtal_Prot#'!B:B, 0)), "NoXtal", "Xtal")</f>
        <v>NoXtal</v>
      </c>
      <c r="AP125" s="3">
        <f>IF(ISERROR(F125-E125),"-",F125-E125)</f>
        <v>1</v>
      </c>
      <c r="AQ125" s="3">
        <f>IF(ISERROR(I125-H125),"-",I125-H125)</f>
        <v>1</v>
      </c>
      <c r="AR125" s="3">
        <f>IF(ISERROR(L125-K125),"-",L125-K125)</f>
        <v>2</v>
      </c>
      <c r="AS125" s="3">
        <f>IF(ISERROR(O125-N125),"-",O125-N125)</f>
        <v>1</v>
      </c>
      <c r="AT125" s="3">
        <f>IF(ISERROR(R125-Q125),"-",R125-Q125)</f>
        <v>1</v>
      </c>
      <c r="AU125" s="3">
        <f>IF(ISERROR(U125-T125),"-",U125-T125)</f>
        <v>1</v>
      </c>
      <c r="AV125" s="3">
        <f>IF(ISERROR(X125-W125),"-",X125-W125)</f>
        <v>9</v>
      </c>
      <c r="AW125" s="3">
        <f>IF(ISERROR(AA125-Z125),"-",AA125-Z125)</f>
        <v>3</v>
      </c>
      <c r="AX125" s="3">
        <f>IF(ISERROR(AD125-AC125),"-",AD125-AC125)</f>
        <v>4</v>
      </c>
      <c r="AY125" s="3">
        <f>IF(ISERROR(AG125-AF125),"-",AG125-AF125)</f>
        <v>7</v>
      </c>
      <c r="AZ125" s="3">
        <f>IF(ISERROR(AJ125-AI125),"-",AJ125-AI125)</f>
        <v>1</v>
      </c>
      <c r="BA125" s="3">
        <f>IF(ISERROR(LEN(VLOOKUP(A125,Seqs!A:E,2,FALSE))-AL125),"-",LEN(VLOOKUP(A125,Seqs!A:E,2,FALSE))-AL125)</f>
        <v>35</v>
      </c>
      <c r="BB125" s="16">
        <f>J125-D125</f>
        <v>28</v>
      </c>
      <c r="BC125" s="9">
        <f>IF(ISERROR(V125-S125),"-",V125-S125)</f>
        <v>20</v>
      </c>
      <c r="BD125" s="3">
        <f>J125-D125</f>
        <v>28</v>
      </c>
      <c r="BE125" s="3">
        <f>AE125-AB125</f>
        <v>48</v>
      </c>
    </row>
    <row r="126" spans="1:60" s="3" customFormat="1" x14ac:dyDescent="0.2">
      <c r="A126" s="3" t="s">
        <v>237</v>
      </c>
      <c r="B126" s="3" t="str">
        <f>LOWER(VLOOKUP(A126,Xtal_Templ!A:B,2,FALSE))</f>
        <v>agtr1_human</v>
      </c>
      <c r="C126" s="3">
        <f>VLOOKUP($A126,'SegEnds_NonXtal_BW#'!$A:$Z,3,FALSE)+D126-50</f>
        <v>36</v>
      </c>
      <c r="D126" s="3">
        <v>56</v>
      </c>
      <c r="E126" s="3">
        <f>IF(ISERROR(VLOOKUP($A126,'SegEnds_NonXtal_BW#'!$A:$Z,4,FALSE)+VLOOKUP($A126,A:AL,4,FALSE)-50),"-",(VLOOKUP($A126,'SegEnds_NonXtal_BW#'!$A:$Z,4,FALSE)+VLOOKUP($A126,A:AL,4,FALSE)-50))</f>
        <v>66</v>
      </c>
      <c r="F126" s="3" t="str">
        <f>IF(ISERROR(VLOOKUP($A126,'SegEnds_NonXtal_BW#'!$A:$Z,5,FALSE)+VLOOKUP($A126,A:AL,7,FALSE)-50),"-",(VLOOKUP($A126,'SegEnds_NonXtal_BW#'!$A:$Z,5,FALSE)+VLOOKUP($A126,A:AL,7,FALSE)-50))</f>
        <v>-</v>
      </c>
      <c r="G126" s="3" t="s">
        <v>23</v>
      </c>
      <c r="H126" s="3" t="str">
        <f>IF(ISERROR(VLOOKUP($A126,'SegEnds_NonXtal_BW#'!$A:$Z,6,FALSE)+VLOOKUP($A126,A:AL,7,FALSE)-50),"-",(VLOOKUP($A126,'SegEnds_NonXtal_BW#'!$A:$Z,6,FALSE)+VLOOKUP($A126,A:AL,7,FALSE)-50))</f>
        <v>-</v>
      </c>
      <c r="I126" s="3">
        <f>VLOOKUP($A126,'SegEnds_NonXtal_BW#'!$A:$Z,7,FALSE)+J126-50</f>
        <v>70</v>
      </c>
      <c r="J126" s="3">
        <v>83</v>
      </c>
      <c r="K126" s="3">
        <f>VLOOKUP($A126,'SegEnds_NonXtal_BW#'!$A:$Z,8,FALSE)+VLOOKUP($A126,A:AL,10,FALSE)-50</f>
        <v>99</v>
      </c>
      <c r="L126" s="3">
        <f>M126-1</f>
        <v>102</v>
      </c>
      <c r="M126" s="3">
        <v>103</v>
      </c>
      <c r="N126" s="3">
        <f>M126+2</f>
        <v>105</v>
      </c>
      <c r="O126" s="3">
        <f>N126+1</f>
        <v>106</v>
      </c>
      <c r="P126" s="3">
        <v>135</v>
      </c>
      <c r="Q126" s="3">
        <f>VLOOKUP($A126,'SegEnds_NonXtal_BW#'!$A:$Z,12,FALSE)+VLOOKUP($A126,A:AL,16,FALSE)-50</f>
        <v>141</v>
      </c>
      <c r="R126" s="3">
        <f>IF(ISERROR(VLOOKUP($A126,'SegEnds_NonXtal_BW#'!$A:$Z,13,FALSE)+VLOOKUP($A126,A:AL,19,FALSE)-50),"-",VLOOKUP($A126,'SegEnds_NonXtal_BW#'!$A:$Z,13,FALSE)+VLOOKUP($A126,A:AL,19,FALSE)-50)</f>
        <v>142</v>
      </c>
      <c r="S126" s="3">
        <v>142</v>
      </c>
      <c r="T126" s="103">
        <f>IF(ISERROR(VLOOKUP($A126,'SegEnds_NonXtal_BW#'!$A:$Z,14,FALSE)+VLOOKUP($A126,A:AL,19,FALSE)-50),"-",(VLOOKUP($A126,'SegEnds_NonXtal_BW#'!$A:$Z,14,FALSE)+VLOOKUP($A126,A:AL,19,FALSE)-50))</f>
        <v>149</v>
      </c>
      <c r="U126" s="9">
        <f>IF(ISERROR(VLOOKUP($A126,'SegEnds_NonXtal_BW#'!$A:$Z,15,FALSE)+VLOOKUP($A126,A:AL,22,FALSE)-50),"-",VLOOKUP($A126,'SegEnds_NonXtal_BW#'!$A:$Z,15,FALSE)+VLOOKUP($A126,A:AL,22,FALSE)-50)</f>
        <v>150</v>
      </c>
      <c r="V126" s="3">
        <v>162</v>
      </c>
      <c r="W126" s="3">
        <f>IF(ISERROR(VLOOKUP($A126,'SegEnds_NonXtal_BW#'!$A:$Z,16,FALSE)+VLOOKUP($A126,A:AL,22,FALSE)-50),"-",(VLOOKUP($A126,'SegEnds_NonXtal_BW#'!$A:$Z,16,FALSE)+VLOOKUP($A126,A:AL,22,FALSE)-50))</f>
        <v>176</v>
      </c>
      <c r="X126" s="3">
        <f>IF(ISERROR(VLOOKUP($A126,'SegEnds_NonXtal_BW#'!$A:$Z,17,FALSE)+VLOOKUP($A126,A:AL,25,FALSE)-50),"-",(VLOOKUP($A126,'SegEnds_NonXtal_BW#'!$A:$Z,17,FALSE)+VLOOKUP($A126,A:AL,25,FALSE)-50))</f>
        <v>187</v>
      </c>
      <c r="Y126" s="3">
        <v>187</v>
      </c>
      <c r="Z126" s="3">
        <f>Y126+2</f>
        <v>189</v>
      </c>
      <c r="AA126" s="3">
        <f>IF(ISERROR(VLOOKUP($A126,'SegEnds_NonXtal_BW#'!$A:$Z,19,FALSE)+VLOOKUP($A126,A:AL,28,FALSE)-50),"-",(VLOOKUP($A126,'SegEnds_NonXtal_BW#'!$A:$Z,19,FALSE)+VLOOKUP($A126,A:AL,28,FALSE)-50))</f>
        <v>202</v>
      </c>
      <c r="AB126" s="3">
        <v>218</v>
      </c>
      <c r="AC126" s="3">
        <f>IF(ISERROR((VLOOKUP($A126,'SegEnds_NonXtal_BW#'!$A:$Z,20,FALSE)+VLOOKUP($A126,A:AL,28,FALSE)-50)),"-",(VLOOKUP($A126,'SegEnds_NonXtal_BW#'!$A:$Z,20,FALSE)+VLOOKUP($A126,A:AL,28,FALSE)-50))</f>
        <v>236</v>
      </c>
      <c r="AD126" s="3">
        <f>IF(ISERROR(VLOOKUP($A126,'SegEnds_NonXtal_BW#'!$A:$Z,21,FALSE)+VLOOKUP($A126,A:AL,31,FALSE)-50),"-",(VLOOKUP($A126,'SegEnds_NonXtal_BW#'!$A:$Z,21,FALSE)+VLOOKUP($A126,A:AL,31,FALSE)-50))</f>
        <v>241</v>
      </c>
      <c r="AE126" s="3">
        <v>261</v>
      </c>
      <c r="AF126" s="3">
        <f>IF(ISERROR((VLOOKUP($A126,'SegEnds_NonXtal_BW#'!$A:$Z,22,FALSE)+VLOOKUP($A126,A:AL,31,FALSE)-50)),"-",(VLOOKUP($A126,'SegEnds_NonXtal_BW#'!$A:$Z,22,FALSE)+VLOOKUP($A126,A:AL,31,FALSE)-50))</f>
        <v>272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301</v>
      </c>
      <c r="AI126" s="3">
        <f>IF(ISERROR((VLOOKUP($A126,'SegEnds_NonXtal_BW#'!$A:$Z,24,FALSE)+VLOOKUP($A126,A:AL,34,FALSE)-50)),"-",(VLOOKUP($A126,'SegEnds_NonXtal_BW#'!$A:$Z,24,FALSE)+VLOOKUP($A126,A:AL,34,FALSE)-50))</f>
        <v>307</v>
      </c>
      <c r="AJ126" s="3">
        <f>IF(ISERROR(VLOOKUP($A126,'SegEnds_NonXtal_BW#'!$A:$Z,25,FALSE)+VLOOKUP($A126,A:AL,37,FALSE)-50),"-",(VLOOKUP($A126,'SegEnds_NonXtal_BW#'!$A:$Z,25,FALSE)+VLOOKUP($A126,A:AL,37,FALSE)-50))</f>
        <v>308</v>
      </c>
      <c r="AK126" s="3">
        <v>311</v>
      </c>
      <c r="AL126" s="3">
        <f>IF(ISERROR((VLOOKUP($A126,'SegEnds_NonXtal_BW#'!$A:$Z,26,FALSE)+VLOOKUP($A126,A:AL,37,FALSE)-50)),"-",(VLOOKUP($A126,'SegEnds_NonXtal_BW#'!$A:$Z,26,FALSE)+VLOOKUP($A126,A:AL,37,FALSE)-50))</f>
        <v>322</v>
      </c>
      <c r="AM126" s="28" t="str">
        <f>VLOOKUP(A126,Classification!A:B,2,FALSE)</f>
        <v>A</v>
      </c>
      <c r="AN126" s="28" t="b">
        <f>AND(IF(Y126="-",IF(AA126-W126&gt;3,TRUE,FALSE),TRUE),IF(M126="-",IF(O126-K126&gt;3,TRUE,FALSE),TRUE),C126&lt;E126,OR(E126&lt;F126,F126="-"),OR(F126&lt;H126,F126="-"),OR(H126&lt;I126,H126="-"),I126&lt;K126,OR(K126&lt;L126,L126="-"),OR(L126&lt;N126,L126="-"),OR(N126&lt;O126,N126="-"),O126&lt;Q126,OR(Q126&lt;R126,R126="-"),OR(R126&lt;T126,R126="-"),OR(T126&lt;U126,T126="-"),U126&lt;W126,OR(W126&lt;X126,X126="-"),OR(X126&lt;Z126,X126="-"),OR(Z126&lt;AA126,Z126="-"),AA126&lt;AC126,AC126&lt;AD126,AD126&lt;AF126,AF126&lt;AG126,AG126&lt;AI126,OR(AI126&lt;AJ126,AJ126="-"),OR(AJ126&lt;AL126,AJ126="-"))</f>
        <v>1</v>
      </c>
      <c r="AO126" s="3" t="str">
        <f>IF(ISERROR(MATCH(A126,'SegEnds_Xtal_Prot#'!B:B, 0)), "NoXtal", "Xtal")</f>
        <v>NoXtal</v>
      </c>
      <c r="AP126" s="3" t="str">
        <f>IF(ISERROR(F126-E126),"-",F126-E126)</f>
        <v>-</v>
      </c>
      <c r="AQ126" s="3" t="str">
        <f>IF(ISERROR(I126-H126),"-",I126-H126)</f>
        <v>-</v>
      </c>
      <c r="AR126" s="3">
        <f>IF(ISERROR(L126-K126),"-",L126-K126)</f>
        <v>3</v>
      </c>
      <c r="AS126" s="3">
        <f>IF(ISERROR(O126-N126),"-",O126-N126)</f>
        <v>1</v>
      </c>
      <c r="AT126" s="3">
        <f>IF(ISERROR(R126-Q126),"-",R126-Q126)</f>
        <v>1</v>
      </c>
      <c r="AU126" s="3">
        <f>IF(ISERROR(U126-T126),"-",U126-T126)</f>
        <v>1</v>
      </c>
      <c r="AV126" s="3">
        <f>IF(ISERROR(X126-W126),"-",X126-W126)</f>
        <v>11</v>
      </c>
      <c r="AW126" s="3">
        <f>IF(ISERROR(AA126-Z126),"-",AA126-Z126)</f>
        <v>13</v>
      </c>
      <c r="AX126" s="3">
        <f>IF(ISERROR(AD126-AC126),"-",AD126-AC126)</f>
        <v>5</v>
      </c>
      <c r="AY126" s="3">
        <f>IF(ISERROR(AG126-AF126),"-",AG126-AF126)</f>
        <v>7</v>
      </c>
      <c r="AZ126" s="3">
        <f>IF(ISERROR(AJ126-AI126),"-",AJ126-AI126)</f>
        <v>1</v>
      </c>
      <c r="BA126" s="3">
        <f>IF(ISERROR(LEN(VLOOKUP(A126,Seqs!A:E,2,FALSE))-AL126),"-",LEN(VLOOKUP(A126,Seqs!A:E,2,FALSE))-AL126)</f>
        <v>33</v>
      </c>
      <c r="BB126" s="16">
        <f>J126-D126</f>
        <v>27</v>
      </c>
      <c r="BC126" s="9">
        <f>IF(ISERROR(V126-S126),"-",V126-S126)</f>
        <v>20</v>
      </c>
      <c r="BD126" s="3">
        <f>J126-D126</f>
        <v>27</v>
      </c>
      <c r="BE126" s="3">
        <f>AE126-AB126</f>
        <v>43</v>
      </c>
    </row>
    <row r="127" spans="1:60" s="3" customFormat="1" x14ac:dyDescent="0.2">
      <c r="A127" s="3" t="s">
        <v>238</v>
      </c>
      <c r="B127" s="3" t="str">
        <f>LOWER(VLOOKUP(A127,Xtal_Templ!A:B,2,FALSE))</f>
        <v>lpar1_human</v>
      </c>
      <c r="C127" s="3">
        <f>VLOOKUP($A127,'SegEnds_NonXtal_BW#'!$A:$Z,3,FALSE)+D127-50</f>
        <v>42</v>
      </c>
      <c r="D127" s="3">
        <v>62</v>
      </c>
      <c r="E127" s="3">
        <f>IF(ISERROR(VLOOKUP($A127,'SegEnds_NonXtal_BW#'!$A:$Z,4,FALSE)+VLOOKUP($A127,A:AL,4,FALSE)-50),"-",(VLOOKUP($A127,'SegEnds_NonXtal_BW#'!$A:$Z,4,FALSE)+VLOOKUP($A127,A:AL,4,FALSE)-50))</f>
        <v>72</v>
      </c>
      <c r="F127" s="3" t="str">
        <f>IF(ISERROR(VLOOKUP($A127,'SegEnds_NonXtal_BW#'!$A:$Z,5,FALSE)+VLOOKUP($A127,A:AL,7,FALSE)-50),"-",(VLOOKUP($A127,'SegEnds_NonXtal_BW#'!$A:$Z,5,FALSE)+VLOOKUP($A127,A:AL,7,FALSE)-50))</f>
        <v>-</v>
      </c>
      <c r="G127" s="3" t="s">
        <v>23</v>
      </c>
      <c r="H127" s="3" t="str">
        <f>IF(ISERROR(VLOOKUP($A127,'SegEnds_NonXtal_BW#'!$A:$Z,6,FALSE)+VLOOKUP($A127,A:AL,7,FALSE)-50),"-",(VLOOKUP($A127,'SegEnds_NonXtal_BW#'!$A:$Z,6,FALSE)+VLOOKUP($A127,A:AL,7,FALSE)-50))</f>
        <v>-</v>
      </c>
      <c r="I127" s="3">
        <f>VLOOKUP($A127,'SegEnds_NonXtal_BW#'!$A:$Z,7,FALSE)+J127-50</f>
        <v>77</v>
      </c>
      <c r="J127" s="3">
        <v>90</v>
      </c>
      <c r="K127" s="3">
        <f>VLOOKUP($A127,'SegEnds_NonXtal_BW#'!$A:$Z,8,FALSE)+VLOOKUP($A127,A:AL,10,FALSE)-50</f>
        <v>102</v>
      </c>
      <c r="L127" s="3">
        <f>M127-1</f>
        <v>104</v>
      </c>
      <c r="M127" s="3">
        <v>105</v>
      </c>
      <c r="N127" s="3">
        <f>M127+2</f>
        <v>107</v>
      </c>
      <c r="O127" s="3">
        <f>N127+1</f>
        <v>108</v>
      </c>
      <c r="P127" s="3">
        <v>138</v>
      </c>
      <c r="Q127" s="3">
        <f>VLOOKUP($A127,'SegEnds_NonXtal_BW#'!$A:$Z,12,FALSE)+VLOOKUP($A127,A:AL,16,FALSE)-50</f>
        <v>144</v>
      </c>
      <c r="R127" s="3">
        <f>S127</f>
        <v>145</v>
      </c>
      <c r="S127" s="3">
        <v>145</v>
      </c>
      <c r="T127" s="103">
        <f>S127+7</f>
        <v>152</v>
      </c>
      <c r="U127" s="9">
        <f>IF(ISERROR(VLOOKUP($A127,'SegEnds_NonXtal_BW#'!$A:$Z,15,FALSE)+VLOOKUP($A127,A:AL,22,FALSE)-50),"-",VLOOKUP($A127,'SegEnds_NonXtal_BW#'!$A:$Z,15,FALSE)+VLOOKUP($A127,A:AL,22,FALSE)-50)</f>
        <v>153</v>
      </c>
      <c r="V127" s="3">
        <v>165</v>
      </c>
      <c r="W127" s="3">
        <f>IF(ISERROR(VLOOKUP($A127,'SegEnds_NonXtal_BW#'!$A:$Z,16,FALSE)+VLOOKUP($A127,A:AL,22,FALSE)-50),"-",(VLOOKUP($A127,'SegEnds_NonXtal_BW#'!$A:$Z,16,FALSE)+VLOOKUP($A127,A:AL,22,FALSE)-50))</f>
        <v>178</v>
      </c>
      <c r="X127" s="3" t="str">
        <f>IF(ISERROR(VLOOKUP($A127,'SegEnds_NonXtal_BW#'!$A:$Z,17,FALSE)+VLOOKUP($A127,A:AL,25,FALSE)-50),"-",(VLOOKUP($A127,'SegEnds_NonXtal_BW#'!$A:$Z,17,FALSE)+VLOOKUP($A127,A:AL,25,FALSE)-50))</f>
        <v>-</v>
      </c>
      <c r="Y127" s="3" t="s">
        <v>23</v>
      </c>
      <c r="Z127" s="3" t="str">
        <f>IF(ISERROR(VLOOKUP($A127,'SegEnds_NonXtal_BW#'!$A:$Z,18,FALSE)+VLOOKUP($A127,A:AL,25,FALSE)-50),"-",(VLOOKUP($A127,'SegEnds_NonXtal_BW#'!$A:$Z,18,FALSE)+VLOOKUP($A127,A:AL,25,FALSE)-50))</f>
        <v>-</v>
      </c>
      <c r="AA127" s="3">
        <f>IF(ISERROR(VLOOKUP($A127,'SegEnds_NonXtal_BW#'!$A:$Z,19,FALSE)+VLOOKUP($A127,A:AL,28,FALSE)-50),"-",(VLOOKUP($A127,'SegEnds_NonXtal_BW#'!$A:$Z,19,FALSE)+VLOOKUP($A127,A:AL,28,FALSE)-50))</f>
        <v>195</v>
      </c>
      <c r="AB127" s="3">
        <v>209</v>
      </c>
      <c r="AC127" s="3">
        <f>IF(ISERROR((VLOOKUP($A127,'SegEnds_NonXtal_BW#'!$A:$Z,20,FALSE)+VLOOKUP($A127,A:AL,28,FALSE)-50)),"-",(VLOOKUP($A127,'SegEnds_NonXtal_BW#'!$A:$Z,20,FALSE)+VLOOKUP($A127,A:AL,28,FALSE)-50))</f>
        <v>231</v>
      </c>
      <c r="AD127" s="3">
        <f>IF(ISERROR(VLOOKUP($A127,'SegEnds_NonXtal_BW#'!$A:$Z,21,FALSE)+VLOOKUP($A127,A:AL,31,FALSE)-50),"-",(VLOOKUP($A127,'SegEnds_NonXtal_BW#'!$A:$Z,21,FALSE)+VLOOKUP($A127,A:AL,31,FALSE)-50))</f>
        <v>240</v>
      </c>
      <c r="AE127" s="3">
        <v>266</v>
      </c>
      <c r="AF127" s="3">
        <f>IF(ISERROR((VLOOKUP($A127,'SegEnds_NonXtal_BW#'!$A:$Z,22,FALSE)+VLOOKUP($A127,A:AL,31,FALSE)-50)),"-",(VLOOKUP($A127,'SegEnds_NonXtal_BW#'!$A:$Z,22,FALSE)+VLOOKUP($A127,A:AL,31,FALSE)-50))</f>
        <v>277</v>
      </c>
      <c r="AG127" s="3">
        <f>IF(ISERROR(VLOOKUP($A127,'SegEnds_NonXtal_BW#'!$A:$Z,23,FALSE)+VLOOKUP($A127,A:AL,34,FALSE)-50),"-",(VLOOKUP($A127,'SegEnds_NonXtal_BW#'!$A:$Z,23,FALSE)+VLOOKUP($A127,A:AL,34,FALSE)-50))</f>
        <v>282</v>
      </c>
      <c r="AH127" s="3">
        <v>298</v>
      </c>
      <c r="AI127" s="3">
        <f>IF(ISERROR((VLOOKUP($A127,'SegEnds_NonXtal_BW#'!$A:$Z,24,FALSE)+VLOOKUP($A127,A:AL,34,FALSE)-50)),"-",(VLOOKUP($A127,'SegEnds_NonXtal_BW#'!$A:$Z,24,FALSE)+VLOOKUP($A127,A:AL,34,FALSE)-50))</f>
        <v>304</v>
      </c>
      <c r="AJ127" s="3">
        <f>IF(ISERROR(VLOOKUP($A127,'SegEnds_NonXtal_BW#'!$A:$Z,25,FALSE)+VLOOKUP($A127,A:AL,37,FALSE)-50),"-",(VLOOKUP($A127,'SegEnds_NonXtal_BW#'!$A:$Z,25,FALSE)+VLOOKUP($A127,A:AL,37,FALSE)-50))</f>
        <v>305</v>
      </c>
      <c r="AK127" s="3">
        <v>308</v>
      </c>
      <c r="AL127" s="3">
        <f>IF(ISERROR((VLOOKUP($A127,'SegEnds_NonXtal_BW#'!$A:$Z,26,FALSE)+VLOOKUP($A127,A:AL,37,FALSE)-50)),"-",(VLOOKUP($A127,'SegEnds_NonXtal_BW#'!$A:$Z,26,FALSE)+VLOOKUP($A127,A:AL,37,FALSE)-50))</f>
        <v>317</v>
      </c>
      <c r="AM127" s="28" t="str">
        <f>VLOOKUP(A127,Classification!A:B,2,FALSE)</f>
        <v>A</v>
      </c>
      <c r="AN127" s="28" t="b">
        <f>AND(IF(Y127="-",IF(AA127-W127&gt;3,TRUE,FALSE),TRUE),IF(M127="-",IF(O127-K127&gt;3,TRUE,FALSE),TRUE),C127&lt;E127,OR(E127&lt;F127,F127="-"),OR(F127&lt;H127,F127="-"),OR(H127&lt;I127,H127="-"),I127&lt;K127,OR(K127&lt;L127,L127="-"),OR(L127&lt;N127,L127="-"),OR(N127&lt;O127,N127="-"),O127&lt;Q127,OR(Q127&lt;R127,R127="-"),OR(R127&lt;T127,R127="-"),OR(T127&lt;U127,T127="-"),U127&lt;W127,OR(W127&lt;X127,X127="-"),OR(X127&lt;Z127,X127="-"),OR(Z127&lt;AA127,Z127="-"),AA127&lt;AC127,AC127&lt;AD127,AD127&lt;AF127,AF127&lt;AG127,AG127&lt;AI127,OR(AI127&lt;AJ127,AJ127="-"),OR(AJ127&lt;AL127,AJ127="-"))</f>
        <v>1</v>
      </c>
      <c r="AO127" s="3" t="str">
        <f>IF(ISERROR(MATCH(A127,'SegEnds_Xtal_Prot#'!B:B, 0)), "NoXtal", "Xtal")</f>
        <v>NoXtal</v>
      </c>
      <c r="AP127" s="3" t="str">
        <f>IF(ISERROR(F127-E127),"-",F127-E127)</f>
        <v>-</v>
      </c>
      <c r="AQ127" s="3" t="str">
        <f>IF(ISERROR(I127-H127),"-",I127-H127)</f>
        <v>-</v>
      </c>
      <c r="AR127" s="3">
        <f>IF(ISERROR(L127-K127),"-",L127-K127)</f>
        <v>2</v>
      </c>
      <c r="AS127" s="3">
        <f>IF(ISERROR(O127-N127),"-",O127-N127)</f>
        <v>1</v>
      </c>
      <c r="AT127" s="3">
        <f>IF(ISERROR(R127-Q127),"-",R127-Q127)</f>
        <v>1</v>
      </c>
      <c r="AU127" s="3">
        <f>IF(ISERROR(U127-T127),"-",U127-T127)</f>
        <v>1</v>
      </c>
      <c r="AV127" s="3" t="str">
        <f>IF(ISERROR(X127-W127),"-",X127-W127)</f>
        <v>-</v>
      </c>
      <c r="AW127" s="3" t="str">
        <f>IF(ISERROR(AA127-Z127),"-",AA127-Z127)</f>
        <v>-</v>
      </c>
      <c r="AX127" s="3">
        <f>IF(ISERROR(AD127-AC127),"-",AD127-AC127)</f>
        <v>9</v>
      </c>
      <c r="AY127" s="3">
        <f>IF(ISERROR(AG127-AF127),"-",AG127-AF127)</f>
        <v>5</v>
      </c>
      <c r="AZ127" s="3">
        <f>IF(ISERROR(AJ127-AI127),"-",AJ127-AI127)</f>
        <v>1</v>
      </c>
      <c r="BA127" s="3">
        <f>IF(ISERROR(LEN(VLOOKUP(A127,Seqs!A:E,2,FALSE))-AL127),"-",LEN(VLOOKUP(A127,Seqs!A:E,2,FALSE))-AL127)</f>
        <v>17</v>
      </c>
      <c r="BB127" s="16">
        <f>J127-D127</f>
        <v>28</v>
      </c>
      <c r="BC127" s="9">
        <f>IF(ISERROR(V127-S127),"-",V127-S127)</f>
        <v>20</v>
      </c>
      <c r="BD127" s="3">
        <f>J127-D127</f>
        <v>28</v>
      </c>
      <c r="BE127" s="3">
        <f>AE127-AB127</f>
        <v>57</v>
      </c>
      <c r="BF127" s="3">
        <f>AH127-AE127</f>
        <v>32</v>
      </c>
    </row>
    <row r="128" spans="1:60" s="3" customFormat="1" x14ac:dyDescent="0.2">
      <c r="A128" s="3" t="s">
        <v>239</v>
      </c>
      <c r="B128" s="3" t="str">
        <f>LOWER(VLOOKUP(A128,Xtal_Templ!A:B,2,FALSE))</f>
        <v>agtr1_human</v>
      </c>
      <c r="C128" s="3">
        <f>VLOOKUP($A128,'SegEnds_NonXtal_BW#'!$A:$Z,3,FALSE)+D128-50</f>
        <v>31</v>
      </c>
      <c r="D128" s="3">
        <v>51</v>
      </c>
      <c r="E128" s="3">
        <f>IF(ISERROR(VLOOKUP($A128,'SegEnds_NonXtal_BW#'!$A:$Z,4,FALSE)+VLOOKUP($A128,A:AL,4,FALSE)-50),"-",(VLOOKUP($A128,'SegEnds_NonXtal_BW#'!$A:$Z,4,FALSE)+VLOOKUP($A128,A:AL,4,FALSE)-50))</f>
        <v>61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66</v>
      </c>
      <c r="J128" s="3">
        <v>79</v>
      </c>
      <c r="K128" s="3">
        <f>VLOOKUP($A128,'SegEnds_NonXtal_BW#'!$A:$Z,8,FALSE)+VLOOKUP($A128,A:AL,10,FALSE)-50</f>
        <v>95</v>
      </c>
      <c r="L128" s="3">
        <f>M128-1</f>
        <v>98</v>
      </c>
      <c r="M128" s="3">
        <v>99</v>
      </c>
      <c r="N128" s="3">
        <f>M128+2</f>
        <v>101</v>
      </c>
      <c r="O128" s="3">
        <f>N128+1</f>
        <v>102</v>
      </c>
      <c r="P128" s="3">
        <v>131</v>
      </c>
      <c r="Q128" s="3">
        <f>VLOOKUP($A128,'SegEnds_NonXtal_BW#'!$A:$Z,12,FALSE)+VLOOKUP($A128,A:AL,16,FALSE)-50</f>
        <v>137</v>
      </c>
      <c r="R128" s="3">
        <f>IF(ISERROR(VLOOKUP($A128,'SegEnds_NonXtal_BW#'!$A:$Z,13,FALSE)+VLOOKUP($A128,A:AL,19,FALSE)-50),"-",VLOOKUP($A128,'SegEnds_NonXtal_BW#'!$A:$Z,13,FALSE)+VLOOKUP($A128,A:AL,19,FALSE)-50)</f>
        <v>138</v>
      </c>
      <c r="S128" s="3">
        <v>138</v>
      </c>
      <c r="T128" s="103">
        <f>IF(ISERROR(VLOOKUP($A128,'SegEnds_NonXtal_BW#'!$A:$Z,14,FALSE)+VLOOKUP($A128,A:AL,19,FALSE)-50),"-",(VLOOKUP($A128,'SegEnds_NonXtal_BW#'!$A:$Z,14,FALSE)+VLOOKUP($A128,A:AL,19,FALSE)-50))</f>
        <v>145</v>
      </c>
      <c r="U128" s="9">
        <f>IF(ISERROR(VLOOKUP($A128,'SegEnds_NonXtal_BW#'!$A:$Z,15,FALSE)+VLOOKUP($A128,A:AL,22,FALSE)-50),"-",VLOOKUP($A128,'SegEnds_NonXtal_BW#'!$A:$Z,15,FALSE)+VLOOKUP($A128,A:AL,22,FALSE)-50)</f>
        <v>146</v>
      </c>
      <c r="V128" s="3">
        <v>158</v>
      </c>
      <c r="W128" s="3">
        <f>IF(ISERROR(VLOOKUP($A128,'SegEnds_NonXtal_BW#'!$A:$Z,16,FALSE)+VLOOKUP($A128,A:AL,22,FALSE)-50),"-",(VLOOKUP($A128,'SegEnds_NonXtal_BW#'!$A:$Z,16,FALSE)+VLOOKUP($A128,A:AL,22,FALSE)-50))</f>
        <v>172</v>
      </c>
      <c r="X128" s="3">
        <f>IF(ISERROR(VLOOKUP($A128,'SegEnds_NonXtal_BW#'!$A:$Z,17,FALSE)+VLOOKUP($A128,A:AL,25,FALSE)-50),"-",(VLOOKUP($A128,'SegEnds_NonXtal_BW#'!$A:$Z,17,FALSE)+VLOOKUP($A128,A:AL,25,FALSE)-50))</f>
        <v>183</v>
      </c>
      <c r="Y128" s="3">
        <v>183</v>
      </c>
      <c r="Z128" s="3">
        <f>Y128+2</f>
        <v>185</v>
      </c>
      <c r="AA128" s="3">
        <f>IF(ISERROR(VLOOKUP($A128,'SegEnds_NonXtal_BW#'!$A:$Z,19,FALSE)+VLOOKUP($A128,A:AL,28,FALSE)-50),"-",(VLOOKUP($A128,'SegEnds_NonXtal_BW#'!$A:$Z,19,FALSE)+VLOOKUP($A128,A:AL,28,FALSE)-50))</f>
        <v>191</v>
      </c>
      <c r="AB128" s="3">
        <v>207</v>
      </c>
      <c r="AC128" s="3">
        <f>IF(ISERROR((VLOOKUP($A128,'SegEnds_NonXtal_BW#'!$A:$Z,20,FALSE)+VLOOKUP($A128,A:AL,28,FALSE)-50)),"-",(VLOOKUP($A128,'SegEnds_NonXtal_BW#'!$A:$Z,20,FALSE)+VLOOKUP($A128,A:AL,28,FALSE)-50))</f>
        <v>225</v>
      </c>
      <c r="AD128" s="3">
        <f>IF(ISERROR(VLOOKUP($A128,'SegEnds_NonXtal_BW#'!$A:$Z,21,FALSE)+VLOOKUP($A128,A:AL,31,FALSE)-50),"-",(VLOOKUP($A128,'SegEnds_NonXtal_BW#'!$A:$Z,21,FALSE)+VLOOKUP($A128,A:AL,31,FALSE)-50))</f>
        <v>230</v>
      </c>
      <c r="AE128" s="3">
        <v>256</v>
      </c>
      <c r="AF128" s="3">
        <f>IF(ISERROR((VLOOKUP($A128,'SegEnds_NonXtal_BW#'!$A:$Z,22,FALSE)+VLOOKUP($A128,A:AL,31,FALSE)-50)),"-",(VLOOKUP($A128,'SegEnds_NonXtal_BW#'!$A:$Z,22,FALSE)+VLOOKUP($A128,A:AL,31,FALSE)-50))</f>
        <v>267</v>
      </c>
      <c r="AG128" s="3">
        <f>IF(ISERROR(VLOOKUP($A128,'SegEnds_NonXtal_BW#'!$A:$Z,23,FALSE)+VLOOKUP($A128,A:AL,34,FALSE)-50),"-",(VLOOKUP($A128,'SegEnds_NonXtal_BW#'!$A:$Z,23,FALSE)+VLOOKUP($A128,A:AL,34,FALSE)-50))</f>
        <v>273</v>
      </c>
      <c r="AH128" s="3">
        <v>299</v>
      </c>
      <c r="AI128" s="3">
        <f>IF(ISERROR((VLOOKUP($A128,'SegEnds_NonXtal_BW#'!$A:$Z,24,FALSE)+VLOOKUP($A128,A:AL,34,FALSE)-50)),"-",(VLOOKUP($A128,'SegEnds_NonXtal_BW#'!$A:$Z,24,FALSE)+VLOOKUP($A128,A:AL,34,FALSE)-50))</f>
        <v>305</v>
      </c>
      <c r="AJ128" s="3">
        <f>IF(ISERROR(VLOOKUP($A128,'SegEnds_NonXtal_BW#'!$A:$Z,25,FALSE)+VLOOKUP($A128,A:AL,37,FALSE)-50),"-",(VLOOKUP($A128,'SegEnds_NonXtal_BW#'!$A:$Z,25,FALSE)+VLOOKUP($A128,A:AL,37,FALSE)-50))</f>
        <v>306</v>
      </c>
      <c r="AK128" s="3">
        <v>309</v>
      </c>
      <c r="AL128" s="3">
        <f>IF(ISERROR((VLOOKUP($A128,'SegEnds_NonXtal_BW#'!$A:$Z,26,FALSE)+VLOOKUP($A128,A:AL,37,FALSE)-50)),"-",(VLOOKUP($A128,'SegEnds_NonXtal_BW#'!$A:$Z,26,FALSE)+VLOOKUP($A128,A:AL,37,FALSE)-50))</f>
        <v>320</v>
      </c>
      <c r="AM128" s="28" t="str">
        <f>VLOOKUP(A128,Classification!A:B,2,FALSE)</f>
        <v>A</v>
      </c>
      <c r="AN128" s="28" t="b">
        <f>AND(IF(Y128="-",IF(AA128-W128&gt;3,TRUE,FALSE),TRUE),IF(M128="-",IF(O128-K128&gt;3,TRUE,FALSE),TRUE),C128&lt;E128,OR(E128&lt;F128,F128="-"),OR(F128&lt;H128,F128="-"),OR(H128&lt;I128,H128="-"),I128&lt;K128,OR(K128&lt;L128,L128="-"),OR(L128&lt;N128,L128="-"),OR(N128&lt;O128,N128="-"),O128&lt;Q128,OR(Q128&lt;R128,R128="-"),OR(R128&lt;T128,R128="-"),OR(T128&lt;U128,T128="-"),U128&lt;W128,OR(W128&lt;X128,X128="-"),OR(X128&lt;Z128,X128="-"),OR(Z128&lt;AA128,Z128="-"),AA128&lt;AC128,AC128&lt;AD128,AD128&lt;AF128,AF128&lt;AG128,AG128&lt;AI128,OR(AI128&lt;AJ128,AJ128="-"),OR(AJ128&lt;AL128,AJ128="-"))</f>
        <v>1</v>
      </c>
      <c r="AO128" s="3" t="str">
        <f>IF(ISERROR(MATCH(A128,'SegEnds_Xtal_Prot#'!B:B, 0)), "NoXtal", "Xtal")</f>
        <v>NoXtal</v>
      </c>
      <c r="AP128" s="3" t="str">
        <f>IF(ISERROR(F128-E128),"-",F128-E128)</f>
        <v>-</v>
      </c>
      <c r="AQ128" s="3" t="str">
        <f>IF(ISERROR(I128-H128),"-",I128-H128)</f>
        <v>-</v>
      </c>
      <c r="AR128" s="3">
        <f>IF(ISERROR(L128-K128),"-",L128-K128)</f>
        <v>3</v>
      </c>
      <c r="AS128" s="3">
        <f>IF(ISERROR(O128-N128),"-",O128-N128)</f>
        <v>1</v>
      </c>
      <c r="AT128" s="3">
        <f>IF(ISERROR(R128-Q128),"-",R128-Q128)</f>
        <v>1</v>
      </c>
      <c r="AU128" s="3">
        <f>IF(ISERROR(U128-T128),"-",U128-T128)</f>
        <v>1</v>
      </c>
      <c r="AV128" s="3">
        <f>IF(ISERROR(X128-W128),"-",X128-W128)</f>
        <v>11</v>
      </c>
      <c r="AW128" s="3">
        <f>IF(ISERROR(AA128-Z128),"-",AA128-Z128)</f>
        <v>6</v>
      </c>
      <c r="AX128" s="3">
        <f>IF(ISERROR(AD128-AC128),"-",AD128-AC128)</f>
        <v>5</v>
      </c>
      <c r="AY128" s="3">
        <f>IF(ISERROR(AG128-AF128),"-",AG128-AF128)</f>
        <v>6</v>
      </c>
      <c r="AZ128" s="3">
        <f>IF(ISERROR(AJ128-AI128),"-",AJ128-AI128)</f>
        <v>1</v>
      </c>
      <c r="BA128" s="3">
        <f>IF(ISERROR(LEN(VLOOKUP(A128,Seqs!A:E,2,FALSE))-AL128),"-",LEN(VLOOKUP(A128,Seqs!A:E,2,FALSE))-AL128)</f>
        <v>40</v>
      </c>
      <c r="BB128" s="16">
        <f>J128-D128</f>
        <v>28</v>
      </c>
      <c r="BC128" s="9">
        <f>IF(ISERROR(V128-S128),"-",V128-S128)</f>
        <v>20</v>
      </c>
      <c r="BD128" s="3">
        <f>J128-D128</f>
        <v>28</v>
      </c>
      <c r="BE128" s="3">
        <f>AE128-AB128</f>
        <v>49</v>
      </c>
    </row>
    <row r="129" spans="1:58" s="3" customFormat="1" x14ac:dyDescent="0.2">
      <c r="A129" s="3" t="s">
        <v>240</v>
      </c>
      <c r="B129" s="3" t="str">
        <f>LOWER(VLOOKUP(A129,Xtal_Templ!A:B,2,FALSE))</f>
        <v>apj_human</v>
      </c>
      <c r="C129" s="3">
        <f>VLOOKUP($A129,'SegEnds_NonXtal_BW#'!$A:$Z,3,FALSE)+D129-50</f>
        <v>60</v>
      </c>
      <c r="D129" s="3">
        <v>77</v>
      </c>
      <c r="E129" s="3">
        <f>IF(ISERROR(VLOOKUP($A129,'SegEnds_NonXtal_BW#'!$A:$Z,4,FALSE)+VLOOKUP($A129,A:AL,4,FALSE)-50),"-",(VLOOKUP($A129,'SegEnds_NonXtal_BW#'!$A:$Z,4,FALSE)+VLOOKUP($A129,A:AL,4,FALSE)-50))</f>
        <v>87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92</v>
      </c>
      <c r="J129" s="3">
        <v>105</v>
      </c>
      <c r="K129" s="3">
        <f>VLOOKUP($A129,'SegEnds_NonXtal_BW#'!$A:$Z,8,FALSE)+VLOOKUP($A129,A:AL,10,FALSE)-50</f>
        <v>122</v>
      </c>
      <c r="L129" s="3">
        <f>M129-1</f>
        <v>124</v>
      </c>
      <c r="M129" s="3">
        <v>125</v>
      </c>
      <c r="N129" s="3">
        <f>M129+2</f>
        <v>127</v>
      </c>
      <c r="O129" s="3">
        <f>N129+1</f>
        <v>128</v>
      </c>
      <c r="P129" s="3">
        <v>157</v>
      </c>
      <c r="Q129" s="3">
        <f>VLOOKUP($A129,'SegEnds_NonXtal_BW#'!$A:$Z,12,FALSE)+VLOOKUP($A129,A:AL,16,FALSE)-50</f>
        <v>163</v>
      </c>
      <c r="R129" s="3">
        <f>IF(ISERROR(VLOOKUP($A129,'SegEnds_NonXtal_BW#'!$A:$Z,13,FALSE)+VLOOKUP($A129,A:AL,19,FALSE)-50),"-",VLOOKUP($A129,'SegEnds_NonXtal_BW#'!$A:$Z,13,FALSE)+VLOOKUP($A129,A:AL,19,FALSE)-50)</f>
        <v>164</v>
      </c>
      <c r="S129" s="3">
        <v>164</v>
      </c>
      <c r="T129" s="103">
        <f>IF(ISERROR(VLOOKUP($A129,'SegEnds_NonXtal_BW#'!$A:$Z,14,FALSE)+VLOOKUP($A129,A:AL,19,FALSE)-50),"-",(VLOOKUP($A129,'SegEnds_NonXtal_BW#'!$A:$Z,14,FALSE)+VLOOKUP($A129,A:AL,19,FALSE)-50))</f>
        <v>171</v>
      </c>
      <c r="U129" s="9">
        <f>IF(ISERROR(VLOOKUP($A129,'SegEnds_NonXtal_BW#'!$A:$Z,15,FALSE)+VLOOKUP($A129,A:AL,22,FALSE)-50),"-",VLOOKUP($A129,'SegEnds_NonXtal_BW#'!$A:$Z,15,FALSE)+VLOOKUP($A129,A:AL,22,FALSE)-50)</f>
        <v>172</v>
      </c>
      <c r="V129" s="3">
        <v>184</v>
      </c>
      <c r="W129" s="3">
        <f>IF(ISERROR(VLOOKUP($A129,'SegEnds_NonXtal_BW#'!$A:$Z,16,FALSE)+VLOOKUP($A129,A:AL,22,FALSE)-50),"-",(VLOOKUP($A129,'SegEnds_NonXtal_BW#'!$A:$Z,16,FALSE)+VLOOKUP($A129,A:AL,22,FALSE)-50))</f>
        <v>198</v>
      </c>
      <c r="X129" s="3">
        <f>IF(ISERROR(VLOOKUP($A129,'SegEnds_NonXtal_BW#'!$A:$Z,17,FALSE)+VLOOKUP($A129,A:AL,25,FALSE)-50),"-",(VLOOKUP($A129,'SegEnds_NonXtal_BW#'!$A:$Z,17,FALSE)+VLOOKUP($A129,A:AL,25,FALSE)-50))</f>
        <v>209</v>
      </c>
      <c r="Y129" s="3">
        <v>209</v>
      </c>
      <c r="Z129" s="3">
        <f>Y129+2</f>
        <v>211</v>
      </c>
      <c r="AA129" s="3">
        <f>IF(ISERROR(VLOOKUP($A129,'SegEnds_NonXtal_BW#'!$A:$Z,19,FALSE)+VLOOKUP($A129,A:AL,28,FALSE)-50),"-",(VLOOKUP($A129,'SegEnds_NonXtal_BW#'!$A:$Z,19,FALSE)+VLOOKUP($A129,A:AL,28,FALSE)-50))</f>
        <v>212</v>
      </c>
      <c r="AB129" s="3">
        <v>232</v>
      </c>
      <c r="AC129" s="3">
        <f>IF(ISERROR((VLOOKUP($A129,'SegEnds_NonXtal_BW#'!$A:$Z,20,FALSE)+VLOOKUP($A129,A:AL,28,FALSE)-50)),"-",(VLOOKUP($A129,'SegEnds_NonXtal_BW#'!$A:$Z,20,FALSE)+VLOOKUP($A129,A:AL,28,FALSE)-50))</f>
        <v>249</v>
      </c>
      <c r="AD129" s="3">
        <f>IF(ISERROR(VLOOKUP($A129,'SegEnds_NonXtal_BW#'!$A:$Z,21,FALSE)+VLOOKUP($A129,A:AL,31,FALSE)-50),"-",(VLOOKUP($A129,'SegEnds_NonXtal_BW#'!$A:$Z,21,FALSE)+VLOOKUP($A129,A:AL,31,FALSE)-50))</f>
        <v>254</v>
      </c>
      <c r="AE129" s="3">
        <v>278</v>
      </c>
      <c r="AF129" s="3">
        <f>IF(ISERROR((VLOOKUP($A129,'SegEnds_NonXtal_BW#'!$A:$Z,22,FALSE)+VLOOKUP($A129,A:AL,31,FALSE)-50)),"-",(VLOOKUP($A129,'SegEnds_NonXtal_BW#'!$A:$Z,22,FALSE)+VLOOKUP($A129,A:AL,31,FALSE)-50))</f>
        <v>292</v>
      </c>
      <c r="AG129" s="3">
        <f>IF(ISERROR(VLOOKUP($A129,'SegEnds_NonXtal_BW#'!$A:$Z,23,FALSE)+VLOOKUP($A129,A:AL,34,FALSE)-50),"-",(VLOOKUP($A129,'SegEnds_NonXtal_BW#'!$A:$Z,23,FALSE)+VLOOKUP($A129,A:AL,34,FALSE)-50))</f>
        <v>296</v>
      </c>
      <c r="AH129" s="3">
        <v>322</v>
      </c>
      <c r="AI129" s="3">
        <f>IF(ISERROR((VLOOKUP($A129,'SegEnds_NonXtal_BW#'!$A:$Z,24,FALSE)+VLOOKUP($A129,A:AL,34,FALSE)-50)),"-",(VLOOKUP($A129,'SegEnds_NonXtal_BW#'!$A:$Z,24,FALSE)+VLOOKUP($A129,A:AL,34,FALSE)-50))</f>
        <v>328</v>
      </c>
      <c r="AJ129" s="3">
        <f>IF(ISERROR(VLOOKUP($A129,'SegEnds_NonXtal_BW#'!$A:$Z,25,FALSE)+VLOOKUP($A129,A:AL,37,FALSE)-50),"-",(VLOOKUP($A129,'SegEnds_NonXtal_BW#'!$A:$Z,25,FALSE)+VLOOKUP($A129,A:AL,37,FALSE)-50))</f>
        <v>329</v>
      </c>
      <c r="AK129" s="3">
        <v>332</v>
      </c>
      <c r="AL129" s="3">
        <f>IF(ISERROR((VLOOKUP($A129,'SegEnds_NonXtal_BW#'!$A:$Z,26,FALSE)+VLOOKUP($A129,A:AL,37,FALSE)-50)),"-",(VLOOKUP($A129,'SegEnds_NonXtal_BW#'!$A:$Z,26,FALSE)+VLOOKUP($A129,A:AL,37,FALSE)-50))</f>
        <v>343</v>
      </c>
      <c r="AM129" s="28" t="str">
        <f>VLOOKUP(A129,Classification!A:B,2,FALSE)</f>
        <v>A</v>
      </c>
      <c r="AN129" s="28" t="b">
        <f>AND(IF(Y129="-",IF(AA129-W129&gt;3,TRUE,FALSE),TRUE),IF(M129="-",IF(O129-K129&gt;3,TRUE,FALSE),TRUE),C129&lt;E129,OR(E129&lt;F129,F129="-"),OR(F129&lt;H129,F129="-"),OR(H129&lt;I129,H129="-"),I129&lt;K129,OR(K129&lt;L129,L129="-"),OR(L129&lt;N129,L129="-"),OR(N129&lt;O129,N129="-"),O129&lt;Q129,OR(Q129&lt;R129,R129="-"),OR(R129&lt;T129,R129="-"),OR(T129&lt;U129,T129="-"),U129&lt;W129,OR(W129&lt;X129,X129="-"),OR(X129&lt;Z129,X129="-"),OR(Z129&lt;AA129,Z129="-"),AA129&lt;AC129,AC129&lt;AD129,AD129&lt;AF129,AF129&lt;AG129,AG129&lt;AI129,OR(AI129&lt;AJ129,AJ129="-"),OR(AJ129&lt;AL129,AJ129="-"))</f>
        <v>1</v>
      </c>
      <c r="AO129" s="3" t="str">
        <f>IF(ISERROR(MATCH(A129,'SegEnds_Xtal_Prot#'!B:B, 0)), "NoXtal", "Xtal")</f>
        <v>NoXtal</v>
      </c>
      <c r="AP129" s="3" t="str">
        <f>IF(ISERROR(F129-E129),"-",F129-E129)</f>
        <v>-</v>
      </c>
      <c r="AQ129" s="3" t="str">
        <f>IF(ISERROR(I129-H129),"-",I129-H129)</f>
        <v>-</v>
      </c>
      <c r="AR129" s="3">
        <f>IF(ISERROR(L129-K129),"-",L129-K129)</f>
        <v>2</v>
      </c>
      <c r="AS129" s="3">
        <f>IF(ISERROR(O129-N129),"-",O129-N129)</f>
        <v>1</v>
      </c>
      <c r="AT129" s="3">
        <f>IF(ISERROR(R129-Q129),"-",R129-Q129)</f>
        <v>1</v>
      </c>
      <c r="AU129" s="3">
        <f>IF(ISERROR(U129-T129),"-",U129-T129)</f>
        <v>1</v>
      </c>
      <c r="AV129" s="3">
        <f>IF(ISERROR(X129-W129),"-",X129-W129)</f>
        <v>11</v>
      </c>
      <c r="AW129" s="3">
        <f>IF(ISERROR(AA129-Z129),"-",AA129-Z129)</f>
        <v>1</v>
      </c>
      <c r="AX129" s="3">
        <f>IF(ISERROR(AD129-AC129),"-",AD129-AC129)</f>
        <v>5</v>
      </c>
      <c r="AY129" s="3">
        <f>IF(ISERROR(AG129-AF129),"-",AG129-AF129)</f>
        <v>4</v>
      </c>
      <c r="AZ129" s="3">
        <f>IF(ISERROR(AJ129-AI129),"-",AJ129-AI129)</f>
        <v>1</v>
      </c>
      <c r="BA129" s="3">
        <f>IF(ISERROR(LEN(VLOOKUP(A129,Seqs!A:E,2,FALSE))-AL129),"-",LEN(VLOOKUP(A129,Seqs!A:E,2,FALSE))-AL129)</f>
        <v>24</v>
      </c>
      <c r="BB129" s="16">
        <f>J129-D129</f>
        <v>28</v>
      </c>
      <c r="BC129" s="9">
        <f>IF(ISERROR(V129-S129),"-",V129-S129)</f>
        <v>20</v>
      </c>
      <c r="BD129" s="3">
        <f>J129-D129</f>
        <v>28</v>
      </c>
      <c r="BE129" s="3">
        <f>AE129-AB129</f>
        <v>46</v>
      </c>
      <c r="BF129" s="3">
        <f>AH129-AE129</f>
        <v>44</v>
      </c>
    </row>
    <row r="130" spans="1:58" s="3" customFormat="1" x14ac:dyDescent="0.2">
      <c r="A130" s="3" t="s">
        <v>241</v>
      </c>
      <c r="B130" s="3" t="str">
        <f>LOWER(VLOOKUP(A130,Xtal_Templ!A:B,2,FALSE))</f>
        <v>oprk_human</v>
      </c>
      <c r="C130" s="3">
        <f>VLOOKUP($A130,'SegEnds_NonXtal_BW#'!$A:$Z,3,FALSE)+D130-50</f>
        <v>20</v>
      </c>
      <c r="D130" s="3">
        <v>40</v>
      </c>
      <c r="E130" s="3">
        <f>IF(ISERROR(VLOOKUP($A130,'SegEnds_NonXtal_BW#'!$A:$Z,4,FALSE)+VLOOKUP($A130,A:AL,4,FALSE)-50),"-",(VLOOKUP($A130,'SegEnds_NonXtal_BW#'!$A:$Z,4,FALSE)+VLOOKUP($A130,A:AL,4,FALSE)-50))</f>
        <v>50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55</v>
      </c>
      <c r="J130" s="3">
        <v>68</v>
      </c>
      <c r="K130" s="3">
        <f>VLOOKUP($A130,'SegEnds_NonXtal_BW#'!$A:$Z,8,FALSE)+VLOOKUP($A130,A:AL,10,FALSE)-50</f>
        <v>84</v>
      </c>
      <c r="L130" s="3">
        <f>M130-1</f>
        <v>86</v>
      </c>
      <c r="M130" s="3">
        <v>87</v>
      </c>
      <c r="N130" s="3">
        <f>M130+2</f>
        <v>89</v>
      </c>
      <c r="O130" s="3">
        <f>N130+1</f>
        <v>90</v>
      </c>
      <c r="P130" s="3">
        <v>119</v>
      </c>
      <c r="Q130" s="3">
        <f>VLOOKUP($A130,'SegEnds_NonXtal_BW#'!$A:$Z,12,FALSE)+VLOOKUP($A130,A:AL,16,FALSE)-50</f>
        <v>125</v>
      </c>
      <c r="R130" s="3">
        <f>IF(ISERROR(VLOOKUP($A130,'SegEnds_NonXtal_BW#'!$A:$Z,13,FALSE)+VLOOKUP($A130,A:AL,19,FALSE)-50),"-",VLOOKUP($A130,'SegEnds_NonXtal_BW#'!$A:$Z,13,FALSE)+VLOOKUP($A130,A:AL,19,FALSE)-50)</f>
        <v>126</v>
      </c>
      <c r="S130" s="3">
        <v>126</v>
      </c>
      <c r="T130" s="103">
        <f>IF(ISERROR(VLOOKUP($A130,'SegEnds_NonXtal_BW#'!$A:$Z,14,FALSE)+VLOOKUP($A130,A:AL,19,FALSE)-50),"-",(VLOOKUP($A130,'SegEnds_NonXtal_BW#'!$A:$Z,14,FALSE)+VLOOKUP($A130,A:AL,19,FALSE)-50))</f>
        <v>133</v>
      </c>
      <c r="U130" s="9">
        <f>IF(ISERROR(VLOOKUP($A130,'SegEnds_NonXtal_BW#'!$A:$Z,15,FALSE)+VLOOKUP($A130,A:AL,22,FALSE)-50),"-",VLOOKUP($A130,'SegEnds_NonXtal_BW#'!$A:$Z,15,FALSE)+VLOOKUP($A130,A:AL,22,FALSE)-50)</f>
        <v>134</v>
      </c>
      <c r="V130" s="3">
        <v>146</v>
      </c>
      <c r="W130" s="3">
        <f>IF(ISERROR(VLOOKUP($A130,'SegEnds_NonXtal_BW#'!$A:$Z,16,FALSE)+VLOOKUP($A130,A:AL,22,FALSE)-50),"-",(VLOOKUP($A130,'SegEnds_NonXtal_BW#'!$A:$Z,16,FALSE)+VLOOKUP($A130,A:AL,22,FALSE)-50))</f>
        <v>160</v>
      </c>
      <c r="X130" s="3">
        <f>IF(ISERROR(VLOOKUP($A130,'SegEnds_NonXtal_BW#'!$A:$Z,17,FALSE)+VLOOKUP($A130,A:AL,25,FALSE)-50),"-",(VLOOKUP($A130,'SegEnds_NonXtal_BW#'!$A:$Z,17,FALSE)+VLOOKUP($A130,A:AL,25,FALSE)-50))</f>
        <v>172</v>
      </c>
      <c r="Y130" s="3">
        <v>172</v>
      </c>
      <c r="Z130" s="3">
        <f>Y130+2</f>
        <v>174</v>
      </c>
      <c r="AA130" s="3">
        <f>IF(ISERROR(VLOOKUP($A130,'SegEnds_NonXtal_BW#'!$A:$Z,19,FALSE)+VLOOKUP($A130,A:AL,28,FALSE)-50),"-",(VLOOKUP($A130,'SegEnds_NonXtal_BW#'!$A:$Z,19,FALSE)+VLOOKUP($A130,A:AL,28,FALSE)-50))</f>
        <v>180</v>
      </c>
      <c r="AB130" s="3">
        <v>199</v>
      </c>
      <c r="AC130" s="3">
        <f>IF(ISERROR((VLOOKUP($A130,'SegEnds_NonXtal_BW#'!$A:$Z,20,FALSE)+VLOOKUP($A130,A:AL,28,FALSE)-50)),"-",(VLOOKUP($A130,'SegEnds_NonXtal_BW#'!$A:$Z,20,FALSE)+VLOOKUP($A130,A:AL,28,FALSE)-50))</f>
        <v>217</v>
      </c>
      <c r="AD130" s="3">
        <f>IF(ISERROR(VLOOKUP($A130,'SegEnds_NonXtal_BW#'!$A:$Z,21,FALSE)+VLOOKUP($A130,A:AL,31,FALSE)-50),"-",(VLOOKUP($A130,'SegEnds_NonXtal_BW#'!$A:$Z,21,FALSE)+VLOOKUP($A130,A:AL,31,FALSE)-50))</f>
        <v>221</v>
      </c>
      <c r="AE130" s="3">
        <v>247</v>
      </c>
      <c r="AF130" s="3">
        <f>IF(ISERROR((VLOOKUP($A130,'SegEnds_NonXtal_BW#'!$A:$Z,22,FALSE)+VLOOKUP($A130,A:AL,31,FALSE)-50)),"-",(VLOOKUP($A130,'SegEnds_NonXtal_BW#'!$A:$Z,22,FALSE)+VLOOKUP($A130,A:AL,31,FALSE)-50))</f>
        <v>258</v>
      </c>
      <c r="AG130" s="3">
        <f>IF(ISERROR(VLOOKUP($A130,'SegEnds_NonXtal_BW#'!$A:$Z,23,FALSE)+VLOOKUP($A130,A:AL,34,FALSE)-50),"-",(VLOOKUP($A130,'SegEnds_NonXtal_BW#'!$A:$Z,23,FALSE)+VLOOKUP($A130,A:AL,34,FALSE)-50))</f>
        <v>264</v>
      </c>
      <c r="AH130" s="3">
        <v>283</v>
      </c>
      <c r="AI130" s="3">
        <f>IF(ISERROR((VLOOKUP($A130,'SegEnds_NonXtal_BW#'!$A:$Z,24,FALSE)+VLOOKUP($A130,A:AL,34,FALSE)-50)),"-",(VLOOKUP($A130,'SegEnds_NonXtal_BW#'!$A:$Z,24,FALSE)+VLOOKUP($A130,A:AL,34,FALSE)-50))</f>
        <v>289</v>
      </c>
      <c r="AJ130" s="3">
        <f>IF(ISERROR(VLOOKUP($A130,'SegEnds_NonXtal_BW#'!$A:$Z,25,FALSE)+VLOOKUP($A130,A:AL,37,FALSE)-50),"-",(VLOOKUP($A130,'SegEnds_NonXtal_BW#'!$A:$Z,25,FALSE)+VLOOKUP($A130,A:AL,37,FALSE)-50))</f>
        <v>290</v>
      </c>
      <c r="AK130" s="3">
        <v>293</v>
      </c>
      <c r="AL130" s="3">
        <f>IF(ISERROR((VLOOKUP($A130,'SegEnds_NonXtal_BW#'!$A:$Z,26,FALSE)+VLOOKUP($A130,A:AL,37,FALSE)-50)),"-",(VLOOKUP($A130,'SegEnds_NonXtal_BW#'!$A:$Z,26,FALSE)+VLOOKUP($A130,A:AL,37,FALSE)-50))</f>
        <v>302</v>
      </c>
      <c r="AM130" s="28" t="str">
        <f>VLOOKUP(A130,Classification!A:B,2,FALSE)</f>
        <v>A</v>
      </c>
      <c r="AN130" s="28" t="b">
        <f>AND(IF(Y130="-",IF(AA130-W130&gt;3,TRUE,FALSE),TRUE),IF(M130="-",IF(O130-K130&gt;3,TRUE,FALSE),TRUE),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>IF(ISERROR(MATCH(A130,'SegEnds_Xtal_Prot#'!B:B, 0)), "NoXtal", "Xtal")</f>
        <v>NoXtal</v>
      </c>
      <c r="AP130" s="3" t="str">
        <f>IF(ISERROR(F130-E130),"-",F130-E130)</f>
        <v>-</v>
      </c>
      <c r="AQ130" s="3" t="str">
        <f>IF(ISERROR(I130-H130),"-",I130-H130)</f>
        <v>-</v>
      </c>
      <c r="AR130" s="3">
        <f>IF(ISERROR(L130-K130),"-",L130-K130)</f>
        <v>2</v>
      </c>
      <c r="AS130" s="3">
        <f>IF(ISERROR(O130-N130),"-",O130-N130)</f>
        <v>1</v>
      </c>
      <c r="AT130" s="3">
        <f>IF(ISERROR(R130-Q130),"-",R130-Q130)</f>
        <v>1</v>
      </c>
      <c r="AU130" s="3">
        <f>IF(ISERROR(U130-T130),"-",U130-T130)</f>
        <v>1</v>
      </c>
      <c r="AV130" s="3">
        <f>IF(ISERROR(X130-W130),"-",X130-W130)</f>
        <v>12</v>
      </c>
      <c r="AW130" s="3">
        <f>IF(ISERROR(AA130-Z130),"-",AA130-Z130)</f>
        <v>6</v>
      </c>
      <c r="AX130" s="3">
        <f>IF(ISERROR(AD130-AC130),"-",AD130-AC130)</f>
        <v>4</v>
      </c>
      <c r="AY130" s="3">
        <f>IF(ISERROR(AG130-AF130),"-",AG130-AF130)</f>
        <v>6</v>
      </c>
      <c r="AZ130" s="3">
        <f>IF(ISERROR(AJ130-AI130),"-",AJ130-AI130)</f>
        <v>1</v>
      </c>
      <c r="BA130" s="3">
        <f>IF(ISERROR(LEN(VLOOKUP(A130,Seqs!A:E,2,FALSE))-AL130),"-",LEN(VLOOKUP(A130,Seqs!A:E,2,FALSE))-AL130)</f>
        <v>29</v>
      </c>
      <c r="BB130" s="16">
        <f>J130-D130</f>
        <v>28</v>
      </c>
      <c r="BC130" s="9">
        <f>IF(ISERROR(V130-S130),"-",V130-S130)</f>
        <v>20</v>
      </c>
      <c r="BD130" s="3">
        <f>J130-D130</f>
        <v>28</v>
      </c>
      <c r="BE130" s="3">
        <f>AE130-AB130</f>
        <v>48</v>
      </c>
      <c r="BF130" s="3">
        <f>AH130-AE130</f>
        <v>36</v>
      </c>
    </row>
    <row r="131" spans="1:58" s="3" customFormat="1" x14ac:dyDescent="0.2">
      <c r="A131" s="3" t="s">
        <v>243</v>
      </c>
      <c r="B131" s="3" t="str">
        <f>LOWER(VLOOKUP(A131,Xtal_Templ!A:B,2,FALSE))</f>
        <v>oprk_human</v>
      </c>
      <c r="C131" s="3">
        <f>VLOOKUP($A131,'SegEnds_NonXtal_BW#'!$A:$Z,3,FALSE)+D131-50</f>
        <v>51</v>
      </c>
      <c r="D131" s="3">
        <v>71</v>
      </c>
      <c r="E131" s="3">
        <f>IF(ISERROR(VLOOKUP($A131,'SegEnds_NonXtal_BW#'!$A:$Z,4,FALSE)+VLOOKUP($A131,A:AL,4,FALSE)-50),"-",(VLOOKUP($A131,'SegEnds_NonXtal_BW#'!$A:$Z,4,FALSE)+VLOOKUP($A131,A:AL,4,FALSE)-50))</f>
        <v>81</v>
      </c>
      <c r="F131" s="3">
        <f>G131-2</f>
        <v>82</v>
      </c>
      <c r="G131" s="3">
        <v>84</v>
      </c>
      <c r="H131" s="3">
        <f>G131+1</f>
        <v>85</v>
      </c>
      <c r="I131" s="3">
        <f>H131+1</f>
        <v>86</v>
      </c>
      <c r="J131" s="3">
        <v>99</v>
      </c>
      <c r="K131" s="3">
        <f>VLOOKUP($A131,'SegEnds_NonXtal_BW#'!$A:$Z,8,FALSE)+VLOOKUP($A131,A:AL,10,FALSE)-50</f>
        <v>115</v>
      </c>
      <c r="L131" s="3" t="str">
        <f>IF(ISERROR(VLOOKUP($A131,'SegEnds_NonXtal_BW#'!$A:$Z,9,FALSE)+VLOOKUP($A131,A:AL,13,FALSE)-50),"-",(VLOOKUP($A131,'SegEnds_NonXtal_BW#'!$A:$Z,9,FALSE)+VLOOKUP($A131,A:AL,13,FALSE)-50))</f>
        <v>-</v>
      </c>
      <c r="M131" s="3" t="s">
        <v>23</v>
      </c>
      <c r="N131" s="3" t="str">
        <f>IF(ISERROR(VLOOKUP($A131,'SegEnds_NonXtal_BW#'!$A:$Z,10,FALSE)+VLOOKUP($A131,A:AL,13,FALSE)-50),"-",(VLOOKUP($A131,'SegEnds_NonXtal_BW#'!$A:$Z,10,FALSE)+VLOOKUP($A131,A:AL,13,FALSE)-50))</f>
        <v>-</v>
      </c>
      <c r="O131" s="3">
        <f>VLOOKUP($A131,'SegEnds_NonXtal_BW#'!$A:$Z,11,FALSE)+VLOOKUP($A131,A:AL,16,FALSE)-50</f>
        <v>122</v>
      </c>
      <c r="P131" s="3">
        <v>148</v>
      </c>
      <c r="Q131" s="3">
        <f>VLOOKUP($A131,'SegEnds_NonXtal_BW#'!$A:$Z,12,FALSE)+VLOOKUP($A131,A:AL,16,FALSE)-50</f>
        <v>154</v>
      </c>
      <c r="R131" s="3">
        <f>IF(ISERROR(VLOOKUP($A131,'SegEnds_NonXtal_BW#'!$A:$Z,13,FALSE)+VLOOKUP($A131,A:AL,19,FALSE)-50),"-",VLOOKUP($A131,'SegEnds_NonXtal_BW#'!$A:$Z,13,FALSE)+VLOOKUP($A131,A:AL,19,FALSE)-50)</f>
        <v>155</v>
      </c>
      <c r="S131" s="3">
        <v>155</v>
      </c>
      <c r="T131" s="103">
        <f>IF(ISERROR(VLOOKUP($A131,'SegEnds_NonXtal_BW#'!$A:$Z,14,FALSE)+VLOOKUP($A131,A:AL,19,FALSE)-50),"-",(VLOOKUP($A131,'SegEnds_NonXtal_BW#'!$A:$Z,14,FALSE)+VLOOKUP($A131,A:AL,19,FALSE)-50))</f>
        <v>162</v>
      </c>
      <c r="U131" s="9">
        <f>IF(ISERROR(VLOOKUP($A131,'SegEnds_NonXtal_BW#'!$A:$Z,15,FALSE)+VLOOKUP($A131,A:AL,22,FALSE)-50),"-",VLOOKUP($A131,'SegEnds_NonXtal_BW#'!$A:$Z,15,FALSE)+VLOOKUP($A131,A:AL,22,FALSE)-50)</f>
        <v>163</v>
      </c>
      <c r="V131" s="3">
        <v>175</v>
      </c>
      <c r="W131" s="3">
        <f>IF(ISERROR(VLOOKUP($A131,'SegEnds_NonXtal_BW#'!$A:$Z,16,FALSE)+VLOOKUP($A131,A:AL,22,FALSE)-50),"-",(VLOOKUP($A131,'SegEnds_NonXtal_BW#'!$A:$Z,16,FALSE)+VLOOKUP($A131,A:AL,22,FALSE)-50))</f>
        <v>189</v>
      </c>
      <c r="X131" s="3" t="str">
        <f>IF(ISERROR(VLOOKUP($A131,'SegEnds_NonXtal_BW#'!$A:$Z,17,FALSE)+VLOOKUP($A131,A:AL,25,FALSE)-50),"-",(VLOOKUP($A131,'SegEnds_NonXtal_BW#'!$A:$Z,17,FALSE)+VLOOKUP($A131,A:AL,25,FALSE)-50))</f>
        <v>-</v>
      </c>
      <c r="Y131" s="3" t="s">
        <v>23</v>
      </c>
      <c r="Z131" s="3" t="str">
        <f>IF(ISERROR(VLOOKUP($A131,'SegEnds_NonXtal_BW#'!$A:$Z,18,FALSE)+VLOOKUP($A131,A:AL,25,FALSE)-50),"-",(VLOOKUP($A131,'SegEnds_NonXtal_BW#'!$A:$Z,18,FALSE)+VLOOKUP($A131,A:AL,25,FALSE)-50))</f>
        <v>-</v>
      </c>
      <c r="AA131" s="3">
        <f>IF(ISERROR(VLOOKUP($A131,'SegEnds_NonXtal_BW#'!$A:$Z,19,FALSE)+VLOOKUP($A131,A:AL,28,FALSE)-50),"-",(VLOOKUP($A131,'SegEnds_NonXtal_BW#'!$A:$Z,19,FALSE)+VLOOKUP($A131,A:AL,28,FALSE)-50))</f>
        <v>196</v>
      </c>
      <c r="AB131" s="3">
        <v>208</v>
      </c>
      <c r="AC131" s="3">
        <f>IF(ISERROR((VLOOKUP($A131,'SegEnds_NonXtal_BW#'!$A:$Z,20,FALSE)+VLOOKUP($A131,A:AL,28,FALSE)-50)),"-",(VLOOKUP($A131,'SegEnds_NonXtal_BW#'!$A:$Z,20,FALSE)+VLOOKUP($A131,A:AL,28,FALSE)-50))</f>
        <v>226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272</v>
      </c>
      <c r="AH131" s="3">
        <v>294</v>
      </c>
      <c r="AI131" s="3">
        <f>IF(ISERROR((VLOOKUP($A131,'SegEnds_NonXtal_BW#'!$A:$Z,24,FALSE)+VLOOKUP($A131,A:AL,34,FALSE)-50)),"-",(VLOOKUP($A131,'SegEnds_NonXtal_BW#'!$A:$Z,24,FALSE)+VLOOKUP($A131,A:AL,34,FALSE)-50))</f>
        <v>300</v>
      </c>
      <c r="AJ131" s="3">
        <f>IF(ISERROR(VLOOKUP($A131,'SegEnds_NonXtal_BW#'!$A:$Z,25,FALSE)+VLOOKUP($A131,A:AL,37,FALSE)-50),"-",(VLOOKUP($A131,'SegEnds_NonXtal_BW#'!$A:$Z,25,FALSE)+VLOOKUP($A131,A:AL,37,FALSE)-50))</f>
        <v>301</v>
      </c>
      <c r="AK131" s="3">
        <v>304</v>
      </c>
      <c r="AL131" s="3">
        <f>IF(ISERROR((VLOOKUP($A131,'SegEnds_NonXtal_BW#'!$A:$Z,26,FALSE)+VLOOKUP($A131,A:AL,37,FALSE)-50)),"-",(VLOOKUP($A131,'SegEnds_NonXtal_BW#'!$A:$Z,26,FALSE)+VLOOKUP($A131,A:AL,37,FALSE)-50))</f>
        <v>313</v>
      </c>
      <c r="AM131" s="28" t="str">
        <f>VLOOKUP(A131,Classification!A:B,2,FALSE)</f>
        <v>A</v>
      </c>
      <c r="AN131" s="28" t="b">
        <f>AND(IF(Y131="-",IF(AA131-W131&gt;3,TRUE,FALSE),TRUE),IF(M131="-",IF(O131-K131&gt;3,TRUE,FALSE),TRUE),C131&lt;E131,OR(E131&lt;F131,F131="-"),OR(F131&lt;H131,F131="-"),OR(H131&lt;I131,H131="-"),I131&lt;K131,OR(K131&lt;L131,L131="-"),OR(L131&lt;N131,L131="-"),OR(N131&lt;O131,N131="-"),O131&lt;Q131,OR(Q131&lt;R131,R131="-"),OR(R131&lt;T131,R131="-"),OR(T131&lt;U131,T131="-"),U131&lt;W131,OR(W131&lt;X131,X131="-"),OR(X131&lt;Z131,X131="-"),OR(Z131&lt;AA131,Z131="-"),AA131&lt;AC131,AC131&lt;AD131,AD131&lt;AF131,AF131&lt;AG131,AG131&lt;AI131,OR(AI131&lt;AJ131,AJ131="-"),OR(AJ131&lt;AL131,AJ131="-"))</f>
        <v>1</v>
      </c>
      <c r="AO131" s="3" t="str">
        <f>IF(ISERROR(MATCH(A131,'SegEnds_Xtal_Prot#'!B:B, 0)), "NoXtal", "Xtal")</f>
        <v>NoXtal</v>
      </c>
      <c r="AP131" s="3">
        <f>IF(ISERROR(F131-E131),"-",F131-E131)</f>
        <v>1</v>
      </c>
      <c r="AQ131" s="3">
        <f>IF(ISERROR(I131-H131),"-",I131-H131)</f>
        <v>1</v>
      </c>
      <c r="AR131" s="3" t="str">
        <f>IF(ISERROR(L131-K131),"-",L131-K131)</f>
        <v>-</v>
      </c>
      <c r="AS131" s="3" t="str">
        <f>IF(ISERROR(O131-N131),"-",O131-N131)</f>
        <v>-</v>
      </c>
      <c r="AT131" s="3">
        <f>IF(ISERROR(R131-Q131),"-",R131-Q131)</f>
        <v>1</v>
      </c>
      <c r="AU131" s="3">
        <f>IF(ISERROR(U131-T131),"-",U131-T131)</f>
        <v>1</v>
      </c>
      <c r="AV131" s="3" t="str">
        <f>IF(ISERROR(X131-W131),"-",X131-W131)</f>
        <v>-</v>
      </c>
      <c r="AW131" s="3" t="str">
        <f>IF(ISERROR(AA131-Z131),"-",AA131-Z131)</f>
        <v>-</v>
      </c>
      <c r="AX131" s="3">
        <f>IF(ISERROR(AD131-AC131),"-",AD131-AC131)</f>
        <v>4</v>
      </c>
      <c r="AY131" s="3">
        <f>IF(ISERROR(AG131-AF131),"-",AG131-AF131)</f>
        <v>5</v>
      </c>
      <c r="AZ131" s="3">
        <f>IF(ISERROR(AJ131-AI131),"-",AJ131-AI131)</f>
        <v>1</v>
      </c>
      <c r="BA131" s="3">
        <f>IF(ISERROR(LEN(VLOOKUP(A131,Seqs!A:E,2,FALSE))-AL131),"-",LEN(VLOOKUP(A131,Seqs!A:E,2,FALSE))-AL131)</f>
        <v>45</v>
      </c>
      <c r="BB131" s="16">
        <f>J131-D131</f>
        <v>28</v>
      </c>
      <c r="BC131" s="9">
        <f>IF(ISERROR(V131-S131),"-",V131-S131)</f>
        <v>20</v>
      </c>
      <c r="BD131" s="3">
        <f>J131-D131</f>
        <v>28</v>
      </c>
      <c r="BE131" s="3">
        <f>AE131-AB131</f>
        <v>48</v>
      </c>
    </row>
    <row r="132" spans="1:58" s="3" customFormat="1" x14ac:dyDescent="0.2">
      <c r="A132" s="3" t="s">
        <v>244</v>
      </c>
      <c r="B132" s="3" t="str">
        <f>LOWER(VLOOKUP(A132,Xtal_Templ!A:B,2,FALSE))</f>
        <v>5ht2b_human</v>
      </c>
      <c r="C132" s="3">
        <f>VLOOKUP($A132,'SegEnds_NonXtal_BW#'!$A:$Z,3,FALSE)+D132-50</f>
        <v>28</v>
      </c>
      <c r="D132" s="3">
        <v>46</v>
      </c>
      <c r="E132" s="3">
        <f>IF(ISERROR(VLOOKUP($A132,'SegEnds_NonXtal_BW#'!$A:$Z,4,FALSE)+VLOOKUP($A132,A:AL,4,FALSE)-50),"-",(VLOOKUP($A132,'SegEnds_NonXtal_BW#'!$A:$Z,4,FALSE)+VLOOKUP($A132,A:AL,4,FALSE)-50))</f>
        <v>56</v>
      </c>
      <c r="F132" s="3">
        <f>G132-2</f>
        <v>57</v>
      </c>
      <c r="G132" s="3">
        <v>59</v>
      </c>
      <c r="H132" s="3">
        <f>G132+1</f>
        <v>60</v>
      </c>
      <c r="I132" s="3">
        <f>H132+1</f>
        <v>61</v>
      </c>
      <c r="J132" s="3">
        <v>75</v>
      </c>
      <c r="K132" s="3">
        <f>VLOOKUP($A132,'SegEnds_NonXtal_BW#'!$A:$Z,8,FALSE)+VLOOKUP($A132,A:AL,10,FALSE)-50</f>
        <v>91</v>
      </c>
      <c r="L132" s="3" t="str">
        <f>IF(ISERROR(VLOOKUP($A132,'SegEnds_NonXtal_BW#'!$A:$Z,9,FALSE)+VLOOKUP($A132,A:AL,13,FALSE)-50),"-",(VLOOKUP($A132,'SegEnds_NonXtal_BW#'!$A:$Z,9,FALSE)+VLOOKUP($A132,A:AL,13,FALSE)-50))</f>
        <v>-</v>
      </c>
      <c r="M132" s="3" t="s">
        <v>23</v>
      </c>
      <c r="N132" s="3" t="str">
        <f>IF(ISERROR(VLOOKUP($A132,'SegEnds_NonXtal_BW#'!$A:$Z,10,FALSE)+VLOOKUP($A132,A:AL,13,FALSE)-50),"-",(VLOOKUP($A132,'SegEnds_NonXtal_BW#'!$A:$Z,10,FALSE)+VLOOKUP($A132,A:AL,13,FALSE)-50))</f>
        <v>-</v>
      </c>
      <c r="O132" s="3">
        <f>VLOOKUP($A132,'SegEnds_NonXtal_BW#'!$A:$Z,11,FALSE)+VLOOKUP($A132,A:AL,16,FALSE)-50</f>
        <v>95</v>
      </c>
      <c r="P132" s="3">
        <v>127</v>
      </c>
      <c r="Q132" s="3">
        <f>VLOOKUP($A132,'SegEnds_NonXtal_BW#'!$A:$Z,12,FALSE)+VLOOKUP($A132,A:AL,16,FALSE)-50</f>
        <v>133</v>
      </c>
      <c r="R132" s="3">
        <f>IF(ISERROR(VLOOKUP($A132,'SegEnds_NonXtal_BW#'!$A:$Z,13,FALSE)+VLOOKUP($A132,A:AL,19,FALSE)-50),"-",VLOOKUP($A132,'SegEnds_NonXtal_BW#'!$A:$Z,13,FALSE)+VLOOKUP($A132,A:AL,19,FALSE)-50)</f>
        <v>134</v>
      </c>
      <c r="S132" s="3">
        <v>134</v>
      </c>
      <c r="T132" s="103">
        <f>IF(ISERROR(VLOOKUP($A132,'SegEnds_NonXtal_BW#'!$A:$Z,14,FALSE)+VLOOKUP($A132,A:AL,19,FALSE)-50),"-",(VLOOKUP($A132,'SegEnds_NonXtal_BW#'!$A:$Z,14,FALSE)+VLOOKUP($A132,A:AL,19,FALSE)-50))</f>
        <v>141</v>
      </c>
      <c r="U132" s="9">
        <f>IF(ISERROR(VLOOKUP($A132,'SegEnds_NonXtal_BW#'!$A:$Z,15,FALSE)+VLOOKUP($A132,A:AL,22,FALSE)-50),"-",VLOOKUP($A132,'SegEnds_NonXtal_BW#'!$A:$Z,15,FALSE)+VLOOKUP($A132,A:AL,22,FALSE)-50)</f>
        <v>142</v>
      </c>
      <c r="V132" s="3">
        <v>154</v>
      </c>
      <c r="W132" s="3">
        <f>IF(ISERROR(VLOOKUP($A132,'SegEnds_NonXtal_BW#'!$A:$Z,16,FALSE)+VLOOKUP($A132,A:AL,22,FALSE)-50),"-",(VLOOKUP($A132,'SegEnds_NonXtal_BW#'!$A:$Z,16,FALSE)+VLOOKUP($A132,A:AL,22,FALSE)-50))</f>
        <v>168</v>
      </c>
      <c r="X132" s="3">
        <f>IF(ISERROR(VLOOKUP($A132,'SegEnds_NonXtal_BW#'!$A:$Z,17,FALSE)+VLOOKUP($A132,A:AL,25,FALSE)-50),"-",(VLOOKUP($A132,'SegEnds_NonXtal_BW#'!$A:$Z,17,FALSE)+VLOOKUP($A132,A:AL,25,FALSE)-50))</f>
        <v>181</v>
      </c>
      <c r="Y132" s="3">
        <v>181</v>
      </c>
      <c r="Z132" s="3">
        <f>Y132+2</f>
        <v>183</v>
      </c>
      <c r="AA132" s="3">
        <f>IF(ISERROR(VLOOKUP($A132,'SegEnds_NonXtal_BW#'!$A:$Z,19,FALSE)+VLOOKUP($A132,A:AL,28,FALSE)-50),"-",(VLOOKUP($A132,'SegEnds_NonXtal_BW#'!$A:$Z,19,FALSE)+VLOOKUP($A132,A:AL,28,FALSE)-50))</f>
        <v>187</v>
      </c>
      <c r="AB132" s="3">
        <v>202</v>
      </c>
      <c r="AC132" s="3">
        <f>IF(ISERROR((VLOOKUP($A132,'SegEnds_NonXtal_BW#'!$A:$Z,20,FALSE)+VLOOKUP($A132,A:AL,28,FALSE)-50)),"-",(VLOOKUP($A132,'SegEnds_NonXtal_BW#'!$A:$Z,20,FALSE)+VLOOKUP($A132,A:AL,28,FALSE)-50))</f>
        <v>226</v>
      </c>
      <c r="AD132" s="3">
        <f>IF(ISERROR(VLOOKUP($A132,'SegEnds_NonXtal_BW#'!$A:$Z,21,FALSE)+VLOOKUP($A132,A:AL,31,FALSE)-50),"-",(VLOOKUP($A132,'SegEnds_NonXtal_BW#'!$A:$Z,21,FALSE)+VLOOKUP($A132,A:AL,31,FALSE)-50))</f>
        <v>238</v>
      </c>
      <c r="AE132" s="3">
        <v>267</v>
      </c>
      <c r="AF132" s="3">
        <f>IF(ISERROR((VLOOKUP($A132,'SegEnds_NonXtal_BW#'!$A:$Z,22,FALSE)+VLOOKUP($A132,A:AL,31,FALSE)-50)),"-",(VLOOKUP($A132,'SegEnds_NonXtal_BW#'!$A:$Z,22,FALSE)+VLOOKUP($A132,A:AL,31,FALSE)-50))</f>
        <v>278</v>
      </c>
      <c r="AG132" s="3">
        <f>IF(ISERROR(VLOOKUP($A132,'SegEnds_NonXtal_BW#'!$A:$Z,23,FALSE)+VLOOKUP($A132,A:AL,34,FALSE)-50),"-",(VLOOKUP($A132,'SegEnds_NonXtal_BW#'!$A:$Z,23,FALSE)+VLOOKUP($A132,A:AL,34,FALSE)-50))</f>
        <v>283</v>
      </c>
      <c r="AH132" s="3">
        <v>301</v>
      </c>
      <c r="AI132" s="3">
        <f>IF(ISERROR((VLOOKUP($A132,'SegEnds_NonXtal_BW#'!$A:$Z,24,FALSE)+VLOOKUP($A132,A:AL,34,FALSE)-50)),"-",(VLOOKUP($A132,'SegEnds_NonXtal_BW#'!$A:$Z,24,FALSE)+VLOOKUP($A132,A:AL,34,FALSE)-50))</f>
        <v>307</v>
      </c>
      <c r="AJ132" s="3">
        <f>IF(ISERROR(VLOOKUP($A132,'SegEnds_NonXtal_BW#'!$A:$Z,25,FALSE)+VLOOKUP($A132,A:AL,37,FALSE)-50),"-",(VLOOKUP($A132,'SegEnds_NonXtal_BW#'!$A:$Z,25,FALSE)+VLOOKUP($A132,A:AL,37,FALSE)-50))</f>
        <v>308</v>
      </c>
      <c r="AK132" s="3">
        <v>311</v>
      </c>
      <c r="AL132" s="3">
        <f>IF(ISERROR((VLOOKUP($A132,'SegEnds_NonXtal_BW#'!$A:$Z,26,FALSE)+VLOOKUP($A132,A:AL,37,FALSE)-50)),"-",(VLOOKUP($A132,'SegEnds_NonXtal_BW#'!$A:$Z,26,FALSE)+VLOOKUP($A132,A:AL,37,FALSE)-50))</f>
        <v>319</v>
      </c>
      <c r="AM132" s="28" t="str">
        <f>VLOOKUP(A132,Classification!A:B,2,FALSE)</f>
        <v>A</v>
      </c>
      <c r="AN132" s="28" t="b">
        <f>AND(IF(Y132="-",IF(AA132-W132&gt;3,TRUE,FALSE),TRUE),IF(M132="-",IF(O132-K132&gt;3,TRUE,FALSE),TRUE),C132&lt;E132,OR(E132&lt;F132,F132="-"),OR(F132&lt;H132,F132="-"),OR(H132&lt;I132,H132="-"),I132&lt;K132,OR(K132&lt;L132,L132="-"),OR(L132&lt;N132,L132="-"),OR(N132&lt;O132,N132="-"),O132&lt;Q132,OR(Q132&lt;R132,R132="-"),OR(R132&lt;T132,R132="-"),OR(T132&lt;U132,T132="-"),U132&lt;W132,OR(W132&lt;X132,X132="-"),OR(X132&lt;Z132,X132="-"),OR(Z132&lt;AA132,Z132="-"),AA132&lt;AC132,AC132&lt;AD132,AD132&lt;AF132,AF132&lt;AG132,AG132&lt;AI132,OR(AI132&lt;AJ132,AJ132="-"),OR(AJ132&lt;AL132,AJ132="-"))</f>
        <v>1</v>
      </c>
      <c r="AO132" s="3" t="str">
        <f>IF(ISERROR(MATCH(A132,'SegEnds_Xtal_Prot#'!B:B, 0)), "NoXtal", "Xtal")</f>
        <v>NoXtal</v>
      </c>
      <c r="AP132" s="3">
        <f>IF(ISERROR(F132-E132),"-",F132-E132)</f>
        <v>1</v>
      </c>
      <c r="AQ132" s="3">
        <f>IF(ISERROR(I132-H132),"-",I132-H132)</f>
        <v>1</v>
      </c>
      <c r="AR132" s="3" t="str">
        <f>IF(ISERROR(L132-K132),"-",L132-K132)</f>
        <v>-</v>
      </c>
      <c r="AS132" s="3" t="str">
        <f>IF(ISERROR(O132-N132),"-",O132-N132)</f>
        <v>-</v>
      </c>
      <c r="AT132" s="3">
        <f>IF(ISERROR(R132-Q132),"-",R132-Q132)</f>
        <v>1</v>
      </c>
      <c r="AU132" s="3">
        <f>IF(ISERROR(U132-T132),"-",U132-T132)</f>
        <v>1</v>
      </c>
      <c r="AV132" s="3">
        <f>IF(ISERROR(X132-W132),"-",X132-W132)</f>
        <v>13</v>
      </c>
      <c r="AW132" s="3">
        <f>IF(ISERROR(AA132-Z132),"-",AA132-Z132)</f>
        <v>4</v>
      </c>
      <c r="AX132" s="3">
        <f>IF(ISERROR(AD132-AC132),"-",AD132-AC132)</f>
        <v>12</v>
      </c>
      <c r="AY132" s="3">
        <f>IF(ISERROR(AG132-AF132),"-",AG132-AF132)</f>
        <v>5</v>
      </c>
      <c r="AZ132" s="3">
        <f>IF(ISERROR(AJ132-AI132),"-",AJ132-AI132)</f>
        <v>1</v>
      </c>
      <c r="BA132" s="3">
        <f>IF(ISERROR(LEN(VLOOKUP(A132,Seqs!A:E,2,FALSE))-AL132),"-",LEN(VLOOKUP(A132,Seqs!A:E,2,FALSE))-AL132)</f>
        <v>30</v>
      </c>
      <c r="BB132" s="16">
        <f>J132-D132</f>
        <v>29</v>
      </c>
      <c r="BC132" s="9">
        <f>IF(ISERROR(V132-S132),"-",V132-S132)</f>
        <v>20</v>
      </c>
      <c r="BD132" s="3">
        <f>J132-D132</f>
        <v>29</v>
      </c>
      <c r="BE132" s="3">
        <f>AE132-AB132</f>
        <v>65</v>
      </c>
    </row>
    <row r="133" spans="1:58" s="3" customFormat="1" x14ac:dyDescent="0.2">
      <c r="A133" s="3" t="s">
        <v>246</v>
      </c>
      <c r="B133" s="3" t="str">
        <f>LOWER(VLOOKUP(A133,Xtal_Templ!A:B,2,FALSE))</f>
        <v>agtr1_human</v>
      </c>
      <c r="C133" s="3">
        <f>VLOOKUP($A133,'SegEnds_NonXtal_BW#'!$A:$Z,3,FALSE)+D133-50</f>
        <v>37</v>
      </c>
      <c r="D133" s="3">
        <v>57</v>
      </c>
      <c r="E133" s="3">
        <f>IF(ISERROR(VLOOKUP($A133,'SegEnds_NonXtal_BW#'!$A:$Z,4,FALSE)+VLOOKUP($A133,A:AL,4,FALSE)-50),"-",(VLOOKUP($A133,'SegEnds_NonXtal_BW#'!$A:$Z,4,FALSE)+VLOOKUP($A133,A:AL,4,FALSE)-50))</f>
        <v>67</v>
      </c>
      <c r="F133" s="3">
        <f>G133-2</f>
        <v>68</v>
      </c>
      <c r="G133" s="3">
        <v>70</v>
      </c>
      <c r="H133" s="3">
        <f>G133+1</f>
        <v>71</v>
      </c>
      <c r="I133" s="3">
        <f>H133+1</f>
        <v>72</v>
      </c>
      <c r="J133" s="3">
        <v>85</v>
      </c>
      <c r="K133" s="3">
        <f>VLOOKUP($A133,'SegEnds_NonXtal_BW#'!$A:$Z,8,FALSE)+VLOOKUP($A133,A:AL,10,FALSE)-50</f>
        <v>101</v>
      </c>
      <c r="L133" s="3">
        <f>M133-1</f>
        <v>104</v>
      </c>
      <c r="M133" s="3">
        <v>105</v>
      </c>
      <c r="N133" s="3">
        <f>M133+2</f>
        <v>107</v>
      </c>
      <c r="O133" s="3">
        <f>N133+1</f>
        <v>108</v>
      </c>
      <c r="P133" s="3">
        <v>137</v>
      </c>
      <c r="Q133" s="3">
        <f>VLOOKUP($A133,'SegEnds_NonXtal_BW#'!$A:$Z,12,FALSE)+VLOOKUP($A133,A:AL,16,FALSE)-50</f>
        <v>143</v>
      </c>
      <c r="R133" s="3">
        <f>IF(ISERROR(VLOOKUP($A133,'SegEnds_NonXtal_BW#'!$A:$Z,13,FALSE)+VLOOKUP($A133,A:AL,19,FALSE)-50),"-",VLOOKUP($A133,'SegEnds_NonXtal_BW#'!$A:$Z,13,FALSE)+VLOOKUP($A133,A:AL,19,FALSE)-50)</f>
        <v>144</v>
      </c>
      <c r="S133" s="3">
        <v>144</v>
      </c>
      <c r="T133" s="103">
        <f>IF(ISERROR(VLOOKUP($A133,'SegEnds_NonXtal_BW#'!$A:$Z,14,FALSE)+VLOOKUP($A133,A:AL,19,FALSE)-50),"-",(VLOOKUP($A133,'SegEnds_NonXtal_BW#'!$A:$Z,14,FALSE)+VLOOKUP($A133,A:AL,19,FALSE)-50))</f>
        <v>151</v>
      </c>
      <c r="U133" s="9">
        <f>IF(ISERROR(VLOOKUP($A133,'SegEnds_NonXtal_BW#'!$A:$Z,15,FALSE)+VLOOKUP($A133,A:AL,22,FALSE)-50),"-",VLOOKUP($A133,'SegEnds_NonXtal_BW#'!$A:$Z,15,FALSE)+VLOOKUP($A133,A:AL,22,FALSE)-50)</f>
        <v>152</v>
      </c>
      <c r="V133" s="3">
        <v>164</v>
      </c>
      <c r="W133" s="3">
        <f>IF(ISERROR(VLOOKUP($A133,'SegEnds_NonXtal_BW#'!$A:$Z,16,FALSE)+VLOOKUP($A133,A:AL,22,FALSE)-50),"-",(VLOOKUP($A133,'SegEnds_NonXtal_BW#'!$A:$Z,16,FALSE)+VLOOKUP($A133,A:AL,22,FALSE)-50))</f>
        <v>178</v>
      </c>
      <c r="X133" s="3">
        <f>IF(ISERROR(VLOOKUP($A133,'SegEnds_NonXtal_BW#'!$A:$Z,17,FALSE)+VLOOKUP($A133,A:AL,25,FALSE)-50),"-",(VLOOKUP($A133,'SegEnds_NonXtal_BW#'!$A:$Z,17,FALSE)+VLOOKUP($A133,A:AL,25,FALSE)-50))</f>
        <v>191</v>
      </c>
      <c r="Y133" s="3">
        <v>191</v>
      </c>
      <c r="Z133" s="3">
        <f>Y133+2</f>
        <v>193</v>
      </c>
      <c r="AA133" s="3">
        <f>IF(ISERROR(VLOOKUP($A133,'SegEnds_NonXtal_BW#'!$A:$Z,19,FALSE)+VLOOKUP($A133,A:AL,28,FALSE)-50),"-",(VLOOKUP($A133,'SegEnds_NonXtal_BW#'!$A:$Z,19,FALSE)+VLOOKUP($A133,A:AL,28,FALSE)-50))</f>
        <v>198</v>
      </c>
      <c r="AB133" s="3">
        <v>214</v>
      </c>
      <c r="AC133" s="3">
        <f>IF(ISERROR((VLOOKUP($A133,'SegEnds_NonXtal_BW#'!$A:$Z,20,FALSE)+VLOOKUP($A133,A:AL,28,FALSE)-50)),"-",(VLOOKUP($A133,'SegEnds_NonXtal_BW#'!$A:$Z,20,FALSE)+VLOOKUP($A133,A:AL,28,FALSE)-50))</f>
        <v>231</v>
      </c>
      <c r="AD133" s="3">
        <f>IF(ISERROR(VLOOKUP($A133,'SegEnds_NonXtal_BW#'!$A:$Z,21,FALSE)+VLOOKUP($A133,A:AL,31,FALSE)-50),"-",(VLOOKUP($A133,'SegEnds_NonXtal_BW#'!$A:$Z,21,FALSE)+VLOOKUP($A133,A:AL,31,FALSE)-50))</f>
        <v>237</v>
      </c>
      <c r="AE133" s="3">
        <v>259</v>
      </c>
      <c r="AF133" s="3">
        <f>IF(ISERROR((VLOOKUP($A133,'SegEnds_NonXtal_BW#'!$A:$Z,22,FALSE)+VLOOKUP($A133,A:AL,31,FALSE)-50)),"-",(VLOOKUP($A133,'SegEnds_NonXtal_BW#'!$A:$Z,22,FALSE)+VLOOKUP($A133,A:AL,31,FALSE)-50))</f>
        <v>273</v>
      </c>
      <c r="AG133" s="3">
        <f>IF(ISERROR(VLOOKUP($A133,'SegEnds_NonXtal_BW#'!$A:$Z,23,FALSE)+VLOOKUP($A133,A:AL,34,FALSE)-50),"-",(VLOOKUP($A133,'SegEnds_NonXtal_BW#'!$A:$Z,23,FALSE)+VLOOKUP($A133,A:AL,34,FALSE)-50))</f>
        <v>278</v>
      </c>
      <c r="AH133" s="3">
        <v>304</v>
      </c>
      <c r="AI133" s="3">
        <f>IF(ISERROR((VLOOKUP($A133,'SegEnds_NonXtal_BW#'!$A:$Z,24,FALSE)+VLOOKUP($A133,A:AL,34,FALSE)-50)),"-",(VLOOKUP($A133,'SegEnds_NonXtal_BW#'!$A:$Z,24,FALSE)+VLOOKUP($A133,A:AL,34,FALSE)-50))</f>
        <v>310</v>
      </c>
      <c r="AJ133" s="3">
        <f>IF(ISERROR(VLOOKUP($A133,'SegEnds_NonXtal_BW#'!$A:$Z,25,FALSE)+VLOOKUP($A133,A:AL,37,FALSE)-50),"-",(VLOOKUP($A133,'SegEnds_NonXtal_BW#'!$A:$Z,25,FALSE)+VLOOKUP($A133,A:AL,37,FALSE)-50))</f>
        <v>311</v>
      </c>
      <c r="AK133" s="3">
        <v>314</v>
      </c>
      <c r="AL133" s="3">
        <f>IF(ISERROR((VLOOKUP($A133,'SegEnds_NonXtal_BW#'!$A:$Z,26,FALSE)+VLOOKUP($A133,A:AL,37,FALSE)-50)),"-",(VLOOKUP($A133,'SegEnds_NonXtal_BW#'!$A:$Z,26,FALSE)+VLOOKUP($A133,A:AL,37,FALSE)-50))</f>
        <v>325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>IF(ISERROR(F133-E133),"-",F133-E133)</f>
        <v>1</v>
      </c>
      <c r="AQ133" s="3">
        <f>IF(ISERROR(I133-H133),"-",I133-H133)</f>
        <v>1</v>
      </c>
      <c r="AR133" s="3">
        <f>IF(ISERROR(L133-K133),"-",L133-K133)</f>
        <v>3</v>
      </c>
      <c r="AS133" s="3">
        <f>IF(ISERROR(O133-N133),"-",O133-N133)</f>
        <v>1</v>
      </c>
      <c r="AT133" s="3">
        <f>IF(ISERROR(R133-Q133),"-",R133-Q133)</f>
        <v>1</v>
      </c>
      <c r="AU133" s="3">
        <f>IF(ISERROR(U133-T133),"-",U133-T133)</f>
        <v>1</v>
      </c>
      <c r="AV133" s="3">
        <f>IF(ISERROR(X133-W133),"-",X133-W133)</f>
        <v>13</v>
      </c>
      <c r="AW133" s="3">
        <f>IF(ISERROR(AA133-Z133),"-",AA133-Z133)</f>
        <v>5</v>
      </c>
      <c r="AX133" s="3">
        <f>IF(ISERROR(AD133-AC133),"-",AD133-AC133)</f>
        <v>6</v>
      </c>
      <c r="AY133" s="3">
        <f>IF(ISERROR(AG133-AF133),"-",AG133-AF133)</f>
        <v>5</v>
      </c>
      <c r="AZ133" s="3">
        <f>IF(ISERROR(AJ133-AI133),"-",AJ133-AI133)</f>
        <v>1</v>
      </c>
      <c r="BA133" s="3">
        <f>IF(ISERROR(LEN(VLOOKUP(A133,Seqs!A:E,2,FALSE))-AL133),"-",LEN(VLOOKUP(A133,Seqs!A:E,2,FALSE))-AL133)</f>
        <v>36</v>
      </c>
      <c r="BB133" s="16">
        <f>J133-D133</f>
        <v>28</v>
      </c>
      <c r="BC133" s="9">
        <f>IF(ISERROR(V133-S133),"-",V133-S133)</f>
        <v>20</v>
      </c>
      <c r="BD133" s="3">
        <f>J133-D133</f>
        <v>28</v>
      </c>
      <c r="BE133" s="3">
        <f>AE133-AB133</f>
        <v>45</v>
      </c>
    </row>
    <row r="134" spans="1:58" s="3" customFormat="1" x14ac:dyDescent="0.2">
      <c r="A134" s="3" t="s">
        <v>247</v>
      </c>
      <c r="B134" s="3" t="str">
        <f>LOWER(VLOOKUP(A134,Xtal_Templ!A:B,2,FALSE))</f>
        <v>ox2r_human</v>
      </c>
      <c r="C134" s="3">
        <f>VLOOKUP($A134,'SegEnds_NonXtal_BW#'!$A:$Z,3,FALSE)+D134-50</f>
        <v>4</v>
      </c>
      <c r="D134" s="3">
        <v>23</v>
      </c>
      <c r="E134" s="3">
        <f>IF(ISERROR(VLOOKUP($A134,'SegEnds_NonXtal_BW#'!$A:$Z,4,FALSE)+VLOOKUP($A134,A:AL,4,FALSE)-50),"-",(VLOOKUP($A134,'SegEnds_NonXtal_BW#'!$A:$Z,4,FALSE)+VLOOKUP($A134,A:AL,4,FALSE)-50))</f>
        <v>33</v>
      </c>
      <c r="F134" s="3">
        <f>G134-2</f>
        <v>34</v>
      </c>
      <c r="G134" s="3">
        <v>36</v>
      </c>
      <c r="H134" s="3">
        <f>G134+1</f>
        <v>37</v>
      </c>
      <c r="I134" s="3">
        <f>H134+1</f>
        <v>38</v>
      </c>
      <c r="J134" s="3">
        <v>52</v>
      </c>
      <c r="K134" s="3">
        <f>VLOOKUP($A134,'SegEnds_NonXtal_BW#'!$A:$Z,8,FALSE)+VLOOKUP($A134,A:AL,10,FALSE)-50</f>
        <v>69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75</v>
      </c>
      <c r="P134" s="3">
        <v>104</v>
      </c>
      <c r="Q134" s="3">
        <f>VLOOKUP($A134,'SegEnds_NonXtal_BW#'!$A:$Z,12,FALSE)+VLOOKUP($A134,A:AL,16,FALSE)-50</f>
        <v>110</v>
      </c>
      <c r="R134" s="3">
        <f>IF(ISERROR(VLOOKUP($A134,'SegEnds_NonXtal_BW#'!$A:$Z,13,FALSE)+VLOOKUP($A134,A:AL,19,FALSE)-50),"-",VLOOKUP($A134,'SegEnds_NonXtal_BW#'!$A:$Z,13,FALSE)+VLOOKUP($A134,A:AL,19,FALSE)-50)</f>
        <v>111</v>
      </c>
      <c r="S134" s="3">
        <v>111</v>
      </c>
      <c r="T134" s="103">
        <f>IF(ISERROR(VLOOKUP($A134,'SegEnds_NonXtal_BW#'!$A:$Z,14,FALSE)+VLOOKUP($A134,A:AL,19,FALSE)-50),"-",(VLOOKUP($A134,'SegEnds_NonXtal_BW#'!$A:$Z,14,FALSE)+VLOOKUP($A134,A:AL,19,FALSE)-50))</f>
        <v>118</v>
      </c>
      <c r="U134" s="9">
        <f>IF(ISERROR(VLOOKUP($A134,'SegEnds_NonXtal_BW#'!$A:$Z,15,FALSE)+VLOOKUP($A134,A:AL,22,FALSE)-50),"-",VLOOKUP($A134,'SegEnds_NonXtal_BW#'!$A:$Z,15,FALSE)+VLOOKUP($A134,A:AL,22,FALSE)-50)</f>
        <v>119</v>
      </c>
      <c r="V134" s="3">
        <v>131</v>
      </c>
      <c r="W134" s="3">
        <f>IF(ISERROR(VLOOKUP($A134,'SegEnds_NonXtal_BW#'!$A:$Z,16,FALSE)+VLOOKUP($A134,A:AL,22,FALSE)-50),"-",(VLOOKUP($A134,'SegEnds_NonXtal_BW#'!$A:$Z,16,FALSE)+VLOOKUP($A134,A:AL,22,FALSE)-50))</f>
        <v>145</v>
      </c>
      <c r="X134" s="3">
        <f>IF(ISERROR(VLOOKUP($A134,'SegEnds_NonXtal_BW#'!$A:$Z,17,FALSE)+VLOOKUP($A134,A:AL,25,FALSE)-50),"-",(VLOOKUP($A134,'SegEnds_NonXtal_BW#'!$A:$Z,17,FALSE)+VLOOKUP($A134,A:AL,25,FALSE)-50))</f>
        <v>159</v>
      </c>
      <c r="Y134" s="3">
        <v>159</v>
      </c>
      <c r="Z134" s="3">
        <f>Y134+2</f>
        <v>161</v>
      </c>
      <c r="AA134" s="3">
        <f>IF(ISERROR(VLOOKUP($A134,'SegEnds_NonXtal_BW#'!$A:$Z,19,FALSE)+VLOOKUP($A134,A:AL,28,FALSE)-50),"-",(VLOOKUP($A134,'SegEnds_NonXtal_BW#'!$A:$Z,19,FALSE)+VLOOKUP($A134,A:AL,28,FALSE)-50))</f>
        <v>169</v>
      </c>
      <c r="AB134" s="3">
        <v>184</v>
      </c>
      <c r="AC134" s="3">
        <f>IF(ISERROR((VLOOKUP($A134,'SegEnds_NonXtal_BW#'!$A:$Z,20,FALSE)+VLOOKUP($A134,A:AL,28,FALSE)-50)),"-",(VLOOKUP($A134,'SegEnds_NonXtal_BW#'!$A:$Z,20,FALSE)+VLOOKUP($A134,A:AL,28,FALSE)-50))</f>
        <v>210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272</v>
      </c>
      <c r="AH134" s="3">
        <v>291</v>
      </c>
      <c r="AI134" s="3">
        <f>IF(ISERROR((VLOOKUP($A134,'SegEnds_NonXtal_BW#'!$A:$Z,24,FALSE)+VLOOKUP($A134,A:AL,34,FALSE)-50)),"-",(VLOOKUP($A134,'SegEnds_NonXtal_BW#'!$A:$Z,24,FALSE)+VLOOKUP($A134,A:AL,34,FALSE)-50))</f>
        <v>297</v>
      </c>
      <c r="AJ134" s="3">
        <f>IF(ISERROR(VLOOKUP($A134,'SegEnds_NonXtal_BW#'!$A:$Z,25,FALSE)+VLOOKUP($A134,A:AL,37,FALSE)-50),"-",(VLOOKUP($A134,'SegEnds_NonXtal_BW#'!$A:$Z,25,FALSE)+VLOOKUP($A134,A:AL,37,FALSE)-50))</f>
        <v>298</v>
      </c>
      <c r="AK134" s="3">
        <v>301</v>
      </c>
      <c r="AL134" s="3">
        <f>IF(ISERROR((VLOOKUP($A134,'SegEnds_NonXtal_BW#'!$A:$Z,26,FALSE)+VLOOKUP($A134,A:AL,37,FALSE)-50)),"-",(VLOOKUP($A134,'SegEnds_NonXtal_BW#'!$A:$Z,26,FALSE)+VLOOKUP($A134,A:AL,37,FALSE)-50))</f>
        <v>309</v>
      </c>
      <c r="AM134" s="28" t="str">
        <f>VLOOKUP(A134,Classification!A:B,2,FALSE)</f>
        <v>A</v>
      </c>
      <c r="AN134" s="28" t="b">
        <f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>IF(ISERROR(F134-E134),"-",F134-E134)</f>
        <v>1</v>
      </c>
      <c r="AQ134" s="3">
        <f>IF(ISERROR(I134-H134),"-",I134-H134)</f>
        <v>1</v>
      </c>
      <c r="AR134" s="3" t="str">
        <f>IF(ISERROR(L134-K134),"-",L134-K134)</f>
        <v>-</v>
      </c>
      <c r="AS134" s="3" t="str">
        <f>IF(ISERROR(O134-N134),"-",O134-N134)</f>
        <v>-</v>
      </c>
      <c r="AT134" s="3">
        <f>IF(ISERROR(R134-Q134),"-",R134-Q134)</f>
        <v>1</v>
      </c>
      <c r="AU134" s="3">
        <f>IF(ISERROR(U134-T134),"-",U134-T134)</f>
        <v>1</v>
      </c>
      <c r="AV134" s="3">
        <f>IF(ISERROR(X134-W134),"-",X134-W134)</f>
        <v>14</v>
      </c>
      <c r="AW134" s="3">
        <f>IF(ISERROR(AA134-Z134),"-",AA134-Z134)</f>
        <v>8</v>
      </c>
      <c r="AX134" s="3">
        <f>IF(ISERROR(AD134-AC134),"-",AD134-AC134)</f>
        <v>20</v>
      </c>
      <c r="AY134" s="3">
        <f>IF(ISERROR(AG134-AF134),"-",AG134-AF134)</f>
        <v>5</v>
      </c>
      <c r="AZ134" s="3">
        <f>IF(ISERROR(AJ134-AI134),"-",AJ134-AI134)</f>
        <v>1</v>
      </c>
      <c r="BA134" s="3">
        <f>IF(ISERROR(LEN(VLOOKUP(A134,Seqs!A:E,2,FALSE))-AL134),"-",LEN(VLOOKUP(A134,Seqs!A:E,2,FALSE))-AL134)</f>
        <v>28</v>
      </c>
      <c r="BB134" s="16">
        <f>J134-D134</f>
        <v>29</v>
      </c>
      <c r="BC134" s="9">
        <f>IF(ISERROR(V134-S134),"-",V134-S134)</f>
        <v>20</v>
      </c>
      <c r="BD134" s="3">
        <f>J134-D134</f>
        <v>29</v>
      </c>
      <c r="BE134" s="3">
        <f>AE134-AB134</f>
        <v>72</v>
      </c>
      <c r="BF134" s="3">
        <f>AH134-AE134</f>
        <v>35</v>
      </c>
    </row>
    <row r="135" spans="1:58" s="3" customFormat="1" x14ac:dyDescent="0.2">
      <c r="A135" s="3" t="s">
        <v>249</v>
      </c>
      <c r="B135" s="3" t="str">
        <f>LOWER(VLOOKUP(A135,Xtal_Templ!A:B,2,FALSE))</f>
        <v>s1pr1_human</v>
      </c>
      <c r="C135" s="3">
        <f>VLOOKUP($A135,'SegEnds_NonXtal_BW#'!$A:$Z,3,FALSE)+D135-50</f>
        <v>37</v>
      </c>
      <c r="D135" s="3">
        <v>58</v>
      </c>
      <c r="E135" s="3">
        <f>IF(ISERROR(VLOOKUP($A135,'SegEnds_NonXtal_BW#'!$A:$Z,4,FALSE)+VLOOKUP($A135,A:AL,4,FALSE)-50),"-",(VLOOKUP($A135,'SegEnds_NonXtal_BW#'!$A:$Z,4,FALSE)+VLOOKUP($A135,A:AL,4,FALSE)-50))</f>
        <v>68</v>
      </c>
      <c r="F135" s="3">
        <f>G135-2</f>
        <v>69</v>
      </c>
      <c r="G135" s="3">
        <v>71</v>
      </c>
      <c r="H135" s="3">
        <f>G135+1</f>
        <v>72</v>
      </c>
      <c r="I135" s="3">
        <f>H135+1</f>
        <v>73</v>
      </c>
      <c r="J135" s="3">
        <v>86</v>
      </c>
      <c r="K135" s="3">
        <f>VLOOKUP($A135,'SegEnds_NonXtal_BW#'!$A:$Z,8,FALSE)+VLOOKUP($A135,A:AL,10,FALSE)-50</f>
        <v>98</v>
      </c>
      <c r="L135" s="3">
        <f>M135-1</f>
        <v>100</v>
      </c>
      <c r="M135" s="3">
        <v>101</v>
      </c>
      <c r="N135" s="3">
        <f>M135+2</f>
        <v>103</v>
      </c>
      <c r="O135" s="3">
        <f>N135+1</f>
        <v>104</v>
      </c>
      <c r="P135" s="3">
        <v>134</v>
      </c>
      <c r="Q135" s="3">
        <f>VLOOKUP($A135,'SegEnds_NonXtal_BW#'!$A:$Z,12,FALSE)+VLOOKUP($A135,A:AL,16,FALSE)-50</f>
        <v>140</v>
      </c>
      <c r="R135" s="3">
        <f>S135</f>
        <v>141</v>
      </c>
      <c r="S135" s="3">
        <v>141</v>
      </c>
      <c r="T135" s="103">
        <f>S135+7</f>
        <v>148</v>
      </c>
      <c r="U135" s="9">
        <f>IF(ISERROR(VLOOKUP($A135,'SegEnds_NonXtal_BW#'!$A:$Z,15,FALSE)+VLOOKUP($A135,A:AL,22,FALSE)-50),"-",VLOOKUP($A135,'SegEnds_NonXtal_BW#'!$A:$Z,15,FALSE)+VLOOKUP($A135,A:AL,22,FALSE)-50)</f>
        <v>149</v>
      </c>
      <c r="V135" s="3">
        <v>161</v>
      </c>
      <c r="W135" s="3">
        <f>IF(ISERROR(VLOOKUP($A135,'SegEnds_NonXtal_BW#'!$A:$Z,16,FALSE)+VLOOKUP($A135,A:AL,22,FALSE)-50),"-",(VLOOKUP($A135,'SegEnds_NonXtal_BW#'!$A:$Z,16,FALSE)+VLOOKUP($A135,A:AL,22,FALSE)-50))</f>
        <v>174</v>
      </c>
      <c r="X135" s="3" t="str">
        <f>IF(ISERROR(VLOOKUP($A135,'SegEnds_NonXtal_BW#'!$A:$Z,17,FALSE)+VLOOKUP($A135,A:AL,25,FALSE)-50),"-",(VLOOKUP($A135,'SegEnds_NonXtal_BW#'!$A:$Z,17,FALSE)+VLOOKUP($A135,A:AL,25,FALSE)-50))</f>
        <v>-</v>
      </c>
      <c r="Y135" s="3" t="s">
        <v>23</v>
      </c>
      <c r="Z135" s="3" t="str">
        <f>IF(ISERROR(VLOOKUP($A135,'SegEnds_NonXtal_BW#'!$A:$Z,18,FALSE)+VLOOKUP($A135,A:AL,25,FALSE)-50),"-",(VLOOKUP($A135,'SegEnds_NonXtal_BW#'!$A:$Z,18,FALSE)+VLOOKUP($A135,A:AL,25,FALSE)-50))</f>
        <v>-</v>
      </c>
      <c r="AA135" s="3">
        <f>IF(ISERROR(VLOOKUP($A135,'SegEnds_NonXtal_BW#'!$A:$Z,19,FALSE)+VLOOKUP($A135,A:AL,28,FALSE)-50),"-",(VLOOKUP($A135,'SegEnds_NonXtal_BW#'!$A:$Z,19,FALSE)+VLOOKUP($A135,A:AL,28,FALSE)-50))</f>
        <v>191</v>
      </c>
      <c r="AB135" s="3">
        <v>205</v>
      </c>
      <c r="AC135" s="3">
        <f>IF(ISERROR((VLOOKUP($A135,'SegEnds_NonXtal_BW#'!$A:$Z,20,FALSE)+VLOOKUP($A135,A:AL,28,FALSE)-50)),"-",(VLOOKUP($A135,'SegEnds_NonXtal_BW#'!$A:$Z,20,FALSE)+VLOOKUP($A135,A:AL,28,FALSE)-50))</f>
        <v>227</v>
      </c>
      <c r="AD135" s="3">
        <f>IF(ISERROR(VLOOKUP($A135,'SegEnds_NonXtal_BW#'!$A:$Z,21,FALSE)+VLOOKUP($A135,A:AL,31,FALSE)-50),"-",(VLOOKUP($A135,'SegEnds_NonXtal_BW#'!$A:$Z,21,FALSE)+VLOOKUP($A135,A:AL,31,FALSE)-50))</f>
        <v>236</v>
      </c>
      <c r="AE135" s="3">
        <v>262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294</v>
      </c>
      <c r="AI135" s="3">
        <f>IF(ISERROR((VLOOKUP($A135,'SegEnds_NonXtal_BW#'!$A:$Z,24,FALSE)+VLOOKUP($A135,A:AL,34,FALSE)-50)),"-",(VLOOKUP($A135,'SegEnds_NonXtal_BW#'!$A:$Z,24,FALSE)+VLOOKUP($A135,A:AL,34,FALSE)-50))</f>
        <v>300</v>
      </c>
      <c r="AJ135" s="3">
        <f>IF(ISERROR(VLOOKUP($A135,'SegEnds_NonXtal_BW#'!$A:$Z,25,FALSE)+VLOOKUP($A135,A:AL,37,FALSE)-50),"-",(VLOOKUP($A135,'SegEnds_NonXtal_BW#'!$A:$Z,25,FALSE)+VLOOKUP($A135,A:AL,37,FALSE)-50))</f>
        <v>301</v>
      </c>
      <c r="AK135" s="3">
        <v>304</v>
      </c>
      <c r="AL135" s="3">
        <f>IF(ISERROR((VLOOKUP($A135,'SegEnds_NonXtal_BW#'!$A:$Z,26,FALSE)+VLOOKUP($A135,A:AL,37,FALSE)-50)),"-",(VLOOKUP($A135,'SegEnds_NonXtal_BW#'!$A:$Z,26,FALSE)+VLOOKUP($A135,A:AL,37,FALSE)-50))</f>
        <v>313</v>
      </c>
      <c r="AM135" s="28" t="str">
        <f>VLOOKUP(A135,Classification!A:B,2,FALSE)</f>
        <v>A</v>
      </c>
      <c r="AN135" s="28" t="b">
        <f>AND(IF(Y135="-",IF(AA135-W135&gt;3,TRUE,FALSE),TRUE),IF(M135="-",IF(O135-K135&gt;3,TRUE,FALSE),TRUE),C135&lt;E135,OR(E135&lt;F135,F135="-"),OR(F135&lt;H135,F135="-"),OR(H135&lt;I135,H135="-"),I135&lt;K135,OR(K135&lt;L135,L135="-"),OR(L135&lt;N135,L135="-"),OR(N135&lt;O135,N135="-"),O135&lt;Q135,OR(Q135&lt;R135,R135="-"),OR(R135&lt;T135,R135="-"),OR(T135&lt;U135,T135="-"),U135&lt;W135,OR(W135&lt;X135,X135="-"),OR(X135&lt;Z135,X135="-"),OR(Z135&lt;AA135,Z135="-"),AA135&lt;AC135,AC135&lt;AD135,AD135&lt;AF135,AF135&lt;AG135,AG135&lt;AI135,OR(AI135&lt;AJ135,AJ135="-"),OR(AJ135&lt;AL135,AJ135="-"))</f>
        <v>1</v>
      </c>
      <c r="AO135" s="3" t="str">
        <f>IF(ISERROR(MATCH(A135,'SegEnds_Xtal_Prot#'!B:B, 0)), "NoXtal", "Xtal")</f>
        <v>NoXtal</v>
      </c>
      <c r="AP135" s="3">
        <f>IF(ISERROR(F135-E135),"-",F135-E135)</f>
        <v>1</v>
      </c>
      <c r="AQ135" s="3">
        <f>IF(ISERROR(I135-H135),"-",I135-H135)</f>
        <v>1</v>
      </c>
      <c r="AR135" s="3">
        <f>IF(ISERROR(L135-K135),"-",L135-K135)</f>
        <v>2</v>
      </c>
      <c r="AS135" s="3">
        <f>IF(ISERROR(O135-N135),"-",O135-N135)</f>
        <v>1</v>
      </c>
      <c r="AT135" s="3">
        <f>IF(ISERROR(R135-Q135),"-",R135-Q135)</f>
        <v>1</v>
      </c>
      <c r="AU135" s="3">
        <f>IF(ISERROR(U135-T135),"-",U135-T135)</f>
        <v>1</v>
      </c>
      <c r="AV135" s="3" t="str">
        <f>IF(ISERROR(X135-W135),"-",X135-W135)</f>
        <v>-</v>
      </c>
      <c r="AW135" s="3" t="str">
        <f>IF(ISERROR(AA135-Z135),"-",AA135-Z135)</f>
        <v>-</v>
      </c>
      <c r="AX135" s="3">
        <f>IF(ISERROR(AD135-AC135),"-",AD135-AC135)</f>
        <v>9</v>
      </c>
      <c r="AY135" s="3">
        <f>IF(ISERROR(AG135-AF135),"-",AG135-AF135)</f>
        <v>5</v>
      </c>
      <c r="AZ135" s="3">
        <f>IF(ISERROR(AJ135-AI135),"-",AJ135-AI135)</f>
        <v>1</v>
      </c>
      <c r="BA135" s="3">
        <f>IF(ISERROR(LEN(VLOOKUP(A135,Seqs!A:E,2,FALSE))-AL135),"-",LEN(VLOOKUP(A135,Seqs!A:E,2,FALSE))-AL135)</f>
        <v>17</v>
      </c>
      <c r="BB135" s="16">
        <f>J135-D135</f>
        <v>28</v>
      </c>
      <c r="BC135" s="9">
        <f>IF(ISERROR(V135-S135),"-",V135-S135)</f>
        <v>20</v>
      </c>
      <c r="BD135" s="3">
        <f>J135-D135</f>
        <v>28</v>
      </c>
      <c r="BE135" s="3">
        <f>AE135-AB135</f>
        <v>57</v>
      </c>
      <c r="BF135" s="3">
        <f>AH135-AE135</f>
        <v>32</v>
      </c>
    </row>
    <row r="136" spans="1:58" s="3" customFormat="1" x14ac:dyDescent="0.2">
      <c r="A136" s="3" t="s">
        <v>250</v>
      </c>
      <c r="B136" s="3" t="str">
        <f>LOWER(VLOOKUP(A136,Xtal_Templ!A:B,2,FALSE))</f>
        <v>oprd_human</v>
      </c>
      <c r="C136" s="3">
        <f>VLOOKUP($A136,'SegEnds_NonXtal_BW#'!$A:$Z,3,FALSE)+D136-50</f>
        <v>4</v>
      </c>
      <c r="D136" s="3">
        <v>32</v>
      </c>
      <c r="E136" s="3">
        <f>IF(ISERROR(VLOOKUP($A136,'SegEnds_NonXtal_BW#'!$A:$Z,4,FALSE)+VLOOKUP($A136,A:AL,4,FALSE)-50),"-",(VLOOKUP($A136,'SegEnds_NonXtal_BW#'!$A:$Z,4,FALSE)+VLOOKUP($A136,A:AL,4,FALSE)-50))</f>
        <v>42</v>
      </c>
      <c r="F136" s="3">
        <f>G136-2</f>
        <v>43</v>
      </c>
      <c r="G136" s="3">
        <v>45</v>
      </c>
      <c r="H136" s="3">
        <f>G136+1</f>
        <v>46</v>
      </c>
      <c r="I136" s="3">
        <f>H136+1</f>
        <v>47</v>
      </c>
      <c r="J136" s="3">
        <v>60</v>
      </c>
      <c r="K136" s="3">
        <f>VLOOKUP($A136,'SegEnds_NonXtal_BW#'!$A:$Z,8,FALSE)+VLOOKUP($A136,A:AL,10,FALSE)-50</f>
        <v>76</v>
      </c>
      <c r="L136" s="3">
        <f>M136-1</f>
        <v>79</v>
      </c>
      <c r="M136" s="3">
        <v>80</v>
      </c>
      <c r="N136" s="3">
        <f>M136+2</f>
        <v>82</v>
      </c>
      <c r="O136" s="3">
        <f>N136+1</f>
        <v>83</v>
      </c>
      <c r="P136" s="3">
        <v>112</v>
      </c>
      <c r="Q136" s="3">
        <f>VLOOKUP($A136,'SegEnds_NonXtal_BW#'!$A:$Z,12,FALSE)+VLOOKUP($A136,A:AL,16,FALSE)-50</f>
        <v>118</v>
      </c>
      <c r="R136" s="3">
        <f>IF(ISERROR(VLOOKUP($A136,'SegEnds_NonXtal_BW#'!$A:$Z,13,FALSE)+VLOOKUP($A136,A:AL,19,FALSE)-50),"-",VLOOKUP($A136,'SegEnds_NonXtal_BW#'!$A:$Z,13,FALSE)+VLOOKUP($A136,A:AL,19,FALSE)-50)</f>
        <v>119</v>
      </c>
      <c r="S136" s="3">
        <v>119</v>
      </c>
      <c r="T136" s="103">
        <f>IF(ISERROR(VLOOKUP($A136,'SegEnds_NonXtal_BW#'!$A:$Z,14,FALSE)+VLOOKUP($A136,A:AL,19,FALSE)-50),"-",(VLOOKUP($A136,'SegEnds_NonXtal_BW#'!$A:$Z,14,FALSE)+VLOOKUP($A136,A:AL,19,FALSE)-50))</f>
        <v>126</v>
      </c>
      <c r="U136" s="9">
        <f>IF(ISERROR(VLOOKUP($A136,'SegEnds_NonXtal_BW#'!$A:$Z,15,FALSE)+VLOOKUP($A136,A:AL,22,FALSE)-50),"-",VLOOKUP($A136,'SegEnds_NonXtal_BW#'!$A:$Z,15,FALSE)+VLOOKUP($A136,A:AL,22,FALSE)-50)</f>
        <v>127</v>
      </c>
      <c r="V136" s="3">
        <v>139</v>
      </c>
      <c r="W136" s="3">
        <f>IF(ISERROR(VLOOKUP($A136,'SegEnds_NonXtal_BW#'!$A:$Z,16,FALSE)+VLOOKUP($A136,A:AL,22,FALSE)-50),"-",(VLOOKUP($A136,'SegEnds_NonXtal_BW#'!$A:$Z,16,FALSE)+VLOOKUP($A136,A:AL,22,FALSE)-50))</f>
        <v>153</v>
      </c>
      <c r="X136" s="3">
        <f>IF(ISERROR(VLOOKUP($A136,'SegEnds_NonXtal_BW#'!$A:$Z,17,FALSE)+VLOOKUP($A136,A:AL,25,FALSE)-50),"-",(VLOOKUP($A136,'SegEnds_NonXtal_BW#'!$A:$Z,17,FALSE)+VLOOKUP($A136,A:AL,25,FALSE)-50))</f>
        <v>162</v>
      </c>
      <c r="Y136" s="3">
        <v>162</v>
      </c>
      <c r="Z136" s="3">
        <f>Y136+2</f>
        <v>164</v>
      </c>
      <c r="AA136" s="3">
        <f>IF(ISERROR(VLOOKUP($A136,'SegEnds_NonXtal_BW#'!$A:$Z,19,FALSE)+VLOOKUP($A136,A:AL,28,FALSE)-50),"-",(VLOOKUP($A136,'SegEnds_NonXtal_BW#'!$A:$Z,19,FALSE)+VLOOKUP($A136,A:AL,28,FALSE)-50))</f>
        <v>170</v>
      </c>
      <c r="AB136" s="3">
        <v>189</v>
      </c>
      <c r="AC136" s="3">
        <f>IF(ISERROR((VLOOKUP($A136,'SegEnds_NonXtal_BW#'!$A:$Z,20,FALSE)+VLOOKUP($A136,A:AL,28,FALSE)-50)),"-",(VLOOKUP($A136,'SegEnds_NonXtal_BW#'!$A:$Z,20,FALSE)+VLOOKUP($A136,A:AL,28,FALSE)-50))</f>
        <v>207</v>
      </c>
      <c r="AD136" s="3">
        <f>IF(ISERROR(VLOOKUP($A136,'SegEnds_NonXtal_BW#'!$A:$Z,21,FALSE)+VLOOKUP($A136,A:AL,31,FALSE)-50),"-",(VLOOKUP($A136,'SegEnds_NonXtal_BW#'!$A:$Z,21,FALSE)+VLOOKUP($A136,A:AL,31,FALSE)-50))</f>
        <v>211</v>
      </c>
      <c r="AE136" s="3">
        <v>237</v>
      </c>
      <c r="AF136" s="3">
        <f>IF(ISERROR((VLOOKUP($A136,'SegEnds_NonXtal_BW#'!$A:$Z,22,FALSE)+VLOOKUP($A136,A:AL,31,FALSE)-50)),"-",(VLOOKUP($A136,'SegEnds_NonXtal_BW#'!$A:$Z,22,FALSE)+VLOOKUP($A136,A:AL,31,FALSE)-50))</f>
        <v>248</v>
      </c>
      <c r="AG136" s="3">
        <f>IF(ISERROR(VLOOKUP($A136,'SegEnds_NonXtal_BW#'!$A:$Z,23,FALSE)+VLOOKUP($A136,A:AL,34,FALSE)-50),"-",(VLOOKUP($A136,'SegEnds_NonXtal_BW#'!$A:$Z,23,FALSE)+VLOOKUP($A136,A:AL,34,FALSE)-50))</f>
        <v>257</v>
      </c>
      <c r="AH136" s="3">
        <v>279</v>
      </c>
      <c r="AI136" s="3">
        <f>IF(ISERROR((VLOOKUP($A136,'SegEnds_NonXtal_BW#'!$A:$Z,24,FALSE)+VLOOKUP($A136,A:AL,34,FALSE)-50)),"-",(VLOOKUP($A136,'SegEnds_NonXtal_BW#'!$A:$Z,24,FALSE)+VLOOKUP($A136,A:AL,34,FALSE)-50))</f>
        <v>285</v>
      </c>
      <c r="AJ136" s="3">
        <f>IF(ISERROR(VLOOKUP($A136,'SegEnds_NonXtal_BW#'!$A:$Z,25,FALSE)+VLOOKUP($A136,A:AL,37,FALSE)-50),"-",(VLOOKUP($A136,'SegEnds_NonXtal_BW#'!$A:$Z,25,FALSE)+VLOOKUP($A136,A:AL,37,FALSE)-50))</f>
        <v>286</v>
      </c>
      <c r="AK136" s="3">
        <v>289</v>
      </c>
      <c r="AL136" s="3">
        <f>IF(ISERROR((VLOOKUP($A136,'SegEnds_NonXtal_BW#'!$A:$Z,26,FALSE)+VLOOKUP($A136,A:AL,37,FALSE)-50)),"-",(VLOOKUP($A136,'SegEnds_NonXtal_BW#'!$A:$Z,26,FALSE)+VLOOKUP($A136,A:AL,37,FALSE)-50))</f>
        <v>299</v>
      </c>
      <c r="AM136" s="28" t="str">
        <f>VLOOKUP(A136,Classification!A:B,2,FALSE)</f>
        <v>A</v>
      </c>
      <c r="AN136" s="28" t="b">
        <f>AND(IF(Y136="-",IF(AA136-W136&gt;3,TRUE,FALSE),TRUE),IF(M136="-",IF(O136-K136&gt;3,TRUE,FALSE),TRUE),C136&lt;E136,OR(E136&lt;F136,F136="-"),OR(F136&lt;H136,F136="-"),OR(H136&lt;I136,H136="-"),I136&lt;K136,OR(K136&lt;L136,L136="-"),OR(L136&lt;N136,L136="-"),OR(N136&lt;O136,N136="-"),O136&lt;Q136,OR(Q136&lt;R136,R136="-"),OR(R136&lt;T136,R136="-"),OR(T136&lt;U136,T136="-"),U136&lt;W136,OR(W136&lt;X136,X136="-"),OR(X136&lt;Z136,X136="-"),OR(Z136&lt;AA136,Z136="-"),AA136&lt;AC136,AC136&lt;AD136,AD136&lt;AF136,AF136&lt;AG136,AG136&lt;AI136,OR(AI136&lt;AJ136,AJ136="-"),OR(AJ136&lt;AL136,AJ136="-"))</f>
        <v>1</v>
      </c>
      <c r="AO136" s="3" t="str">
        <f>IF(ISERROR(MATCH(A136,'SegEnds_Xtal_Prot#'!B:B, 0)), "NoXtal", "Xtal")</f>
        <v>NoXtal</v>
      </c>
      <c r="AP136" s="3">
        <f>IF(ISERROR(F136-E136),"-",F136-E136)</f>
        <v>1</v>
      </c>
      <c r="AQ136" s="3">
        <f>IF(ISERROR(I136-H136),"-",I136-H136)</f>
        <v>1</v>
      </c>
      <c r="AR136" s="3">
        <f>IF(ISERROR(L136-K136),"-",L136-K136)</f>
        <v>3</v>
      </c>
      <c r="AS136" s="3">
        <f>IF(ISERROR(O136-N136),"-",O136-N136)</f>
        <v>1</v>
      </c>
      <c r="AT136" s="3">
        <f>IF(ISERROR(R136-Q136),"-",R136-Q136)</f>
        <v>1</v>
      </c>
      <c r="AU136" s="3">
        <f>IF(ISERROR(U136-T136),"-",U136-T136)</f>
        <v>1</v>
      </c>
      <c r="AV136" s="3">
        <f>IF(ISERROR(X136-W136),"-",X136-W136)</f>
        <v>9</v>
      </c>
      <c r="AW136" s="3">
        <f>IF(ISERROR(AA136-Z136),"-",AA136-Z136)</f>
        <v>6</v>
      </c>
      <c r="AX136" s="3">
        <f>IF(ISERROR(AD136-AC136),"-",AD136-AC136)</f>
        <v>4</v>
      </c>
      <c r="AY136" s="3">
        <f>IF(ISERROR(AG136-AF136),"-",AG136-AF136)</f>
        <v>9</v>
      </c>
      <c r="AZ136" s="3">
        <f>IF(ISERROR(AJ136-AI136),"-",AJ136-AI136)</f>
        <v>1</v>
      </c>
      <c r="BA136" s="3">
        <f>IF(ISERROR(LEN(VLOOKUP(A136,Seqs!A:E,2,FALSE))-AL136),"-",LEN(VLOOKUP(A136,Seqs!A:E,2,FALSE))-AL136)</f>
        <v>20</v>
      </c>
      <c r="BB136" s="16">
        <f>J136-D136</f>
        <v>28</v>
      </c>
      <c r="BC136" s="9">
        <f>IF(ISERROR(V136-S136),"-",V136-S136)</f>
        <v>20</v>
      </c>
      <c r="BD136" s="3">
        <f>J136-D136</f>
        <v>28</v>
      </c>
      <c r="BE136" s="3">
        <f>AE136-AB136</f>
        <v>48</v>
      </c>
      <c r="BF136" s="3">
        <f>AH136-AE136</f>
        <v>42</v>
      </c>
    </row>
    <row r="137" spans="1:58" s="3" customFormat="1" x14ac:dyDescent="0.2">
      <c r="A137" s="3" t="s">
        <v>251</v>
      </c>
      <c r="B137" s="3" t="str">
        <f>LOWER(VLOOKUP(A137,Xtal_Templ!A:B,2,FALSE))</f>
        <v>oprk_human</v>
      </c>
      <c r="C137" s="3">
        <f>VLOOKUP($A137,'SegEnds_NonXtal_BW#'!$A:$Z,3,FALSE)+D137-50</f>
        <v>41</v>
      </c>
      <c r="D137" s="3">
        <v>61</v>
      </c>
      <c r="E137" s="3">
        <f>IF(ISERROR(VLOOKUP($A137,'SegEnds_NonXtal_BW#'!$A:$Z,4,FALSE)+VLOOKUP($A137,A:AL,4,FALSE)-50),"-",(VLOOKUP($A137,'SegEnds_NonXtal_BW#'!$A:$Z,4,FALSE)+VLOOKUP($A137,A:AL,4,FALSE)-50))</f>
        <v>71</v>
      </c>
      <c r="F137" s="3" t="str">
        <f>IF(ISERROR(VLOOKUP($A137,'SegEnds_NonXtal_BW#'!$A:$Z,5,FALSE)+VLOOKUP($A137,A:AL,7,FALSE)-50),"-",(VLOOKUP($A137,'SegEnds_NonXtal_BW#'!$A:$Z,5,FALSE)+VLOOKUP($A137,A:AL,7,FALSE)-50))</f>
        <v>-</v>
      </c>
      <c r="G137" s="3" t="s">
        <v>23</v>
      </c>
      <c r="H137" s="3" t="str">
        <f>IF(ISERROR(VLOOKUP($A137,'SegEnds_NonXtal_BW#'!$A:$Z,6,FALSE)+VLOOKUP($A137,A:AL,7,FALSE)-50),"-",(VLOOKUP($A137,'SegEnds_NonXtal_BW#'!$A:$Z,6,FALSE)+VLOOKUP($A137,A:AL,7,FALSE)-50))</f>
        <v>-</v>
      </c>
      <c r="I137" s="3">
        <f>VLOOKUP($A137,'SegEnds_NonXtal_BW#'!$A:$Z,7,FALSE)+J137-50</f>
        <v>75</v>
      </c>
      <c r="J137" s="3">
        <v>88</v>
      </c>
      <c r="K137" s="3">
        <f>VLOOKUP($A137,'SegEnds_NonXtal_BW#'!$A:$Z,8,FALSE)+VLOOKUP($A137,A:AL,10,FALSE)-50</f>
        <v>104</v>
      </c>
      <c r="L137" s="3">
        <f>M137-1</f>
        <v>106</v>
      </c>
      <c r="M137" s="3">
        <v>107</v>
      </c>
      <c r="N137" s="3">
        <f>M137+2</f>
        <v>109</v>
      </c>
      <c r="O137" s="3">
        <f>N137+1</f>
        <v>110</v>
      </c>
      <c r="P137" s="3">
        <v>139</v>
      </c>
      <c r="Q137" s="3">
        <f>VLOOKUP($A137,'SegEnds_NonXtal_BW#'!$A:$Z,12,FALSE)+VLOOKUP($A137,A:AL,16,FALSE)-50</f>
        <v>145</v>
      </c>
      <c r="R137" s="3">
        <f>IF(ISERROR(VLOOKUP($A137,'SegEnds_NonXtal_BW#'!$A:$Z,13,FALSE)+VLOOKUP($A137,A:AL,19,FALSE)-50),"-",VLOOKUP($A137,'SegEnds_NonXtal_BW#'!$A:$Z,13,FALSE)+VLOOKUP($A137,A:AL,19,FALSE)-50)</f>
        <v>146</v>
      </c>
      <c r="S137" s="3">
        <v>146</v>
      </c>
      <c r="T137" s="103">
        <f>IF(ISERROR(VLOOKUP($A137,'SegEnds_NonXtal_BW#'!$A:$Z,14,FALSE)+VLOOKUP($A137,A:AL,19,FALSE)-50),"-",(VLOOKUP($A137,'SegEnds_NonXtal_BW#'!$A:$Z,14,FALSE)+VLOOKUP($A137,A:AL,19,FALSE)-50))</f>
        <v>153</v>
      </c>
      <c r="U137" s="9">
        <f>IF(ISERROR(VLOOKUP($A137,'SegEnds_NonXtal_BW#'!$A:$Z,15,FALSE)+VLOOKUP($A137,A:AL,22,FALSE)-50),"-",VLOOKUP($A137,'SegEnds_NonXtal_BW#'!$A:$Z,15,FALSE)+VLOOKUP($A137,A:AL,22,FALSE)-50)</f>
        <v>154</v>
      </c>
      <c r="V137" s="3">
        <v>166</v>
      </c>
      <c r="W137" s="3">
        <f>IF(ISERROR(VLOOKUP($A137,'SegEnds_NonXtal_BW#'!$A:$Z,16,FALSE)+VLOOKUP($A137,A:AL,22,FALSE)-50),"-",(VLOOKUP($A137,'SegEnds_NonXtal_BW#'!$A:$Z,16,FALSE)+VLOOKUP($A137,A:AL,22,FALSE)-50))</f>
        <v>180</v>
      </c>
      <c r="X137" s="3">
        <f>IF(ISERROR(VLOOKUP($A137,'SegEnds_NonXtal_BW#'!$A:$Z,17,FALSE)+VLOOKUP($A137,A:AL,25,FALSE)-50),"-",(VLOOKUP($A137,'SegEnds_NonXtal_BW#'!$A:$Z,17,FALSE)+VLOOKUP($A137,A:AL,25,FALSE)-50))</f>
        <v>191</v>
      </c>
      <c r="Y137" s="3">
        <v>191</v>
      </c>
      <c r="Z137" s="3">
        <f>Y137+2</f>
        <v>193</v>
      </c>
      <c r="AA137" s="3">
        <f>IF(ISERROR(VLOOKUP($A137,'SegEnds_NonXtal_BW#'!$A:$Z,19,FALSE)+VLOOKUP($A137,A:AL,28,FALSE)-50),"-",(VLOOKUP($A137,'SegEnds_NonXtal_BW#'!$A:$Z,19,FALSE)+VLOOKUP($A137,A:AL,28,FALSE)-50))</f>
        <v>209</v>
      </c>
      <c r="AB137" s="3">
        <v>228</v>
      </c>
      <c r="AC137" s="3">
        <f>IF(ISERROR((VLOOKUP($A137,'SegEnds_NonXtal_BW#'!$A:$Z,20,FALSE)+VLOOKUP($A137,A:AL,28,FALSE)-50)),"-",(VLOOKUP($A137,'SegEnds_NonXtal_BW#'!$A:$Z,20,FALSE)+VLOOKUP($A137,A:AL,28,FALSE)-50))</f>
        <v>246</v>
      </c>
      <c r="AD137" s="3">
        <f>IF(ISERROR(VLOOKUP($A137,'SegEnds_NonXtal_BW#'!$A:$Z,21,FALSE)+VLOOKUP($A137,A:AL,31,FALSE)-50),"-",(VLOOKUP($A137,'SegEnds_NonXtal_BW#'!$A:$Z,21,FALSE)+VLOOKUP($A137,A:AL,31,FALSE)-50))</f>
        <v>251</v>
      </c>
      <c r="AE137" s="3">
        <v>271</v>
      </c>
      <c r="AF137" s="3">
        <f>IF(ISERROR((VLOOKUP($A137,'SegEnds_NonXtal_BW#'!$A:$Z,22,FALSE)+VLOOKUP($A137,A:AL,31,FALSE)-50)),"-",(VLOOKUP($A137,'SegEnds_NonXtal_BW#'!$A:$Z,22,FALSE)+VLOOKUP($A137,A:AL,31,FALSE)-50))</f>
        <v>282</v>
      </c>
      <c r="AG137" s="3">
        <f>IF(ISERROR(VLOOKUP($A137,'SegEnds_NonXtal_BW#'!$A:$Z,23,FALSE)+VLOOKUP($A137,A:AL,34,FALSE)-50),"-",(VLOOKUP($A137,'SegEnds_NonXtal_BW#'!$A:$Z,23,FALSE)+VLOOKUP($A137,A:AL,34,FALSE)-50))</f>
        <v>291</v>
      </c>
      <c r="AH137" s="3">
        <v>313</v>
      </c>
      <c r="AI137" s="3">
        <f>IF(ISERROR((VLOOKUP($A137,'SegEnds_NonXtal_BW#'!$A:$Z,24,FALSE)+VLOOKUP($A137,A:AL,34,FALSE)-50)),"-",(VLOOKUP($A137,'SegEnds_NonXtal_BW#'!$A:$Z,24,FALSE)+VLOOKUP($A137,A:AL,34,FALSE)-50))</f>
        <v>319</v>
      </c>
      <c r="AJ137" s="3">
        <f>IF(ISERROR(VLOOKUP($A137,'SegEnds_NonXtal_BW#'!$A:$Z,25,FALSE)+VLOOKUP($A137,A:AL,37,FALSE)-50),"-",(VLOOKUP($A137,'SegEnds_NonXtal_BW#'!$A:$Z,25,FALSE)+VLOOKUP($A137,A:AL,37,FALSE)-50))</f>
        <v>320</v>
      </c>
      <c r="AK137" s="3">
        <v>323</v>
      </c>
      <c r="AL137" s="3">
        <f>IF(ISERROR((VLOOKUP($A137,'SegEnds_NonXtal_BW#'!$A:$Z,26,FALSE)+VLOOKUP($A137,A:AL,37,FALSE)-50)),"-",(VLOOKUP($A137,'SegEnds_NonXtal_BW#'!$A:$Z,26,FALSE)+VLOOKUP($A137,A:AL,37,FALSE)-50))</f>
        <v>332</v>
      </c>
      <c r="AM137" s="28" t="str">
        <f>VLOOKUP(A137,Classification!A:B,2,FALSE)</f>
        <v>A</v>
      </c>
      <c r="AN137" s="28" t="b">
        <f>AND(IF(Y137="-",IF(AA137-W137&gt;3,TRUE,FALSE),TRUE),IF(M137="-",IF(O137-K137&gt;3,TRUE,FALSE),TRUE),C137&lt;E137,OR(E137&lt;F137,F137="-"),OR(F137&lt;H137,F137="-"),OR(H137&lt;I137,H137="-"),I137&lt;K137,OR(K137&lt;L137,L137="-"),OR(L137&lt;N137,L137="-"),OR(N137&lt;O137,N137="-"),O137&lt;Q137,OR(Q137&lt;R137,R137="-"),OR(R137&lt;T137,R137="-"),OR(T137&lt;U137,T137="-"),U137&lt;W137,OR(W137&lt;X137,X137="-"),OR(X137&lt;Z137,X137="-"),OR(Z137&lt;AA137,Z137="-"),AA137&lt;AC137,AC137&lt;AD137,AD137&lt;AF137,AF137&lt;AG137,AG137&lt;AI137,OR(AI137&lt;AJ137,AJ137="-"),OR(AJ137&lt;AL137,AJ137="-"))</f>
        <v>1</v>
      </c>
      <c r="AO137" s="3" t="str">
        <f>IF(ISERROR(MATCH(A137,'SegEnds_Xtal_Prot#'!B:B, 0)), "NoXtal", "Xtal")</f>
        <v>NoXtal</v>
      </c>
      <c r="AP137" s="3" t="str">
        <f>IF(ISERROR(F137-E137),"-",F137-E137)</f>
        <v>-</v>
      </c>
      <c r="AQ137" s="3" t="str">
        <f>IF(ISERROR(I137-H137),"-",I137-H137)</f>
        <v>-</v>
      </c>
      <c r="AR137" s="3">
        <f>IF(ISERROR(L137-K137),"-",L137-K137)</f>
        <v>2</v>
      </c>
      <c r="AS137" s="3">
        <f>IF(ISERROR(O137-N137),"-",O137-N137)</f>
        <v>1</v>
      </c>
      <c r="AT137" s="3">
        <f>IF(ISERROR(R137-Q137),"-",R137-Q137)</f>
        <v>1</v>
      </c>
      <c r="AU137" s="3">
        <f>IF(ISERROR(U137-T137),"-",U137-T137)</f>
        <v>1</v>
      </c>
      <c r="AV137" s="3">
        <f>IF(ISERROR(X137-W137),"-",X137-W137)</f>
        <v>11</v>
      </c>
      <c r="AW137" s="3">
        <f>IF(ISERROR(AA137-Z137),"-",AA137-Z137)</f>
        <v>16</v>
      </c>
      <c r="AX137" s="3">
        <f>IF(ISERROR(AD137-AC137),"-",AD137-AC137)</f>
        <v>5</v>
      </c>
      <c r="AY137" s="3">
        <f>IF(ISERROR(AG137-AF137),"-",AG137-AF137)</f>
        <v>9</v>
      </c>
      <c r="AZ137" s="3">
        <f>IF(ISERROR(AJ137-AI137),"-",AJ137-AI137)</f>
        <v>1</v>
      </c>
      <c r="BA137" s="3">
        <f>IF(ISERROR(LEN(VLOOKUP(A137,Seqs!A:E,2,FALSE))-AL137),"-",LEN(VLOOKUP(A137,Seqs!A:E,2,FALSE))-AL137)</f>
        <v>24</v>
      </c>
      <c r="BB137" s="16">
        <f>J137-D137</f>
        <v>27</v>
      </c>
      <c r="BC137" s="9">
        <f>IF(ISERROR(V137-S137),"-",V137-S137)</f>
        <v>20</v>
      </c>
      <c r="BD137" s="3">
        <f>J137-D137</f>
        <v>27</v>
      </c>
      <c r="BE137" s="3">
        <f>AE137-AB137</f>
        <v>43</v>
      </c>
      <c r="BF137" s="3">
        <f>AH137-AE137</f>
        <v>42</v>
      </c>
    </row>
    <row r="138" spans="1:58" s="3" customFormat="1" x14ac:dyDescent="0.2">
      <c r="A138" s="3" t="s">
        <v>252</v>
      </c>
      <c r="B138" s="3" t="str">
        <f>LOWER(VLOOKUP(A138,Xtal_Templ!A:B,2,FALSE))</f>
        <v>agtr1_human</v>
      </c>
      <c r="C138" s="3">
        <f>VLOOKUP($A138,'SegEnds_NonXtal_BW#'!$A:$Z,3,FALSE)+D138-50</f>
        <v>27</v>
      </c>
      <c r="D138" s="3">
        <v>47</v>
      </c>
      <c r="E138" s="3">
        <f>IF(ISERROR(VLOOKUP($A138,'SegEnds_NonXtal_BW#'!$A:$Z,4,FALSE)+VLOOKUP($A138,A:AL,4,FALSE)-50),"-",(VLOOKUP($A138,'SegEnds_NonXtal_BW#'!$A:$Z,4,FALSE)+VLOOKUP($A138,A:AL,4,FALSE)-50))</f>
        <v>57</v>
      </c>
      <c r="F138" s="3" t="str">
        <f>IF(ISERROR(VLOOKUP($A138,'SegEnds_NonXtal_BW#'!$A:$Z,5,FALSE)+VLOOKUP($A138,A:AL,7,FALSE)-50),"-",(VLOOKUP($A138,'SegEnds_NonXtal_BW#'!$A:$Z,5,FALSE)+VLOOKUP($A138,A:AL,7,FALSE)-50))</f>
        <v>-</v>
      </c>
      <c r="G138" s="3" t="s">
        <v>23</v>
      </c>
      <c r="H138" s="3" t="str">
        <f>IF(ISERROR(VLOOKUP($A138,'SegEnds_NonXtal_BW#'!$A:$Z,6,FALSE)+VLOOKUP($A138,A:AL,7,FALSE)-50),"-",(VLOOKUP($A138,'SegEnds_NonXtal_BW#'!$A:$Z,6,FALSE)+VLOOKUP($A138,A:AL,7,FALSE)-50))</f>
        <v>-</v>
      </c>
      <c r="I138" s="3">
        <f>VLOOKUP($A138,'SegEnds_NonXtal_BW#'!$A:$Z,7,FALSE)+J138-50</f>
        <v>61</v>
      </c>
      <c r="J138" s="3">
        <v>74</v>
      </c>
      <c r="K138" s="3">
        <f>VLOOKUP($A138,'SegEnds_NonXtal_BW#'!$A:$Z,8,FALSE)+VLOOKUP($A138,A:AL,10,FALSE)-50</f>
        <v>90</v>
      </c>
      <c r="L138" s="3">
        <f>M138-1</f>
        <v>93</v>
      </c>
      <c r="M138" s="3">
        <v>94</v>
      </c>
      <c r="N138" s="3">
        <f>M138+2</f>
        <v>96</v>
      </c>
      <c r="O138" s="3">
        <f>N138+1</f>
        <v>97</v>
      </c>
      <c r="P138" s="3">
        <v>126</v>
      </c>
      <c r="Q138" s="3">
        <f>VLOOKUP($A138,'SegEnds_NonXtal_BW#'!$A:$Z,12,FALSE)+VLOOKUP($A138,A:AL,16,FALSE)-50</f>
        <v>132</v>
      </c>
      <c r="R138" s="3">
        <f>IF(ISERROR(VLOOKUP($A138,'SegEnds_NonXtal_BW#'!$A:$Z,13,FALSE)+VLOOKUP($A138,A:AL,19,FALSE)-50),"-",VLOOKUP($A138,'SegEnds_NonXtal_BW#'!$A:$Z,13,FALSE)+VLOOKUP($A138,A:AL,19,FALSE)-50)</f>
        <v>133</v>
      </c>
      <c r="S138" s="3">
        <v>133</v>
      </c>
      <c r="T138" s="103">
        <f>IF(ISERROR(VLOOKUP($A138,'SegEnds_NonXtal_BW#'!$A:$Z,14,FALSE)+VLOOKUP($A138,A:AL,19,FALSE)-50),"-",(VLOOKUP($A138,'SegEnds_NonXtal_BW#'!$A:$Z,14,FALSE)+VLOOKUP($A138,A:AL,19,FALSE)-50))</f>
        <v>140</v>
      </c>
      <c r="U138" s="9">
        <f>IF(ISERROR(VLOOKUP($A138,'SegEnds_NonXtal_BW#'!$A:$Z,15,FALSE)+VLOOKUP($A138,A:AL,22,FALSE)-50),"-",VLOOKUP($A138,'SegEnds_NonXtal_BW#'!$A:$Z,15,FALSE)+VLOOKUP($A138,A:AL,22,FALSE)-50)</f>
        <v>141</v>
      </c>
      <c r="V138" s="3">
        <v>153</v>
      </c>
      <c r="W138" s="3">
        <f>IF(ISERROR(VLOOKUP($A138,'SegEnds_NonXtal_BW#'!$A:$Z,16,FALSE)+VLOOKUP($A138,A:AL,22,FALSE)-50),"-",(VLOOKUP($A138,'SegEnds_NonXtal_BW#'!$A:$Z,16,FALSE)+VLOOKUP($A138,A:AL,22,FALSE)-50))</f>
        <v>167</v>
      </c>
      <c r="X138" s="3">
        <f>IF(ISERROR(VLOOKUP($A138,'SegEnds_NonXtal_BW#'!$A:$Z,17,FALSE)+VLOOKUP($A138,A:AL,25,FALSE)-50),"-",(VLOOKUP($A138,'SegEnds_NonXtal_BW#'!$A:$Z,17,FALSE)+VLOOKUP($A138,A:AL,25,FALSE)-50))</f>
        <v>179</v>
      </c>
      <c r="Y138" s="3">
        <v>179</v>
      </c>
      <c r="Z138" s="3">
        <f>Y138+2</f>
        <v>181</v>
      </c>
      <c r="AA138" s="3">
        <f>IF(ISERROR(VLOOKUP($A138,'SegEnds_NonXtal_BW#'!$A:$Z,19,FALSE)+VLOOKUP($A138,A:AL,28,FALSE)-50),"-",(VLOOKUP($A138,'SegEnds_NonXtal_BW#'!$A:$Z,19,FALSE)+VLOOKUP($A138,A:AL,28,FALSE)-50))</f>
        <v>201</v>
      </c>
      <c r="AB138" s="3">
        <v>217</v>
      </c>
      <c r="AC138" s="3">
        <f>IF(ISERROR((VLOOKUP($A138,'SegEnds_NonXtal_BW#'!$A:$Z,20,FALSE)+VLOOKUP($A138,A:AL,28,FALSE)-50)),"-",(VLOOKUP($A138,'SegEnds_NonXtal_BW#'!$A:$Z,20,FALSE)+VLOOKUP($A138,A:AL,28,FALSE)-50))</f>
        <v>235</v>
      </c>
      <c r="AD138" s="3">
        <f>IF(ISERROR(VLOOKUP($A138,'SegEnds_NonXtal_BW#'!$A:$Z,21,FALSE)+VLOOKUP($A138,A:AL,31,FALSE)-50),"-",(VLOOKUP($A138,'SegEnds_NonXtal_BW#'!$A:$Z,21,FALSE)+VLOOKUP($A138,A:AL,31,FALSE)-50))</f>
        <v>240</v>
      </c>
      <c r="AE138" s="3">
        <v>260</v>
      </c>
      <c r="AF138" s="3">
        <f>IF(ISERROR((VLOOKUP($A138,'SegEnds_NonXtal_BW#'!$A:$Z,22,FALSE)+VLOOKUP($A138,A:AL,31,FALSE)-50)),"-",(VLOOKUP($A138,'SegEnds_NonXtal_BW#'!$A:$Z,22,FALSE)+VLOOKUP($A138,A:AL,31,FALSE)-50))</f>
        <v>271</v>
      </c>
      <c r="AG138" s="3">
        <f>IF(ISERROR(VLOOKUP($A138,'SegEnds_NonXtal_BW#'!$A:$Z,23,FALSE)+VLOOKUP($A138,A:AL,34,FALSE)-50),"-",(VLOOKUP($A138,'SegEnds_NonXtal_BW#'!$A:$Z,23,FALSE)+VLOOKUP($A138,A:AL,34,FALSE)-50))</f>
        <v>277</v>
      </c>
      <c r="AH138" s="3">
        <v>296</v>
      </c>
      <c r="AI138" s="3">
        <f>IF(ISERROR((VLOOKUP($A138,'SegEnds_NonXtal_BW#'!$A:$Z,24,FALSE)+VLOOKUP($A138,A:AL,34,FALSE)-50)),"-",(VLOOKUP($A138,'SegEnds_NonXtal_BW#'!$A:$Z,24,FALSE)+VLOOKUP($A138,A:AL,34,FALSE)-50))</f>
        <v>302</v>
      </c>
      <c r="AJ138" s="3">
        <f>IF(ISERROR(VLOOKUP($A138,'SegEnds_NonXtal_BW#'!$A:$Z,25,FALSE)+VLOOKUP($A138,A:AL,37,FALSE)-50),"-",(VLOOKUP($A138,'SegEnds_NonXtal_BW#'!$A:$Z,25,FALSE)+VLOOKUP($A138,A:AL,37,FALSE)-50))</f>
        <v>303</v>
      </c>
      <c r="AK138" s="3">
        <v>306</v>
      </c>
      <c r="AL138" s="3">
        <f>IF(ISERROR((VLOOKUP($A138,'SegEnds_NonXtal_BW#'!$A:$Z,26,FALSE)+VLOOKUP($A138,A:AL,37,FALSE)-50)),"-",(VLOOKUP($A138,'SegEnds_NonXtal_BW#'!$A:$Z,26,FALSE)+VLOOKUP($A138,A:AL,37,FALSE)-50))</f>
        <v>317</v>
      </c>
      <c r="AM138" s="28" t="str">
        <f>VLOOKUP(A138,Classification!A:B,2,FALSE)</f>
        <v>A</v>
      </c>
      <c r="AN138" s="28" t="b">
        <f>AND(IF(Y138="-",IF(AA138-W138&gt;3,TRUE,FALSE),TRUE),IF(M138="-",IF(O138-K138&gt;3,TRUE,FALSE),TRUE),C138&lt;E138,OR(E138&lt;F138,F138="-"),OR(F138&lt;H138,F138="-"),OR(H138&lt;I138,H138="-"),I138&lt;K138,OR(K138&lt;L138,L138="-"),OR(L138&lt;N138,L138="-"),OR(N138&lt;O138,N138="-"),O138&lt;Q138,OR(Q138&lt;R138,R138="-"),OR(R138&lt;T138,R138="-"),OR(T138&lt;U138,T138="-"),U138&lt;W138,OR(W138&lt;X138,X138="-"),OR(X138&lt;Z138,X138="-"),OR(Z138&lt;AA138,Z138="-"),AA138&lt;AC138,AC138&lt;AD138,AD138&lt;AF138,AF138&lt;AG138,AG138&lt;AI138,OR(AI138&lt;AJ138,AJ138="-"),OR(AJ138&lt;AL138,AJ138="-"))</f>
        <v>1</v>
      </c>
      <c r="AO138" s="3" t="str">
        <f>IF(ISERROR(MATCH(A138,'SegEnds_Xtal_Prot#'!B:B, 0)), "NoXtal", "Xtal")</f>
        <v>NoXtal</v>
      </c>
      <c r="AP138" s="3" t="str">
        <f>IF(ISERROR(F138-E138),"-",F138-E138)</f>
        <v>-</v>
      </c>
      <c r="AQ138" s="3" t="str">
        <f>IF(ISERROR(I138-H138),"-",I138-H138)</f>
        <v>-</v>
      </c>
      <c r="AR138" s="3">
        <f>IF(ISERROR(L138-K138),"-",L138-K138)</f>
        <v>3</v>
      </c>
      <c r="AS138" s="3">
        <f>IF(ISERROR(O138-N138),"-",O138-N138)</f>
        <v>1</v>
      </c>
      <c r="AT138" s="3">
        <f>IF(ISERROR(R138-Q138),"-",R138-Q138)</f>
        <v>1</v>
      </c>
      <c r="AU138" s="3">
        <f>IF(ISERROR(U138-T138),"-",U138-T138)</f>
        <v>1</v>
      </c>
      <c r="AV138" s="3">
        <f>IF(ISERROR(X138-W138),"-",X138-W138)</f>
        <v>12</v>
      </c>
      <c r="AW138" s="3">
        <f>IF(ISERROR(AA138-Z138),"-",AA138-Z138)</f>
        <v>20</v>
      </c>
      <c r="AX138" s="3">
        <f>IF(ISERROR(AD138-AC138),"-",AD138-AC138)</f>
        <v>5</v>
      </c>
      <c r="AY138" s="3">
        <f>IF(ISERROR(AG138-AF138),"-",AG138-AF138)</f>
        <v>6</v>
      </c>
      <c r="AZ138" s="3">
        <f>IF(ISERROR(AJ138-AI138),"-",AJ138-AI138)</f>
        <v>1</v>
      </c>
      <c r="BA138" s="3">
        <f>IF(ISERROR(LEN(VLOOKUP(A138,Seqs!A:E,2,FALSE))-AL138),"-",LEN(VLOOKUP(A138,Seqs!A:E,2,FALSE))-AL138)</f>
        <v>16</v>
      </c>
      <c r="BB138" s="16">
        <f>J138-D138</f>
        <v>27</v>
      </c>
      <c r="BC138" s="9">
        <f>IF(ISERROR(V138-S138),"-",V138-S138)</f>
        <v>20</v>
      </c>
      <c r="BD138" s="3">
        <f>J138-D138</f>
        <v>27</v>
      </c>
      <c r="BE138" s="3">
        <f>AE138-AB138</f>
        <v>43</v>
      </c>
      <c r="BF138" s="3">
        <f>AH138-AE138</f>
        <v>36</v>
      </c>
    </row>
    <row r="139" spans="1:58" s="3" customFormat="1" x14ac:dyDescent="0.2">
      <c r="A139" s="3" t="s">
        <v>253</v>
      </c>
      <c r="B139" s="3" t="str">
        <f>LOWER(VLOOKUP(A139,Xtal_Templ!A:B,2,FALSE))</f>
        <v>par1_human</v>
      </c>
      <c r="C139" s="3">
        <f>VLOOKUP($A139,'SegEnds_NonXtal_BW#'!$A:$Z,3,FALSE)+D139-50</f>
        <v>51</v>
      </c>
      <c r="D139" s="3">
        <v>72</v>
      </c>
      <c r="E139" s="3">
        <f>IF(ISERROR(VLOOKUP($A139,'SegEnds_NonXtal_BW#'!$A:$Z,4,FALSE)+VLOOKUP($A139,A:AL,4,FALSE)-50),"-",(VLOOKUP($A139,'SegEnds_NonXtal_BW#'!$A:$Z,4,FALSE)+VLOOKUP($A139,A:AL,4,FALSE)-50))</f>
        <v>82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87</v>
      </c>
      <c r="J139" s="3">
        <v>100</v>
      </c>
      <c r="K139" s="3">
        <f>VLOOKUP($A139,'SegEnds_NonXtal_BW#'!$A:$Z,8,FALSE)+VLOOKUP($A139,A:AL,10,FALSE)-50</f>
        <v>116</v>
      </c>
      <c r="L139" s="3">
        <f>M139-1</f>
        <v>119</v>
      </c>
      <c r="M139" s="3">
        <v>120</v>
      </c>
      <c r="N139" s="3">
        <f>M139+2</f>
        <v>122</v>
      </c>
      <c r="O139" s="3">
        <f>N139+1</f>
        <v>123</v>
      </c>
      <c r="P139" s="3">
        <v>152</v>
      </c>
      <c r="Q139" s="3">
        <f>VLOOKUP($A139,'SegEnds_NonXtal_BW#'!$A:$Z,12,FALSE)+VLOOKUP($A139,A:AL,16,FALSE)-50</f>
        <v>158</v>
      </c>
      <c r="R139" s="3">
        <f>IF(ISERROR(VLOOKUP($A139,'SegEnds_NonXtal_BW#'!$A:$Z,13,FALSE)+VLOOKUP($A139,A:AL,19,FALSE)-50),"-",VLOOKUP($A139,'SegEnds_NonXtal_BW#'!$A:$Z,13,FALSE)+VLOOKUP($A139,A:AL,19,FALSE)-50)</f>
        <v>159</v>
      </c>
      <c r="S139" s="3">
        <v>159</v>
      </c>
      <c r="T139" s="103">
        <f>IF(ISERROR(VLOOKUP($A139,'SegEnds_NonXtal_BW#'!$A:$Z,14,FALSE)+VLOOKUP($A139,A:AL,19,FALSE)-50),"-",(VLOOKUP($A139,'SegEnds_NonXtal_BW#'!$A:$Z,14,FALSE)+VLOOKUP($A139,A:AL,19,FALSE)-50))</f>
        <v>166</v>
      </c>
      <c r="U139" s="9">
        <f>IF(ISERROR(VLOOKUP($A139,'SegEnds_NonXtal_BW#'!$A:$Z,15,FALSE)+VLOOKUP($A139,A:AL,22,FALSE)-50),"-",VLOOKUP($A139,'SegEnds_NonXtal_BW#'!$A:$Z,15,FALSE)+VLOOKUP($A139,A:AL,22,FALSE)-50)</f>
        <v>167</v>
      </c>
      <c r="V139" s="3">
        <v>179</v>
      </c>
      <c r="W139" s="3">
        <f>IF(ISERROR(VLOOKUP($A139,'SegEnds_NonXtal_BW#'!$A:$Z,16,FALSE)+VLOOKUP($A139,A:AL,22,FALSE)-50),"-",(VLOOKUP($A139,'SegEnds_NonXtal_BW#'!$A:$Z,16,FALSE)+VLOOKUP($A139,A:AL,22,FALSE)-50))</f>
        <v>192</v>
      </c>
      <c r="X139" s="3">
        <f>IF(ISERROR(VLOOKUP($A139,'SegEnds_NonXtal_BW#'!$A:$Z,17,FALSE)+VLOOKUP($A139,A:AL,25,FALSE)-50),"-",(VLOOKUP($A139,'SegEnds_NonXtal_BW#'!$A:$Z,17,FALSE)+VLOOKUP($A139,A:AL,25,FALSE)-50))</f>
        <v>204</v>
      </c>
      <c r="Y139" s="3">
        <v>204</v>
      </c>
      <c r="Z139" s="3">
        <f>Y139+2</f>
        <v>206</v>
      </c>
      <c r="AA139" s="3">
        <f>IF(ISERROR(VLOOKUP($A139,'SegEnds_NonXtal_BW#'!$A:$Z,19,FALSE)+VLOOKUP($A139,A:AL,28,FALSE)-50),"-",(VLOOKUP($A139,'SegEnds_NonXtal_BW#'!$A:$Z,19,FALSE)+VLOOKUP($A139,A:AL,28,FALSE)-50))</f>
        <v>212</v>
      </c>
      <c r="AB139" s="3">
        <v>230</v>
      </c>
      <c r="AC139" s="3">
        <f>IF(ISERROR((VLOOKUP($A139,'SegEnds_NonXtal_BW#'!$A:$Z,20,FALSE)+VLOOKUP($A139,A:AL,28,FALSE)-50)),"-",(VLOOKUP($A139,'SegEnds_NonXtal_BW#'!$A:$Z,20,FALSE)+VLOOKUP($A139,A:AL,28,FALSE)-50))</f>
        <v>248</v>
      </c>
      <c r="AD139" s="3">
        <f>IF(ISERROR(VLOOKUP($A139,'SegEnds_NonXtal_BW#'!$A:$Z,21,FALSE)+VLOOKUP($A139,A:AL,31,FALSE)-50),"-",(VLOOKUP($A139,'SegEnds_NonXtal_BW#'!$A:$Z,21,FALSE)+VLOOKUP($A139,A:AL,31,FALSE)-50))</f>
        <v>254</v>
      </c>
      <c r="AE139" s="3">
        <v>281</v>
      </c>
      <c r="AF139" s="3">
        <f>IF(ISERROR((VLOOKUP($A139,'SegEnds_NonXtal_BW#'!$A:$Z,22,FALSE)+VLOOKUP($A139,A:AL,31,FALSE)-50)),"-",(VLOOKUP($A139,'SegEnds_NonXtal_BW#'!$A:$Z,22,FALSE)+VLOOKUP($A139,A:AL,31,FALSE)-50))</f>
        <v>292</v>
      </c>
      <c r="AG139" s="3">
        <f>IF(ISERROR(VLOOKUP($A139,'SegEnds_NonXtal_BW#'!$A:$Z,23,FALSE)+VLOOKUP($A139,A:AL,34,FALSE)-50),"-",(VLOOKUP($A139,'SegEnds_NonXtal_BW#'!$A:$Z,23,FALSE)+VLOOKUP($A139,A:AL,34,FALSE)-50))</f>
        <v>298</v>
      </c>
      <c r="AH139" s="3">
        <v>324</v>
      </c>
      <c r="AI139" s="3">
        <f>IF(ISERROR((VLOOKUP($A139,'SegEnds_NonXtal_BW#'!$A:$Z,24,FALSE)+VLOOKUP($A139,A:AL,34,FALSE)-50)),"-",(VLOOKUP($A139,'SegEnds_NonXtal_BW#'!$A:$Z,24,FALSE)+VLOOKUP($A139,A:AL,34,FALSE)-50))</f>
        <v>330</v>
      </c>
      <c r="AJ139" s="3">
        <f>IF(ISERROR(VLOOKUP($A139,'SegEnds_NonXtal_BW#'!$A:$Z,25,FALSE)+VLOOKUP($A139,A:AL,37,FALSE)-50),"-",(VLOOKUP($A139,'SegEnds_NonXtal_BW#'!$A:$Z,25,FALSE)+VLOOKUP($A139,A:AL,37,FALSE)-50))</f>
        <v>331</v>
      </c>
      <c r="AK139" s="3">
        <v>334</v>
      </c>
      <c r="AL139" s="3">
        <f>IF(ISERROR((VLOOKUP($A139,'SegEnds_NonXtal_BW#'!$A:$Z,26,FALSE)+VLOOKUP($A139,A:AL,37,FALSE)-50)),"-",(VLOOKUP($A139,'SegEnds_NonXtal_BW#'!$A:$Z,26,FALSE)+VLOOKUP($A139,A:AL,37,FALSE)-50))</f>
        <v>345</v>
      </c>
      <c r="AM139" s="28" t="str">
        <f>VLOOKUP(A139,Classification!A:B,2,FALSE)</f>
        <v>A</v>
      </c>
      <c r="AN139" s="28" t="b">
        <f>AND(IF(Y139="-",IF(AA139-W139&gt;3,TRUE,FALSE),TRUE),IF(M139="-",IF(O139-K139&gt;3,TRUE,FALSE),TRUE),C139&lt;E139,OR(E139&lt;F139,F139="-"),OR(F139&lt;H139,F139="-"),OR(H139&lt;I139,H139="-"),I139&lt;K139,OR(K139&lt;L139,L139="-"),OR(L139&lt;N139,L139="-"),OR(N139&lt;O139,N139="-"),O139&lt;Q139,OR(Q139&lt;R139,R139="-"),OR(R139&lt;T139,R139="-"),OR(T139&lt;U139,T139="-"),U139&lt;W139,OR(W139&lt;X139,X139="-"),OR(X139&lt;Z139,X139="-"),OR(Z139&lt;AA139,Z139="-"),AA139&lt;AC139,AC139&lt;AD139,AD139&lt;AF139,AF139&lt;AG139,AG139&lt;AI139,OR(AI139&lt;AJ139,AJ139="-"),OR(AJ139&lt;AL139,AJ139="-"))</f>
        <v>1</v>
      </c>
      <c r="AO139" s="3" t="str">
        <f>IF(ISERROR(MATCH(A139,'SegEnds_Xtal_Prot#'!B:B, 0)), "NoXtal", "Xtal")</f>
        <v>NoXtal</v>
      </c>
      <c r="AP139" s="3" t="str">
        <f>IF(ISERROR(F139-E139),"-",F139-E139)</f>
        <v>-</v>
      </c>
      <c r="AQ139" s="3" t="str">
        <f>IF(ISERROR(I139-H139),"-",I139-H139)</f>
        <v>-</v>
      </c>
      <c r="AR139" s="3">
        <f>IF(ISERROR(L139-K139),"-",L139-K139)</f>
        <v>3</v>
      </c>
      <c r="AS139" s="3">
        <f>IF(ISERROR(O139-N139),"-",O139-N139)</f>
        <v>1</v>
      </c>
      <c r="AT139" s="3">
        <f>IF(ISERROR(R139-Q139),"-",R139-Q139)</f>
        <v>1</v>
      </c>
      <c r="AU139" s="3">
        <f>IF(ISERROR(U139-T139),"-",U139-T139)</f>
        <v>1</v>
      </c>
      <c r="AV139" s="3">
        <f>IF(ISERROR(X139-W139),"-",X139-W139)</f>
        <v>12</v>
      </c>
      <c r="AW139" s="3">
        <f>IF(ISERROR(AA139-Z139),"-",AA139-Z139)</f>
        <v>6</v>
      </c>
      <c r="AX139" s="3">
        <f>IF(ISERROR(AD139-AC139),"-",AD139-AC139)</f>
        <v>6</v>
      </c>
      <c r="AY139" s="3">
        <f>IF(ISERROR(AG139-AF139),"-",AG139-AF139)</f>
        <v>6</v>
      </c>
      <c r="AZ139" s="3">
        <f>IF(ISERROR(AJ139-AI139),"-",AJ139-AI139)</f>
        <v>1</v>
      </c>
      <c r="BA139" s="3">
        <f>IF(ISERROR(LEN(VLOOKUP(A139,Seqs!A:E,2,FALSE))-AL139),"-",LEN(VLOOKUP(A139,Seqs!A:E,2,FALSE))-AL139)</f>
        <v>36</v>
      </c>
      <c r="BB139" s="16">
        <f>J139-D139</f>
        <v>28</v>
      </c>
      <c r="BC139" s="9">
        <f>IF(ISERROR(V139-S139),"-",V139-S139)</f>
        <v>20</v>
      </c>
      <c r="BD139" s="3">
        <f>J139-D139</f>
        <v>28</v>
      </c>
      <c r="BE139" s="3">
        <f>AE139-AB139</f>
        <v>51</v>
      </c>
    </row>
    <row r="140" spans="1:58" s="3" customFormat="1" x14ac:dyDescent="0.2">
      <c r="A140" s="3" t="s">
        <v>254</v>
      </c>
      <c r="B140" s="3" t="str">
        <f>LOWER(VLOOKUP(A140,Xtal_Templ!A:B,2,FALSE))</f>
        <v>ccr2_human</v>
      </c>
      <c r="C140" s="3">
        <f>VLOOKUP($A140,'SegEnds_NonXtal_BW#'!$A:$Z,3,FALSE)+D140-50</f>
        <v>15</v>
      </c>
      <c r="D140" s="3">
        <v>38</v>
      </c>
      <c r="E140" s="3">
        <f>IF(ISERROR(VLOOKUP($A140,'SegEnds_NonXtal_BW#'!$A:$Z,4,FALSE)+VLOOKUP($A140,A:AL,4,FALSE)-50),"-",(VLOOKUP($A140,'SegEnds_NonXtal_BW#'!$A:$Z,4,FALSE)+VLOOKUP($A140,A:AL,4,FALSE)-50))</f>
        <v>48</v>
      </c>
      <c r="F140" s="3">
        <f>G140-2</f>
        <v>49</v>
      </c>
      <c r="G140" s="3">
        <v>51</v>
      </c>
      <c r="H140" s="3">
        <f>G140+1</f>
        <v>52</v>
      </c>
      <c r="I140" s="3">
        <f>H140+1</f>
        <v>53</v>
      </c>
      <c r="J140" s="3">
        <v>66</v>
      </c>
      <c r="K140" s="3">
        <f>VLOOKUP($A140,'SegEnds_NonXtal_BW#'!$A:$Z,8,FALSE)+VLOOKUP($A140,A:AL,10,FALSE)-50</f>
        <v>82</v>
      </c>
      <c r="L140" s="3" t="str">
        <f>IF(ISERROR(VLOOKUP($A140,'SegEnds_NonXtal_BW#'!$A:$Z,9,FALSE)+VLOOKUP($A140,A:AL,13,FALSE)-50),"-",(VLOOKUP($A140,'SegEnds_NonXtal_BW#'!$A:$Z,9,FALSE)+VLOOKUP($A140,A:AL,13,FALSE)-50))</f>
        <v>-</v>
      </c>
      <c r="M140" s="3" t="s">
        <v>23</v>
      </c>
      <c r="N140" s="3" t="str">
        <f>IF(ISERROR(VLOOKUP($A140,'SegEnds_NonXtal_BW#'!$A:$Z,10,FALSE)+VLOOKUP($A140,A:AL,13,FALSE)-50),"-",(VLOOKUP($A140,'SegEnds_NonXtal_BW#'!$A:$Z,10,FALSE)+VLOOKUP($A140,A:AL,13,FALSE)-50))</f>
        <v>-</v>
      </c>
      <c r="O140" s="3">
        <f>VLOOKUP($A140,'SegEnds_NonXtal_BW#'!$A:$Z,11,FALSE)+VLOOKUP($A140,A:AL,16,FALSE)-50</f>
        <v>88</v>
      </c>
      <c r="P140" s="3">
        <v>114</v>
      </c>
      <c r="Q140" s="3">
        <f>VLOOKUP($A140,'SegEnds_NonXtal_BW#'!$A:$Z,12,FALSE)+VLOOKUP($A140,A:AL,16,FALSE)-50</f>
        <v>120</v>
      </c>
      <c r="R140" s="3">
        <f>IF(ISERROR(VLOOKUP($A140,'SegEnds_NonXtal_BW#'!$A:$Z,13,FALSE)+VLOOKUP($A140,A:AL,19,FALSE)-50),"-",VLOOKUP($A140,'SegEnds_NonXtal_BW#'!$A:$Z,13,FALSE)+VLOOKUP($A140,A:AL,19,FALSE)-50)</f>
        <v>121</v>
      </c>
      <c r="S140" s="3">
        <v>121</v>
      </c>
      <c r="T140" s="103">
        <f>IF(ISERROR(VLOOKUP($A140,'SegEnds_NonXtal_BW#'!$A:$Z,14,FALSE)+VLOOKUP($A140,A:AL,19,FALSE)-50),"-",(VLOOKUP($A140,'SegEnds_NonXtal_BW#'!$A:$Z,14,FALSE)+VLOOKUP($A140,A:AL,19,FALSE)-50))</f>
        <v>128</v>
      </c>
      <c r="U140" s="9">
        <f>IF(ISERROR(VLOOKUP($A140,'SegEnds_NonXtal_BW#'!$A:$Z,15,FALSE)+VLOOKUP($A140,A:AL,22,FALSE)-50),"-",VLOOKUP($A140,'SegEnds_NonXtal_BW#'!$A:$Z,15,FALSE)+VLOOKUP($A140,A:AL,22,FALSE)-50)</f>
        <v>129</v>
      </c>
      <c r="V140" s="3">
        <v>141</v>
      </c>
      <c r="W140" s="3">
        <f>IF(ISERROR(VLOOKUP($A140,'SegEnds_NonXtal_BW#'!$A:$Z,16,FALSE)+VLOOKUP($A140,A:AL,22,FALSE)-50),"-",(VLOOKUP($A140,'SegEnds_NonXtal_BW#'!$A:$Z,16,FALSE)+VLOOKUP($A140,A:AL,22,FALSE)-50))</f>
        <v>155</v>
      </c>
      <c r="X140" s="3">
        <f>IF(ISERROR(VLOOKUP($A140,'SegEnds_NonXtal_BW#'!$A:$Z,17,FALSE)+VLOOKUP($A140,A:AL,25,FALSE)-50),"-",(VLOOKUP($A140,'SegEnds_NonXtal_BW#'!$A:$Z,17,FALSE)+VLOOKUP($A140,A:AL,25,FALSE)-50))</f>
        <v>162</v>
      </c>
      <c r="Y140" s="3">
        <v>162</v>
      </c>
      <c r="Z140" s="3">
        <f>Y140+2</f>
        <v>164</v>
      </c>
      <c r="AA140" s="3">
        <f>IF(ISERROR(VLOOKUP($A140,'SegEnds_NonXtal_BW#'!$A:$Z,19,FALSE)+VLOOKUP($A140,A:AL,28,FALSE)-50),"-",(VLOOKUP($A140,'SegEnds_NonXtal_BW#'!$A:$Z,19,FALSE)+VLOOKUP($A140,A:AL,28,FALSE)-50))</f>
        <v>168</v>
      </c>
      <c r="AB140" s="3">
        <v>183</v>
      </c>
      <c r="AC140" s="3">
        <f>IF(ISERROR((VLOOKUP($A140,'SegEnds_NonXtal_BW#'!$A:$Z,20,FALSE)+VLOOKUP($A140,A:AL,28,FALSE)-50)),"-",(VLOOKUP($A140,'SegEnds_NonXtal_BW#'!$A:$Z,20,FALSE)+VLOOKUP($A140,A:AL,28,FALSE)-50))</f>
        <v>201</v>
      </c>
      <c r="AD140" s="3">
        <f>IF(ISERROR(VLOOKUP($A140,'SegEnds_NonXtal_BW#'!$A:$Z,21,FALSE)+VLOOKUP($A140,A:AL,31,FALSE)-50),"-",(VLOOKUP($A140,'SegEnds_NonXtal_BW#'!$A:$Z,21,FALSE)+VLOOKUP($A140,A:AL,31,FALSE)-50))</f>
        <v>206</v>
      </c>
      <c r="AE140" s="3">
        <v>232</v>
      </c>
      <c r="AF140" s="3">
        <f>IF(ISERROR((VLOOKUP($A140,'SegEnds_NonXtal_BW#'!$A:$Z,22,FALSE)+VLOOKUP($A140,A:AL,31,FALSE)-50)),"-",(VLOOKUP($A140,'SegEnds_NonXtal_BW#'!$A:$Z,22,FALSE)+VLOOKUP($A140,A:AL,31,FALSE)-50))</f>
        <v>243</v>
      </c>
      <c r="AG140" s="3">
        <f>IF(ISERROR(VLOOKUP($A140,'SegEnds_NonXtal_BW#'!$A:$Z,23,FALSE)+VLOOKUP($A140,A:AL,34,FALSE)-50),"-",(VLOOKUP($A140,'SegEnds_NonXtal_BW#'!$A:$Z,23,FALSE)+VLOOKUP($A140,A:AL,34,FALSE)-50))</f>
        <v>251</v>
      </c>
      <c r="AH140" s="3">
        <v>273</v>
      </c>
      <c r="AI140" s="3">
        <f>IF(ISERROR((VLOOKUP($A140,'SegEnds_NonXtal_BW#'!$A:$Z,24,FALSE)+VLOOKUP($A140,A:AL,34,FALSE)-50)),"-",(VLOOKUP($A140,'SegEnds_NonXtal_BW#'!$A:$Z,24,FALSE)+VLOOKUP($A140,A:AL,34,FALSE)-50))</f>
        <v>279</v>
      </c>
      <c r="AJ140" s="3">
        <f>IF(ISERROR(VLOOKUP($A140,'SegEnds_NonXtal_BW#'!$A:$Z,25,FALSE)+VLOOKUP($A140,A:AL,37,FALSE)-50),"-",(VLOOKUP($A140,'SegEnds_NonXtal_BW#'!$A:$Z,25,FALSE)+VLOOKUP($A140,A:AL,37,FALSE)-50))</f>
        <v>280</v>
      </c>
      <c r="AK140" s="3">
        <v>283</v>
      </c>
      <c r="AL140" s="3">
        <f>IF(ISERROR((VLOOKUP($A140,'SegEnds_NonXtal_BW#'!$A:$Z,26,FALSE)+VLOOKUP($A140,A:AL,37,FALSE)-50)),"-",(VLOOKUP($A140,'SegEnds_NonXtal_BW#'!$A:$Z,26,FALSE)+VLOOKUP($A140,A:AL,37,FALSE)-50))</f>
        <v>291</v>
      </c>
      <c r="AM140" s="28" t="str">
        <f>VLOOKUP(A140,Classification!A:B,2,FALSE)</f>
        <v>A</v>
      </c>
      <c r="AN140" s="28" t="b">
        <f>AND(IF(Y140="-",IF(AA140-W140&gt;3,TRUE,FALSE),TRUE),IF(M140="-",IF(O140-K140&gt;3,TRUE,FALSE),TRUE),C140&lt;E140,OR(E140&lt;F140,F140="-"),OR(F140&lt;H140,F140="-"),OR(H140&lt;I140,H140="-"),I140&lt;K140,OR(K140&lt;L140,L140="-"),OR(L140&lt;N140,L140="-"),OR(N140&lt;O140,N140="-"),O140&lt;Q140,OR(Q140&lt;R140,R140="-"),OR(R140&lt;T140,R140="-"),OR(T140&lt;U140,T140="-"),U140&lt;W140,OR(W140&lt;X140,X140="-"),OR(X140&lt;Z140,X140="-"),OR(Z140&lt;AA140,Z140="-"),AA140&lt;AC140,AC140&lt;AD140,AD140&lt;AF140,AF140&lt;AG140,AG140&lt;AI140,OR(AI140&lt;AJ140,AJ140="-"),OR(AJ140&lt;AL140,AJ140="-"))</f>
        <v>1</v>
      </c>
      <c r="AO140" s="3" t="str">
        <f>IF(ISERROR(MATCH(A140,'SegEnds_Xtal_Prot#'!B:B, 0)), "NoXtal", "Xtal")</f>
        <v>NoXtal</v>
      </c>
      <c r="AP140" s="3">
        <f>IF(ISERROR(F140-E140),"-",F140-E140)</f>
        <v>1</v>
      </c>
      <c r="AQ140" s="3">
        <f>IF(ISERROR(I140-H140),"-",I140-H140)</f>
        <v>1</v>
      </c>
      <c r="AR140" s="3" t="str">
        <f>IF(ISERROR(L140-K140),"-",L140-K140)</f>
        <v>-</v>
      </c>
      <c r="AS140" s="3" t="str">
        <f>IF(ISERROR(O140-N140),"-",O140-N140)</f>
        <v>-</v>
      </c>
      <c r="AT140" s="3">
        <f>IF(ISERROR(R140-Q140),"-",R140-Q140)</f>
        <v>1</v>
      </c>
      <c r="AU140" s="3">
        <f>IF(ISERROR(U140-T140),"-",U140-T140)</f>
        <v>1</v>
      </c>
      <c r="AV140" s="3">
        <f>IF(ISERROR(X140-W140),"-",X140-W140)</f>
        <v>7</v>
      </c>
      <c r="AW140" s="3">
        <f>IF(ISERROR(AA140-Z140),"-",AA140-Z140)</f>
        <v>4</v>
      </c>
      <c r="AX140" s="3">
        <f>IF(ISERROR(AD140-AC140),"-",AD140-AC140)</f>
        <v>5</v>
      </c>
      <c r="AY140" s="3">
        <f>IF(ISERROR(AG140-AF140),"-",AG140-AF140)</f>
        <v>8</v>
      </c>
      <c r="AZ140" s="3">
        <f>IF(ISERROR(AJ140-AI140),"-",AJ140-AI140)</f>
        <v>1</v>
      </c>
      <c r="BA140" s="3">
        <f>IF(ISERROR(LEN(VLOOKUP(A140,Seqs!A:E,2,FALSE))-AL140),"-",LEN(VLOOKUP(A140,Seqs!A:E,2,FALSE))-AL140)</f>
        <v>18</v>
      </c>
      <c r="BB140" s="16">
        <f>J140-D140</f>
        <v>28</v>
      </c>
      <c r="BC140" s="9">
        <f>IF(ISERROR(V140-S140),"-",V140-S140)</f>
        <v>20</v>
      </c>
      <c r="BD140" s="3">
        <f>J140-D140</f>
        <v>28</v>
      </c>
      <c r="BE140" s="3">
        <f>AE140-AB140</f>
        <v>49</v>
      </c>
      <c r="BF140" s="3">
        <f>AH140-AE140</f>
        <v>41</v>
      </c>
    </row>
    <row r="141" spans="1:58" s="3" customFormat="1" x14ac:dyDescent="0.2">
      <c r="A141" s="3" t="s">
        <v>255</v>
      </c>
      <c r="B141" s="3" t="str">
        <f>LOWER(VLOOKUP(A141,Xtal_Templ!A:B,2,FALSE))</f>
        <v>ednrb_human</v>
      </c>
      <c r="C141" s="3">
        <f>VLOOKUP($A141,'SegEnds_NonXtal_BW#'!$A:$Z,3,FALSE)+D141-50</f>
        <v>251</v>
      </c>
      <c r="D141" s="3">
        <v>279</v>
      </c>
      <c r="E141" s="3">
        <f>IF(ISERROR(VLOOKUP($A141,'SegEnds_NonXtal_BW#'!$A:$Z,4,FALSE)+VLOOKUP($A141,A:AL,4,FALSE)-50),"-",(VLOOKUP($A141,'SegEnds_NonXtal_BW#'!$A:$Z,4,FALSE)+VLOOKUP($A141,A:AL,4,FALSE)-50))</f>
        <v>289</v>
      </c>
      <c r="F141" s="3">
        <f>G141-2</f>
        <v>290</v>
      </c>
      <c r="G141" s="3">
        <v>292</v>
      </c>
      <c r="H141" s="3">
        <f>G141+1</f>
        <v>293</v>
      </c>
      <c r="I141" s="3">
        <f>H141+1</f>
        <v>294</v>
      </c>
      <c r="J141" s="3">
        <v>307</v>
      </c>
      <c r="K141" s="3">
        <f>VLOOKUP($A141,'SegEnds_NonXtal_BW#'!$A:$Z,8,FALSE)+VLOOKUP($A141,A:AL,10,FALSE)-50</f>
        <v>324</v>
      </c>
      <c r="L141" s="3">
        <f>M141-1</f>
        <v>326</v>
      </c>
      <c r="M141" s="3">
        <v>327</v>
      </c>
      <c r="N141" s="3">
        <f>M141+2</f>
        <v>329</v>
      </c>
      <c r="O141" s="3">
        <f>N141+1</f>
        <v>330</v>
      </c>
      <c r="P141" s="3">
        <v>359</v>
      </c>
      <c r="Q141" s="3">
        <f>VLOOKUP($A141,'SegEnds_NonXtal_BW#'!$A:$Z,12,FALSE)+VLOOKUP($A141,A:AL,16,FALSE)-50</f>
        <v>365</v>
      </c>
      <c r="R141" s="3">
        <f>IF(ISERROR(VLOOKUP($A141,'SegEnds_NonXtal_BW#'!$A:$Z,13,FALSE)+VLOOKUP($A141,A:AL,19,FALSE)-50),"-",VLOOKUP($A141,'SegEnds_NonXtal_BW#'!$A:$Z,13,FALSE)+VLOOKUP($A141,A:AL,19,FALSE)-50)</f>
        <v>367</v>
      </c>
      <c r="S141" s="3">
        <v>367</v>
      </c>
      <c r="T141" s="103">
        <f>IF(ISERROR(VLOOKUP($A141,'SegEnds_NonXtal_BW#'!$A:$Z,14,FALSE)+VLOOKUP($A141,A:AL,19,FALSE)-50),"-",(VLOOKUP($A141,'SegEnds_NonXtal_BW#'!$A:$Z,14,FALSE)+VLOOKUP($A141,A:AL,19,FALSE)-50))</f>
        <v>374</v>
      </c>
      <c r="U141" s="9">
        <f>IF(ISERROR(VLOOKUP($A141,'SegEnds_NonXtal_BW#'!$A:$Z,15,FALSE)+VLOOKUP($A141,A:AL,22,FALSE)-50),"-",VLOOKUP($A141,'SegEnds_NonXtal_BW#'!$A:$Z,15,FALSE)+VLOOKUP($A141,A:AL,22,FALSE)-50)</f>
        <v>375</v>
      </c>
      <c r="V141" s="3">
        <v>387</v>
      </c>
      <c r="W141" s="3">
        <f>IF(ISERROR(VLOOKUP($A141,'SegEnds_NonXtal_BW#'!$A:$Z,16,FALSE)+VLOOKUP($A141,A:AL,22,FALSE)-50),"-",(VLOOKUP($A141,'SegEnds_NonXtal_BW#'!$A:$Z,16,FALSE)+VLOOKUP($A141,A:AL,22,FALSE)-50))</f>
        <v>401</v>
      </c>
      <c r="X141" s="3">
        <f>IF(ISERROR(VLOOKUP($A141,'SegEnds_NonXtal_BW#'!$A:$Z,17,FALSE)+VLOOKUP($A141,A:AL,25,FALSE)-50),"-",(VLOOKUP($A141,'SegEnds_NonXtal_BW#'!$A:$Z,17,FALSE)+VLOOKUP($A141,A:AL,25,FALSE)-50))</f>
        <v>419</v>
      </c>
      <c r="Y141" s="3">
        <v>419</v>
      </c>
      <c r="Z141" s="3">
        <f>Y141+2</f>
        <v>421</v>
      </c>
      <c r="AA141" s="3">
        <f>IF(ISERROR(VLOOKUP($A141,'SegEnds_NonXtal_BW#'!$A:$Z,19,FALSE)+VLOOKUP($A141,A:AL,28,FALSE)-50),"-",(VLOOKUP($A141,'SegEnds_NonXtal_BW#'!$A:$Z,19,FALSE)+VLOOKUP($A141,A:AL,28,FALSE)-50))</f>
        <v>432</v>
      </c>
      <c r="AB141" s="3">
        <v>454</v>
      </c>
      <c r="AC141" s="3">
        <f>IF(ISERROR((VLOOKUP($A141,'SegEnds_NonXtal_BW#'!$A:$Z,20,FALSE)+VLOOKUP($A141,A:AL,28,FALSE)-50)),"-",(VLOOKUP($A141,'SegEnds_NonXtal_BW#'!$A:$Z,20,FALSE)+VLOOKUP($A141,A:AL,28,FALSE)-50))</f>
        <v>476</v>
      </c>
      <c r="AD141" s="3">
        <f>IF(ISERROR(VLOOKUP($A141,'SegEnds_NonXtal_BW#'!$A:$Z,21,FALSE)+VLOOKUP($A141,A:AL,31,FALSE)-50),"-",(VLOOKUP($A141,'SegEnds_NonXtal_BW#'!$A:$Z,21,FALSE)+VLOOKUP($A141,A:AL,31,FALSE)-50))</f>
        <v>481</v>
      </c>
      <c r="AE141" s="3">
        <v>507</v>
      </c>
      <c r="AF141" s="3">
        <f>IF(ISERROR((VLOOKUP($A141,'SegEnds_NonXtal_BW#'!$A:$Z,22,FALSE)+VLOOKUP($A141,A:AL,31,FALSE)-50)),"-",(VLOOKUP($A141,'SegEnds_NonXtal_BW#'!$A:$Z,22,FALSE)+VLOOKUP($A141,A:AL,31,FALSE)-50))</f>
        <v>518</v>
      </c>
      <c r="AG141" s="3">
        <f>IF(ISERROR(VLOOKUP($A141,'SegEnds_NonXtal_BW#'!$A:$Z,23,FALSE)+VLOOKUP($A141,A:AL,34,FALSE)-50),"-",(VLOOKUP($A141,'SegEnds_NonXtal_BW#'!$A:$Z,23,FALSE)+VLOOKUP($A141,A:AL,34,FALSE)-50))</f>
        <v>524</v>
      </c>
      <c r="AH141" s="3">
        <v>546</v>
      </c>
      <c r="AI141" s="3">
        <f>IF(ISERROR((VLOOKUP($A141,'SegEnds_NonXtal_BW#'!$A:$Z,24,FALSE)+VLOOKUP($A141,A:AL,34,FALSE)-50)),"-",(VLOOKUP($A141,'SegEnds_NonXtal_BW#'!$A:$Z,24,FALSE)+VLOOKUP($A141,A:AL,34,FALSE)-50))</f>
        <v>552</v>
      </c>
      <c r="AJ141" s="3">
        <f>IF(ISERROR(VLOOKUP($A141,'SegEnds_NonXtal_BW#'!$A:$Z,25,FALSE)+VLOOKUP($A141,A:AL,37,FALSE)-50),"-",(VLOOKUP($A141,'SegEnds_NonXtal_BW#'!$A:$Z,25,FALSE)+VLOOKUP($A141,A:AL,37,FALSE)-50))</f>
        <v>553</v>
      </c>
      <c r="AK141" s="3">
        <v>556</v>
      </c>
      <c r="AL141" s="3">
        <f>IF(ISERROR((VLOOKUP($A141,'SegEnds_NonXtal_BW#'!$A:$Z,26,FALSE)+VLOOKUP($A141,A:AL,37,FALSE)-50)),"-",(VLOOKUP($A141,'SegEnds_NonXtal_BW#'!$A:$Z,26,FALSE)+VLOOKUP($A141,A:AL,37,FALSE)-50))</f>
        <v>566</v>
      </c>
      <c r="AM141" s="28" t="str">
        <f>VLOOKUP(A141,Classification!A:B,2,FALSE)</f>
        <v>A</v>
      </c>
      <c r="AN141" s="28" t="b">
        <f>AND(IF(Y141="-",IF(AA141-W141&gt;3,TRUE,FALSE),TRUE),IF(M141="-",IF(O141-K141&gt;3,TRUE,FALSE),TRUE),C141&lt;E141,OR(E141&lt;F141,F141="-"),OR(F141&lt;H141,F141="-"),OR(H141&lt;I141,H141="-"),I141&lt;K141,OR(K141&lt;L141,L141="-"),OR(L141&lt;N141,L141="-"),OR(N141&lt;O141,N141="-"),O141&lt;Q141,OR(Q141&lt;R141,R141="-"),OR(R141&lt;T141,R141="-"),OR(T141&lt;U141,T141="-"),U141&lt;W141,OR(W141&lt;X141,X141="-"),OR(X141&lt;Z141,X141="-"),OR(Z141&lt;AA141,Z141="-"),AA141&lt;AC141,AC141&lt;AD141,AD141&lt;AF141,AF141&lt;AG141,AG141&lt;AI141,OR(AI141&lt;AJ141,AJ141="-"),OR(AJ141&lt;AL141,AJ141="-"))</f>
        <v>1</v>
      </c>
      <c r="AO141" s="3" t="str">
        <f>IF(ISERROR(MATCH(A141,'SegEnds_Xtal_Prot#'!B:B, 0)), "NoXtal", "Xtal")</f>
        <v>NoXtal</v>
      </c>
      <c r="AP141" s="3">
        <f>IF(ISERROR(F141-E141),"-",F141-E141)</f>
        <v>1</v>
      </c>
      <c r="AQ141" s="3">
        <f>IF(ISERROR(I141-H141),"-",I141-H141)</f>
        <v>1</v>
      </c>
      <c r="AR141" s="3">
        <f>IF(ISERROR(L141-K141),"-",L141-K141)</f>
        <v>2</v>
      </c>
      <c r="AS141" s="3">
        <f>IF(ISERROR(O141-N141),"-",O141-N141)</f>
        <v>1</v>
      </c>
      <c r="AT141" s="3">
        <f>IF(ISERROR(R141-Q141),"-",R141-Q141)</f>
        <v>2</v>
      </c>
      <c r="AU141" s="3">
        <f>IF(ISERROR(U141-T141),"-",U141-T141)</f>
        <v>1</v>
      </c>
      <c r="AV141" s="3">
        <f>IF(ISERROR(X141-W141),"-",X141-W141)</f>
        <v>18</v>
      </c>
      <c r="AW141" s="3">
        <f>IF(ISERROR(AA141-Z141),"-",AA141-Z141)</f>
        <v>11</v>
      </c>
      <c r="AX141" s="3">
        <f>IF(ISERROR(AD141-AC141),"-",AD141-AC141)</f>
        <v>5</v>
      </c>
      <c r="AY141" s="3">
        <f>IF(ISERROR(AG141-AF141),"-",AG141-AF141)</f>
        <v>6</v>
      </c>
      <c r="AZ141" s="3">
        <f>IF(ISERROR(AJ141-AI141),"-",AJ141-AI141)</f>
        <v>1</v>
      </c>
      <c r="BA141" s="3">
        <f>IF(ISERROR(LEN(VLOOKUP(A141,Seqs!A:E,2,FALSE))-AL141),"-",LEN(VLOOKUP(A141,Seqs!A:E,2,FALSE))-AL141)</f>
        <v>47</v>
      </c>
      <c r="BB141" s="16">
        <f>J141-D141</f>
        <v>28</v>
      </c>
      <c r="BC141" s="9">
        <f>IF(ISERROR(V141-S141),"-",V141-S141)</f>
        <v>20</v>
      </c>
      <c r="BD141" s="3">
        <f>J141-D141</f>
        <v>28</v>
      </c>
      <c r="BE141" s="3">
        <f>AE141-AB141</f>
        <v>53</v>
      </c>
    </row>
    <row r="142" spans="1:58" s="3" customFormat="1" x14ac:dyDescent="0.2">
      <c r="A142" s="3" t="s">
        <v>256</v>
      </c>
      <c r="B142" s="3" t="str">
        <f>LOWER(VLOOKUP(A142,Xtal_Templ!A:B,2,FALSE))</f>
        <v>ntr1_rat</v>
      </c>
      <c r="C142" s="3">
        <f>VLOOKUP($A142,'SegEnds_NonXtal_BW#'!$A:$Z,3,FALSE)+D142-50</f>
        <v>27</v>
      </c>
      <c r="D142" s="3">
        <v>48</v>
      </c>
      <c r="E142" s="3">
        <f>IF(ISERROR(VLOOKUP($A142,'SegEnds_NonXtal_BW#'!$A:$Z,4,FALSE)+VLOOKUP($A142,A:AL,4,FALSE)-50),"-",(VLOOKUP($A142,'SegEnds_NonXtal_BW#'!$A:$Z,4,FALSE)+VLOOKUP($A142,A:AL,4,FALSE)-50))</f>
        <v>58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66</v>
      </c>
      <c r="J142" s="3">
        <v>79</v>
      </c>
      <c r="K142" s="3">
        <f>VLOOKUP($A142,'SegEnds_NonXtal_BW#'!$A:$Z,8,FALSE)+VLOOKUP($A142,A:AL,10,FALSE)-50</f>
        <v>97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101</v>
      </c>
      <c r="P142" s="3">
        <v>133</v>
      </c>
      <c r="Q142" s="3">
        <f>VLOOKUP($A142,'SegEnds_NonXtal_BW#'!$A:$Z,12,FALSE)+VLOOKUP($A142,A:AL,16,FALSE)-50</f>
        <v>139</v>
      </c>
      <c r="R142" s="3">
        <f>IF(ISERROR(VLOOKUP($A142,'SegEnds_NonXtal_BW#'!$A:$Z,13,FALSE)+VLOOKUP($A142,A:AL,19,FALSE)-50),"-",VLOOKUP($A142,'SegEnds_NonXtal_BW#'!$A:$Z,13,FALSE)+VLOOKUP($A142,A:AL,19,FALSE)-50)</f>
        <v>140</v>
      </c>
      <c r="S142" s="3">
        <v>140</v>
      </c>
      <c r="T142" s="103">
        <f>IF(ISERROR(VLOOKUP($A142,'SegEnds_NonXtal_BW#'!$A:$Z,14,FALSE)+VLOOKUP($A142,A:AL,19,FALSE)-50),"-",(VLOOKUP($A142,'SegEnds_NonXtal_BW#'!$A:$Z,14,FALSE)+VLOOKUP($A142,A:AL,19,FALSE)-50))</f>
        <v>147</v>
      </c>
      <c r="U142" s="9">
        <f>IF(ISERROR(VLOOKUP($A142,'SegEnds_NonXtal_BW#'!$A:$Z,15,FALSE)+VLOOKUP($A142,A:AL,22,FALSE)-50),"-",VLOOKUP($A142,'SegEnds_NonXtal_BW#'!$A:$Z,15,FALSE)+VLOOKUP($A142,A:AL,22,FALSE)-50)</f>
        <v>148</v>
      </c>
      <c r="V142" s="3">
        <v>160</v>
      </c>
      <c r="W142" s="3">
        <f>IF(ISERROR(VLOOKUP($A142,'SegEnds_NonXtal_BW#'!$A:$Z,16,FALSE)+VLOOKUP($A142,A:AL,22,FALSE)-50),"-",(VLOOKUP($A142,'SegEnds_NonXtal_BW#'!$A:$Z,16,FALSE)+VLOOKUP($A142,A:AL,22,FALSE)-50))</f>
        <v>174</v>
      </c>
      <c r="X142" s="3">
        <f>IF(ISERROR(VLOOKUP($A142,'SegEnds_NonXtal_BW#'!$A:$Z,17,FALSE)+VLOOKUP($A142,A:AL,25,FALSE)-50),"-",(VLOOKUP($A142,'SegEnds_NonXtal_BW#'!$A:$Z,17,FALSE)+VLOOKUP($A142,A:AL,25,FALSE)-50))</f>
        <v>210</v>
      </c>
      <c r="Y142" s="3">
        <v>210</v>
      </c>
      <c r="Z142" s="3">
        <f>Y142+2</f>
        <v>212</v>
      </c>
      <c r="AA142" s="3">
        <f>IF(ISERROR(VLOOKUP($A142,'SegEnds_NonXtal_BW#'!$A:$Z,19,FALSE)+VLOOKUP($A142,A:AL,28,FALSE)-50),"-",(VLOOKUP($A142,'SegEnds_NonXtal_BW#'!$A:$Z,19,FALSE)+VLOOKUP($A142,A:AL,28,FALSE)-50))</f>
        <v>216</v>
      </c>
      <c r="AB142" s="3">
        <v>231</v>
      </c>
      <c r="AC142" s="3">
        <f>IF(ISERROR((VLOOKUP($A142,'SegEnds_NonXtal_BW#'!$A:$Z,20,FALSE)+VLOOKUP($A142,A:AL,28,FALSE)-50)),"-",(VLOOKUP($A142,'SegEnds_NonXtal_BW#'!$A:$Z,20,FALSE)+VLOOKUP($A142,A:AL,28,FALSE)-50))</f>
        <v>257</v>
      </c>
      <c r="AD142" s="3">
        <f>IF(ISERROR(VLOOKUP($A142,'SegEnds_NonXtal_BW#'!$A:$Z,21,FALSE)+VLOOKUP($A142,A:AL,31,FALSE)-50),"-",(VLOOKUP($A142,'SegEnds_NonXtal_BW#'!$A:$Z,21,FALSE)+VLOOKUP($A142,A:AL,31,FALSE)-50))</f>
        <v>272</v>
      </c>
      <c r="AE142" s="3">
        <v>298</v>
      </c>
      <c r="AF142" s="3">
        <f>IF(ISERROR((VLOOKUP($A142,'SegEnds_NonXtal_BW#'!$A:$Z,22,FALSE)+VLOOKUP($A142,A:AL,31,FALSE)-50)),"-",(VLOOKUP($A142,'SegEnds_NonXtal_BW#'!$A:$Z,22,FALSE)+VLOOKUP($A142,A:AL,31,FALSE)-50))</f>
        <v>309</v>
      </c>
      <c r="AG142" s="3">
        <f>IF(ISERROR(VLOOKUP($A142,'SegEnds_NonXtal_BW#'!$A:$Z,23,FALSE)+VLOOKUP($A142,A:AL,34,FALSE)-50),"-",(VLOOKUP($A142,'SegEnds_NonXtal_BW#'!$A:$Z,23,FALSE)+VLOOKUP($A142,A:AL,34,FALSE)-50))</f>
        <v>315</v>
      </c>
      <c r="AH142" s="3">
        <v>341</v>
      </c>
      <c r="AI142" s="3">
        <f>IF(ISERROR((VLOOKUP($A142,'SegEnds_NonXtal_BW#'!$A:$Z,24,FALSE)+VLOOKUP($A142,A:AL,34,FALSE)-50)),"-",(VLOOKUP($A142,'SegEnds_NonXtal_BW#'!$A:$Z,24,FALSE)+VLOOKUP($A142,A:AL,34,FALSE)-50))</f>
        <v>347</v>
      </c>
      <c r="AJ142" s="3">
        <f>IF(ISERROR(VLOOKUP($A142,'SegEnds_NonXtal_BW#'!$A:$Z,25,FALSE)+VLOOKUP($A142,A:AL,37,FALSE)-50),"-",(VLOOKUP($A142,'SegEnds_NonXtal_BW#'!$A:$Z,25,FALSE)+VLOOKUP($A142,A:AL,37,FALSE)-50))</f>
        <v>348</v>
      </c>
      <c r="AK142" s="3">
        <v>351</v>
      </c>
      <c r="AL142" s="3">
        <f>IF(ISERROR((VLOOKUP($A142,'SegEnds_NonXtal_BW#'!$A:$Z,26,FALSE)+VLOOKUP($A142,A:AL,37,FALSE)-50)),"-",(VLOOKUP($A142,'SegEnds_NonXtal_BW#'!$A:$Z,26,FALSE)+VLOOKUP($A142,A:AL,37,FALSE)-50))</f>
        <v>359</v>
      </c>
      <c r="AM142" s="28" t="str">
        <f>VLOOKUP(A142,Classification!A:B,2,FALSE)</f>
        <v>A</v>
      </c>
      <c r="AN142" s="28" t="b">
        <f>AND(IF(Y142="-",IF(AA142-W142&gt;3,TRUE,FALSE),TRUE),IF(M142="-",IF(O142-K142&gt;3,TRUE,FALSE),TRUE),C142&lt;E142,OR(E142&lt;F142,F142="-"),OR(F142&lt;H142,F142="-"),OR(H142&lt;I142,H142="-"),I142&lt;K142,OR(K142&lt;L142,L142="-"),OR(L142&lt;N142,L142="-"),OR(N142&lt;O142,N142="-"),O142&lt;Q142,OR(Q142&lt;R142,R142="-"),OR(R142&lt;T142,R142="-"),OR(T142&lt;U142,T142="-"),U142&lt;W142,OR(W142&lt;X142,X142="-"),OR(X142&lt;Z142,X142="-"),OR(Z142&lt;AA142,Z142="-"),AA142&lt;AC142,AC142&lt;AD142,AD142&lt;AF142,AF142&lt;AG142,AG142&lt;AI142,OR(AI142&lt;AJ142,AJ142="-"),OR(AJ142&lt;AL142,AJ142="-"))</f>
        <v>1</v>
      </c>
      <c r="AO142" s="3" t="str">
        <f>IF(ISERROR(MATCH(A142,'SegEnds_Xtal_Prot#'!B:B, 0)), "NoXtal", "Xtal")</f>
        <v>NoXtal</v>
      </c>
      <c r="AP142" s="3" t="str">
        <f>IF(ISERROR(F142-E142),"-",F142-E142)</f>
        <v>-</v>
      </c>
      <c r="AQ142" s="3" t="str">
        <f>IF(ISERROR(I142-H142),"-",I142-H142)</f>
        <v>-</v>
      </c>
      <c r="AR142" s="3" t="str">
        <f>IF(ISERROR(L142-K142),"-",L142-K142)</f>
        <v>-</v>
      </c>
      <c r="AS142" s="3" t="str">
        <f>IF(ISERROR(O142-N142),"-",O142-N142)</f>
        <v>-</v>
      </c>
      <c r="AT142" s="3">
        <f>IF(ISERROR(R142-Q142),"-",R142-Q142)</f>
        <v>1</v>
      </c>
      <c r="AU142" s="3">
        <f>IF(ISERROR(U142-T142),"-",U142-T142)</f>
        <v>1</v>
      </c>
      <c r="AV142" s="3">
        <f>IF(ISERROR(X142-W142),"-",X142-W142)</f>
        <v>36</v>
      </c>
      <c r="AW142" s="3">
        <f>IF(ISERROR(AA142-Z142),"-",AA142-Z142)</f>
        <v>4</v>
      </c>
      <c r="AX142" s="3">
        <f>IF(ISERROR(AD142-AC142),"-",AD142-AC142)</f>
        <v>15</v>
      </c>
      <c r="AY142" s="3">
        <f>IF(ISERROR(AG142-AF142),"-",AG142-AF142)</f>
        <v>6</v>
      </c>
      <c r="AZ142" s="3">
        <f>IF(ISERROR(AJ142-AI142),"-",AJ142-AI142)</f>
        <v>1</v>
      </c>
      <c r="BA142" s="3">
        <f>IF(ISERROR(LEN(VLOOKUP(A142,Seqs!A:E,2,FALSE))-AL142),"-",LEN(VLOOKUP(A142,Seqs!A:E,2,FALSE))-AL142)</f>
        <v>94</v>
      </c>
      <c r="BB142" s="16">
        <f>J142-D142</f>
        <v>31</v>
      </c>
      <c r="BC142" s="9">
        <f>IF(ISERROR(V142-S142),"-",V142-S142)</f>
        <v>20</v>
      </c>
      <c r="BD142" s="3">
        <f>J142-D142</f>
        <v>31</v>
      </c>
      <c r="BE142" s="3">
        <f>AE142-AB142</f>
        <v>67</v>
      </c>
    </row>
    <row r="143" spans="1:58" s="3" customFormat="1" x14ac:dyDescent="0.2">
      <c r="A143" s="3" t="s">
        <v>257</v>
      </c>
      <c r="B143" s="3" t="str">
        <f>LOWER(VLOOKUP(A143,Xtal_Templ!A:B,2,FALSE))</f>
        <v>par2_human</v>
      </c>
      <c r="C143" s="3">
        <f>VLOOKUP($A143,'SegEnds_NonXtal_BW#'!$A:$Z,3,FALSE)+D143-50</f>
        <v>13</v>
      </c>
      <c r="D143" s="3">
        <v>35</v>
      </c>
      <c r="E143" s="3">
        <f>IF(ISERROR(VLOOKUP($A143,'SegEnds_NonXtal_BW#'!$A:$Z,4,FALSE)+VLOOKUP($A143,A:AL,4,FALSE)-50),"-",(VLOOKUP($A143,'SegEnds_NonXtal_BW#'!$A:$Z,4,FALSE)+VLOOKUP($A143,A:AL,4,FALSE)-50))</f>
        <v>45</v>
      </c>
      <c r="F143" s="3" t="str">
        <f>IF(ISERROR(VLOOKUP($A143,'SegEnds_NonXtal_BW#'!$A:$Z,5,FALSE)+VLOOKUP($A143,A:AL,7,FALSE)-50),"-",(VLOOKUP($A143,'SegEnds_NonXtal_BW#'!$A:$Z,5,FALSE)+VLOOKUP($A143,A:AL,7,FALSE)-50))</f>
        <v>-</v>
      </c>
      <c r="G143" s="3" t="s">
        <v>23</v>
      </c>
      <c r="H143" s="3" t="str">
        <f>IF(ISERROR(VLOOKUP($A143,'SegEnds_NonXtal_BW#'!$A:$Z,6,FALSE)+VLOOKUP($A143,A:AL,7,FALSE)-50),"-",(VLOOKUP($A143,'SegEnds_NonXtal_BW#'!$A:$Z,6,FALSE)+VLOOKUP($A143,A:AL,7,FALSE)-50))</f>
        <v>-</v>
      </c>
      <c r="I143" s="3">
        <f>VLOOKUP($A143,'SegEnds_NonXtal_BW#'!$A:$Z,7,FALSE)+J143-50</f>
        <v>50</v>
      </c>
      <c r="J143" s="3">
        <v>63</v>
      </c>
      <c r="K143" s="3">
        <f>VLOOKUP($A143,'SegEnds_NonXtal_BW#'!$A:$Z,8,FALSE)+VLOOKUP($A143,A:AL,10,FALSE)-50</f>
        <v>79</v>
      </c>
      <c r="L143" s="3">
        <f>M143-1</f>
        <v>82</v>
      </c>
      <c r="M143" s="3">
        <v>83</v>
      </c>
      <c r="N143" s="3">
        <f>M143+2</f>
        <v>85</v>
      </c>
      <c r="O143" s="3">
        <f>N143+1</f>
        <v>86</v>
      </c>
      <c r="P143" s="3">
        <v>115</v>
      </c>
      <c r="Q143" s="3">
        <f>VLOOKUP($A143,'SegEnds_NonXtal_BW#'!$A:$Z,12,FALSE)+VLOOKUP($A143,A:AL,16,FALSE)-50</f>
        <v>121</v>
      </c>
      <c r="R143" s="3">
        <f>IF(ISERROR(VLOOKUP($A143,'SegEnds_NonXtal_BW#'!$A:$Z,13,FALSE)+VLOOKUP($A143,A:AL,19,FALSE)-50),"-",VLOOKUP($A143,'SegEnds_NonXtal_BW#'!$A:$Z,13,FALSE)+VLOOKUP($A143,A:AL,19,FALSE)-50)</f>
        <v>122</v>
      </c>
      <c r="S143" s="3">
        <v>122</v>
      </c>
      <c r="T143" s="103">
        <f>IF(ISERROR(VLOOKUP($A143,'SegEnds_NonXtal_BW#'!$A:$Z,14,FALSE)+VLOOKUP($A143,A:AL,19,FALSE)-50),"-",(VLOOKUP($A143,'SegEnds_NonXtal_BW#'!$A:$Z,14,FALSE)+VLOOKUP($A143,A:AL,19,FALSE)-50))</f>
        <v>129</v>
      </c>
      <c r="U143" s="9">
        <f>IF(ISERROR(VLOOKUP($A143,'SegEnds_NonXtal_BW#'!$A:$Z,15,FALSE)+VLOOKUP($A143,A:AL,22,FALSE)-50),"-",VLOOKUP($A143,'SegEnds_NonXtal_BW#'!$A:$Z,15,FALSE)+VLOOKUP($A143,A:AL,22,FALSE)-50)</f>
        <v>130</v>
      </c>
      <c r="V143" s="3">
        <v>142</v>
      </c>
      <c r="W143" s="3">
        <f>IF(ISERROR(VLOOKUP($A143,'SegEnds_NonXtal_BW#'!$A:$Z,16,FALSE)+VLOOKUP($A143,A:AL,22,FALSE)-50),"-",(VLOOKUP($A143,'SegEnds_NonXtal_BW#'!$A:$Z,16,FALSE)+VLOOKUP($A143,A:AL,22,FALSE)-50))</f>
        <v>154</v>
      </c>
      <c r="X143" s="3">
        <f>IF(ISERROR(VLOOKUP($A143,'SegEnds_NonXtal_BW#'!$A:$Z,17,FALSE)+VLOOKUP($A143,A:AL,25,FALSE)-50),"-",(VLOOKUP($A143,'SegEnds_NonXtal_BW#'!$A:$Z,17,FALSE)+VLOOKUP($A143,A:AL,25,FALSE)-50))</f>
        <v>168</v>
      </c>
      <c r="Y143" s="3">
        <v>168</v>
      </c>
      <c r="Z143" s="3">
        <f>Y143+2</f>
        <v>170</v>
      </c>
      <c r="AA143" s="3">
        <f>IF(ISERROR(VLOOKUP($A143,'SegEnds_NonXtal_BW#'!$A:$Z,19,FALSE)+VLOOKUP($A143,A:AL,28,FALSE)-50),"-",(VLOOKUP($A143,'SegEnds_NonXtal_BW#'!$A:$Z,19,FALSE)+VLOOKUP($A143,A:AL,28,FALSE)-50))</f>
        <v>174</v>
      </c>
      <c r="AB143" s="3">
        <v>193</v>
      </c>
      <c r="AC143" s="3">
        <f>IF(ISERROR((VLOOKUP($A143,'SegEnds_NonXtal_BW#'!$A:$Z,20,FALSE)+VLOOKUP($A143,A:AL,28,FALSE)-50)),"-",(VLOOKUP($A143,'SegEnds_NonXtal_BW#'!$A:$Z,20,FALSE)+VLOOKUP($A143,A:AL,28,FALSE)-50))</f>
        <v>210</v>
      </c>
      <c r="AD143" s="3">
        <f>IF(ISERROR(VLOOKUP($A143,'SegEnds_NonXtal_BW#'!$A:$Z,21,FALSE)+VLOOKUP($A143,A:AL,31,FALSE)-50),"-",(VLOOKUP($A143,'SegEnds_NonXtal_BW#'!$A:$Z,21,FALSE)+VLOOKUP($A143,A:AL,31,FALSE)-50))</f>
        <v>215</v>
      </c>
      <c r="AE143" s="3">
        <v>239</v>
      </c>
      <c r="AF143" s="3">
        <f>IF(ISERROR((VLOOKUP($A143,'SegEnds_NonXtal_BW#'!$A:$Z,22,FALSE)+VLOOKUP($A143,A:AL,31,FALSE)-50)),"-",(VLOOKUP($A143,'SegEnds_NonXtal_BW#'!$A:$Z,22,FALSE)+VLOOKUP($A143,A:AL,31,FALSE)-50))</f>
        <v>253</v>
      </c>
      <c r="AG143" s="3">
        <f>IF(ISERROR(VLOOKUP($A143,'SegEnds_NonXtal_BW#'!$A:$Z,23,FALSE)+VLOOKUP($A143,A:AL,34,FALSE)-50),"-",(VLOOKUP($A143,'SegEnds_NonXtal_BW#'!$A:$Z,23,FALSE)+VLOOKUP($A143,A:AL,34,FALSE)-50))</f>
        <v>257</v>
      </c>
      <c r="AH143" s="3">
        <v>283</v>
      </c>
      <c r="AI143" s="3">
        <f>IF(ISERROR((VLOOKUP($A143,'SegEnds_NonXtal_BW#'!$A:$Z,24,FALSE)+VLOOKUP($A143,A:AL,34,FALSE)-50)),"-",(VLOOKUP($A143,'SegEnds_NonXtal_BW#'!$A:$Z,24,FALSE)+VLOOKUP($A143,A:AL,34,FALSE)-50))</f>
        <v>289</v>
      </c>
      <c r="AJ143" s="3">
        <f>IF(ISERROR(VLOOKUP($A143,'SegEnds_NonXtal_BW#'!$A:$Z,25,FALSE)+VLOOKUP($A143,A:AL,37,FALSE)-50),"-",(VLOOKUP($A143,'SegEnds_NonXtal_BW#'!$A:$Z,25,FALSE)+VLOOKUP($A143,A:AL,37,FALSE)-50))</f>
        <v>290</v>
      </c>
      <c r="AK143" s="3">
        <v>293</v>
      </c>
      <c r="AL143" s="3">
        <f>IF(ISERROR((VLOOKUP($A143,'SegEnds_NonXtal_BW#'!$A:$Z,26,FALSE)+VLOOKUP($A143,A:AL,37,FALSE)-50)),"-",(VLOOKUP($A143,'SegEnds_NonXtal_BW#'!$A:$Z,26,FALSE)+VLOOKUP($A143,A:AL,37,FALSE)-50))</f>
        <v>304</v>
      </c>
      <c r="AM143" s="28" t="str">
        <f>VLOOKUP(A143,Classification!A:B,2,FALSE)</f>
        <v>A</v>
      </c>
      <c r="AN143" s="28" t="b">
        <f>AND(IF(Y143="-",IF(AA143-W143&gt;3,TRUE,FALSE),TRUE),IF(M143="-",IF(O143-K143&gt;3,TRUE,FALSE),TRUE),C143&lt;E143,OR(E143&lt;F143,F143="-"),OR(F143&lt;H143,F143="-"),OR(H143&lt;I143,H143="-"),I143&lt;K143,OR(K143&lt;L143,L143="-"),OR(L143&lt;N143,L143="-"),OR(N143&lt;O143,N143="-"),O143&lt;Q143,OR(Q143&lt;R143,R143="-"),OR(R143&lt;T143,R143="-"),OR(T143&lt;U143,T143="-"),U143&lt;W143,OR(W143&lt;X143,X143="-"),OR(X143&lt;Z143,X143="-"),OR(Z143&lt;AA143,Z143="-"),AA143&lt;AC143,AC143&lt;AD143,AD143&lt;AF143,AF143&lt;AG143,AG143&lt;AI143,OR(AI143&lt;AJ143,AJ143="-"),OR(AJ143&lt;AL143,AJ143="-"))</f>
        <v>1</v>
      </c>
      <c r="AO143" s="3" t="str">
        <f>IF(ISERROR(MATCH(A143,'SegEnds_Xtal_Prot#'!B:B, 0)), "NoXtal", "Xtal")</f>
        <v>NoXtal</v>
      </c>
      <c r="AP143" s="3" t="str">
        <f>IF(ISERROR(F143-E143),"-",F143-E143)</f>
        <v>-</v>
      </c>
      <c r="AQ143" s="3" t="str">
        <f>IF(ISERROR(I143-H143),"-",I143-H143)</f>
        <v>-</v>
      </c>
      <c r="AR143" s="3">
        <f>IF(ISERROR(L143-K143),"-",L143-K143)</f>
        <v>3</v>
      </c>
      <c r="AS143" s="3">
        <f>IF(ISERROR(O143-N143),"-",O143-N143)</f>
        <v>1</v>
      </c>
      <c r="AT143" s="3">
        <f>IF(ISERROR(R143-Q143),"-",R143-Q143)</f>
        <v>1</v>
      </c>
      <c r="AU143" s="3">
        <f>IF(ISERROR(U143-T143),"-",U143-T143)</f>
        <v>1</v>
      </c>
      <c r="AV143" s="3">
        <f>IF(ISERROR(X143-W143),"-",X143-W143)</f>
        <v>14</v>
      </c>
      <c r="AW143" s="3">
        <f>IF(ISERROR(AA143-Z143),"-",AA143-Z143)</f>
        <v>4</v>
      </c>
      <c r="AX143" s="3">
        <f>IF(ISERROR(AD143-AC143),"-",AD143-AC143)</f>
        <v>5</v>
      </c>
      <c r="AY143" s="3">
        <f>IF(ISERROR(AG143-AF143),"-",AG143-AF143)</f>
        <v>4</v>
      </c>
      <c r="AZ143" s="3">
        <f>IF(ISERROR(AJ143-AI143),"-",AJ143-AI143)</f>
        <v>1</v>
      </c>
      <c r="BA143" s="3">
        <f>IF(ISERROR(LEN(VLOOKUP(A143,Seqs!A:E,2,FALSE))-AL143),"-",LEN(VLOOKUP(A143,Seqs!A:E,2,FALSE))-AL143)</f>
        <v>58</v>
      </c>
      <c r="BB143" s="16">
        <f>J143-D143</f>
        <v>28</v>
      </c>
      <c r="BC143" s="9">
        <f>IF(ISERROR(V143-S143),"-",V143-S143)</f>
        <v>20</v>
      </c>
      <c r="BD143" s="3">
        <f>J143-D143</f>
        <v>28</v>
      </c>
      <c r="BE143" s="3">
        <f>AE143-AB143</f>
        <v>46</v>
      </c>
    </row>
    <row r="144" spans="1:58" s="3" customFormat="1" x14ac:dyDescent="0.2">
      <c r="A144" s="3" t="s">
        <v>258</v>
      </c>
      <c r="B144" s="3" t="str">
        <f>LOWER(VLOOKUP(A144,Xtal_Templ!A:B,2,FALSE))</f>
        <v>par1_human</v>
      </c>
      <c r="C144" s="3">
        <f>VLOOKUP($A144,'SegEnds_NonXtal_BW#'!$A:$Z,3,FALSE)+D144-50</f>
        <v>11</v>
      </c>
      <c r="D144" s="3">
        <v>32</v>
      </c>
      <c r="E144" s="3">
        <f>IF(ISERROR(VLOOKUP($A144,'SegEnds_NonXtal_BW#'!$A:$Z,4,FALSE)+VLOOKUP($A144,A:AL,4,FALSE)-50),"-",(VLOOKUP($A144,'SegEnds_NonXtal_BW#'!$A:$Z,4,FALSE)+VLOOKUP($A144,A:AL,4,FALSE)-50))</f>
        <v>42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48</v>
      </c>
      <c r="J144" s="3">
        <v>61</v>
      </c>
      <c r="K144" s="3">
        <f>VLOOKUP($A144,'SegEnds_NonXtal_BW#'!$A:$Z,8,FALSE)+VLOOKUP($A144,A:AL,10,FALSE)-50</f>
        <v>77</v>
      </c>
      <c r="L144" s="3">
        <f>M144-1</f>
        <v>80</v>
      </c>
      <c r="M144" s="3">
        <v>81</v>
      </c>
      <c r="N144" s="3">
        <f>M144+2</f>
        <v>83</v>
      </c>
      <c r="O144" s="3">
        <f>N144+1</f>
        <v>84</v>
      </c>
      <c r="P144" s="3">
        <v>113</v>
      </c>
      <c r="Q144" s="3">
        <f>VLOOKUP($A144,'SegEnds_NonXtal_BW#'!$A:$Z,12,FALSE)+VLOOKUP($A144,A:AL,16,FALSE)-50</f>
        <v>119</v>
      </c>
      <c r="R144" s="3">
        <f>IF(ISERROR(VLOOKUP($A144,'SegEnds_NonXtal_BW#'!$A:$Z,13,FALSE)+VLOOKUP($A144,A:AL,19,FALSE)-50),"-",VLOOKUP($A144,'SegEnds_NonXtal_BW#'!$A:$Z,13,FALSE)+VLOOKUP($A144,A:AL,19,FALSE)-50)</f>
        <v>120</v>
      </c>
      <c r="S144" s="3">
        <v>120</v>
      </c>
      <c r="T144" s="103">
        <f>IF(ISERROR(VLOOKUP($A144,'SegEnds_NonXtal_BW#'!$A:$Z,14,FALSE)+VLOOKUP($A144,A:AL,19,FALSE)-50),"-",(VLOOKUP($A144,'SegEnds_NonXtal_BW#'!$A:$Z,14,FALSE)+VLOOKUP($A144,A:AL,19,FALSE)-50))</f>
        <v>127</v>
      </c>
      <c r="U144" s="9">
        <f>IF(ISERROR(VLOOKUP($A144,'SegEnds_NonXtal_BW#'!$A:$Z,15,FALSE)+VLOOKUP($A144,A:AL,22,FALSE)-50),"-",VLOOKUP($A144,'SegEnds_NonXtal_BW#'!$A:$Z,15,FALSE)+VLOOKUP($A144,A:AL,22,FALSE)-50)</f>
        <v>128</v>
      </c>
      <c r="V144" s="3">
        <v>140</v>
      </c>
      <c r="W144" s="3">
        <f>IF(ISERROR(VLOOKUP($A144,'SegEnds_NonXtal_BW#'!$A:$Z,16,FALSE)+VLOOKUP($A144,A:AL,22,FALSE)-50),"-",(VLOOKUP($A144,'SegEnds_NonXtal_BW#'!$A:$Z,16,FALSE)+VLOOKUP($A144,A:AL,22,FALSE)-50))</f>
        <v>153</v>
      </c>
      <c r="X144" s="3">
        <f>IF(ISERROR(VLOOKUP($A144,'SegEnds_NonXtal_BW#'!$A:$Z,17,FALSE)+VLOOKUP($A144,A:AL,25,FALSE)-50),"-",(VLOOKUP($A144,'SegEnds_NonXtal_BW#'!$A:$Z,17,FALSE)+VLOOKUP($A144,A:AL,25,FALSE)-50))</f>
        <v>169</v>
      </c>
      <c r="Y144" s="3">
        <v>169</v>
      </c>
      <c r="Z144" s="3">
        <f>Y144+2</f>
        <v>171</v>
      </c>
      <c r="AA144" s="3">
        <f>IF(ISERROR(VLOOKUP($A144,'SegEnds_NonXtal_BW#'!$A:$Z,19,FALSE)+VLOOKUP($A144,A:AL,28,FALSE)-50),"-",(VLOOKUP($A144,'SegEnds_NonXtal_BW#'!$A:$Z,19,FALSE)+VLOOKUP($A144,A:AL,28,FALSE)-50))</f>
        <v>178</v>
      </c>
      <c r="AB144" s="3">
        <v>196</v>
      </c>
      <c r="AC144" s="3">
        <f>IF(ISERROR((VLOOKUP($A144,'SegEnds_NonXtal_BW#'!$A:$Z,20,FALSE)+VLOOKUP($A144,A:AL,28,FALSE)-50)),"-",(VLOOKUP($A144,'SegEnds_NonXtal_BW#'!$A:$Z,20,FALSE)+VLOOKUP($A144,A:AL,28,FALSE)-50))</f>
        <v>214</v>
      </c>
      <c r="AD144" s="3">
        <f>IF(ISERROR(VLOOKUP($A144,'SegEnds_NonXtal_BW#'!$A:$Z,21,FALSE)+VLOOKUP($A144,A:AL,31,FALSE)-50),"-",(VLOOKUP($A144,'SegEnds_NonXtal_BW#'!$A:$Z,21,FALSE)+VLOOKUP($A144,A:AL,31,FALSE)-50))</f>
        <v>218</v>
      </c>
      <c r="AE144" s="3">
        <v>240</v>
      </c>
      <c r="AF144" s="3">
        <f>IF(ISERROR((VLOOKUP($A144,'SegEnds_NonXtal_BW#'!$A:$Z,22,FALSE)+VLOOKUP($A144,A:AL,31,FALSE)-50)),"-",(VLOOKUP($A144,'SegEnds_NonXtal_BW#'!$A:$Z,22,FALSE)+VLOOKUP($A144,A:AL,31,FALSE)-50))</f>
        <v>251</v>
      </c>
      <c r="AG144" s="3">
        <f>IF(ISERROR(VLOOKUP($A144,'SegEnds_NonXtal_BW#'!$A:$Z,23,FALSE)+VLOOKUP($A144,A:AL,34,FALSE)-50),"-",(VLOOKUP($A144,'SegEnds_NonXtal_BW#'!$A:$Z,23,FALSE)+VLOOKUP($A144,A:AL,34,FALSE)-50))</f>
        <v>256</v>
      </c>
      <c r="AH144" s="3">
        <v>273</v>
      </c>
      <c r="AI144" s="3">
        <f>IF(ISERROR((VLOOKUP($A144,'SegEnds_NonXtal_BW#'!$A:$Z,24,FALSE)+VLOOKUP($A144,A:AL,34,FALSE)-50)),"-",(VLOOKUP($A144,'SegEnds_NonXtal_BW#'!$A:$Z,24,FALSE)+VLOOKUP($A144,A:AL,34,FALSE)-50))</f>
        <v>279</v>
      </c>
      <c r="AJ144" s="3">
        <f>IF(ISERROR(VLOOKUP($A144,'SegEnds_NonXtal_BW#'!$A:$Z,25,FALSE)+VLOOKUP($A144,A:AL,37,FALSE)-50),"-",(VLOOKUP($A144,'SegEnds_NonXtal_BW#'!$A:$Z,25,FALSE)+VLOOKUP($A144,A:AL,37,FALSE)-50))</f>
        <v>280</v>
      </c>
      <c r="AK144" s="3">
        <v>283</v>
      </c>
      <c r="AL144" s="3">
        <f>IF(ISERROR((VLOOKUP($A144,'SegEnds_NonXtal_BW#'!$A:$Z,26,FALSE)+VLOOKUP($A144,A:AL,37,FALSE)-50)),"-",(VLOOKUP($A144,'SegEnds_NonXtal_BW#'!$A:$Z,26,FALSE)+VLOOKUP($A144,A:AL,37,FALSE)-50))</f>
        <v>294</v>
      </c>
      <c r="AM144" s="28" t="str">
        <f>VLOOKUP(A144,Classification!A:B,2,FALSE)</f>
        <v>A</v>
      </c>
      <c r="AN144" s="28" t="b">
        <f>AND(IF(Y144="-",IF(AA144-W144&gt;3,TRUE,FALSE),TRUE),IF(M144="-",IF(O144-K144&gt;3,TRUE,FALSE),TRUE),C144&lt;E144,OR(E144&lt;F144,F144="-"),OR(F144&lt;H144,F144="-"),OR(H144&lt;I144,H144="-"),I144&lt;K144,OR(K144&lt;L144,L144="-"),OR(L144&lt;N144,L144="-"),OR(N144&lt;O144,N144="-"),O144&lt;Q144,OR(Q144&lt;R144,R144="-"),OR(R144&lt;T144,R144="-"),OR(T144&lt;U144,T144="-"),U144&lt;W144,OR(W144&lt;X144,X144="-"),OR(X144&lt;Z144,X144="-"),OR(Z144&lt;AA144,Z144="-"),AA144&lt;AC144,AC144&lt;AD144,AD144&lt;AF144,AF144&lt;AG144,AG144&lt;AI144,OR(AI144&lt;AJ144,AJ144="-"),OR(AJ144&lt;AL144,AJ144="-"))</f>
        <v>1</v>
      </c>
      <c r="AO144" s="3" t="str">
        <f>IF(ISERROR(MATCH(A144,'SegEnds_Xtal_Prot#'!B:B, 0)), "NoXtal", "Xtal")</f>
        <v>NoXtal</v>
      </c>
      <c r="AP144" s="3" t="str">
        <f>IF(ISERROR(F144-E144),"-",F144-E144)</f>
        <v>-</v>
      </c>
      <c r="AQ144" s="3" t="str">
        <f>IF(ISERROR(I144-H144),"-",I144-H144)</f>
        <v>-</v>
      </c>
      <c r="AR144" s="3">
        <f>IF(ISERROR(L144-K144),"-",L144-K144)</f>
        <v>3</v>
      </c>
      <c r="AS144" s="3">
        <f>IF(ISERROR(O144-N144),"-",O144-N144)</f>
        <v>1</v>
      </c>
      <c r="AT144" s="3">
        <f>IF(ISERROR(R144-Q144),"-",R144-Q144)</f>
        <v>1</v>
      </c>
      <c r="AU144" s="3">
        <f>IF(ISERROR(U144-T144),"-",U144-T144)</f>
        <v>1</v>
      </c>
      <c r="AV144" s="3">
        <f>IF(ISERROR(X144-W144),"-",X144-W144)</f>
        <v>16</v>
      </c>
      <c r="AW144" s="3">
        <f>IF(ISERROR(AA144-Z144),"-",AA144-Z144)</f>
        <v>7</v>
      </c>
      <c r="AX144" s="3">
        <f>IF(ISERROR(AD144-AC144),"-",AD144-AC144)</f>
        <v>4</v>
      </c>
      <c r="AY144" s="3">
        <f>IF(ISERROR(AG144-AF144),"-",AG144-AF144)</f>
        <v>5</v>
      </c>
      <c r="AZ144" s="3">
        <f>IF(ISERROR(AJ144-AI144),"-",AJ144-AI144)</f>
        <v>1</v>
      </c>
      <c r="BA144" s="3">
        <f>IF(ISERROR(LEN(VLOOKUP(A144,Seqs!A:E,2,FALSE))-AL144),"-",LEN(VLOOKUP(A144,Seqs!A:E,2,FALSE))-AL144)</f>
        <v>52</v>
      </c>
      <c r="BB144" s="16">
        <f>J144-D144</f>
        <v>29</v>
      </c>
      <c r="BC144" s="9">
        <f>IF(ISERROR(V144-S144),"-",V144-S144)</f>
        <v>20</v>
      </c>
      <c r="BD144" s="3">
        <f>J144-D144</f>
        <v>29</v>
      </c>
      <c r="BE144" s="3">
        <f>AE144-AB144</f>
        <v>44</v>
      </c>
    </row>
    <row r="145" spans="1:58" s="3" customFormat="1" x14ac:dyDescent="0.2">
      <c r="A145" s="3" t="s">
        <v>260</v>
      </c>
      <c r="B145" s="3" t="str">
        <f>LOWER(VLOOKUP(A145,Xtal_Templ!A:B,2,FALSE))</f>
        <v>5ht2b_human</v>
      </c>
      <c r="C145" s="3">
        <f>VLOOKUP($A145,'SegEnds_NonXtal_BW#'!$A:$Z,3,FALSE)+D145-50</f>
        <v>40</v>
      </c>
      <c r="D145" s="3">
        <v>58</v>
      </c>
      <c r="E145" s="3">
        <f>IF(ISERROR(VLOOKUP($A145,'SegEnds_NonXtal_BW#'!$A:$Z,4,FALSE)+VLOOKUP($A145,A:AL,4,FALSE)-50),"-",(VLOOKUP($A145,'SegEnds_NonXtal_BW#'!$A:$Z,4,FALSE)+VLOOKUP($A145,A:AL,4,FALSE)-50))</f>
        <v>68</v>
      </c>
      <c r="F145" s="3">
        <f>G145-2</f>
        <v>69</v>
      </c>
      <c r="G145" s="3">
        <v>71</v>
      </c>
      <c r="H145" s="3">
        <f>G145+1</f>
        <v>72</v>
      </c>
      <c r="I145" s="3">
        <f>H145+1</f>
        <v>73</v>
      </c>
      <c r="J145" s="3">
        <v>87</v>
      </c>
      <c r="K145" s="3">
        <f>VLOOKUP($A145,'SegEnds_NonXtal_BW#'!$A:$Z,8,FALSE)+VLOOKUP($A145,A:AL,10,FALSE)-50</f>
        <v>103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107</v>
      </c>
      <c r="P145" s="3">
        <v>139</v>
      </c>
      <c r="Q145" s="3">
        <f>VLOOKUP($A145,'SegEnds_NonXtal_BW#'!$A:$Z,12,FALSE)+VLOOKUP($A145,A:AL,16,FALSE)-50</f>
        <v>145</v>
      </c>
      <c r="R145" s="3">
        <f>IF(ISERROR(VLOOKUP($A145,'SegEnds_NonXtal_BW#'!$A:$Z,13,FALSE)+VLOOKUP($A145,A:AL,19,FALSE)-50),"-",VLOOKUP($A145,'SegEnds_NonXtal_BW#'!$A:$Z,13,FALSE)+VLOOKUP($A145,A:AL,19,FALSE)-50)</f>
        <v>146</v>
      </c>
      <c r="S145" s="3">
        <v>146</v>
      </c>
      <c r="T145" s="103">
        <f>IF(ISERROR(VLOOKUP($A145,'SegEnds_NonXtal_BW#'!$A:$Z,14,FALSE)+VLOOKUP($A145,A:AL,19,FALSE)-50),"-",(VLOOKUP($A145,'SegEnds_NonXtal_BW#'!$A:$Z,14,FALSE)+VLOOKUP($A145,A:AL,19,FALSE)-50))</f>
        <v>153</v>
      </c>
      <c r="U145" s="9">
        <f>IF(ISERROR(VLOOKUP($A145,'SegEnds_NonXtal_BW#'!$A:$Z,15,FALSE)+VLOOKUP($A145,A:AL,22,FALSE)-50),"-",VLOOKUP($A145,'SegEnds_NonXtal_BW#'!$A:$Z,15,FALSE)+VLOOKUP($A145,A:AL,22,FALSE)-50)</f>
        <v>154</v>
      </c>
      <c r="V145" s="3">
        <v>166</v>
      </c>
      <c r="W145" s="3">
        <f>IF(ISERROR(VLOOKUP($A145,'SegEnds_NonXtal_BW#'!$A:$Z,16,FALSE)+VLOOKUP($A145,A:AL,22,FALSE)-50),"-",(VLOOKUP($A145,'SegEnds_NonXtal_BW#'!$A:$Z,16,FALSE)+VLOOKUP($A145,A:AL,22,FALSE)-50))</f>
        <v>180</v>
      </c>
      <c r="X145" s="3">
        <f>IF(ISERROR(VLOOKUP($A145,'SegEnds_NonXtal_BW#'!$A:$Z,17,FALSE)+VLOOKUP($A145,A:AL,25,FALSE)-50),"-",(VLOOKUP($A145,'SegEnds_NonXtal_BW#'!$A:$Z,17,FALSE)+VLOOKUP($A145,A:AL,25,FALSE)-50))</f>
        <v>193</v>
      </c>
      <c r="Y145" s="3">
        <v>193</v>
      </c>
      <c r="Z145" s="3">
        <f>Y145+2</f>
        <v>195</v>
      </c>
      <c r="AA145" s="3">
        <f>IF(ISERROR(VLOOKUP($A145,'SegEnds_NonXtal_BW#'!$A:$Z,19,FALSE)+VLOOKUP($A145,A:AL,28,FALSE)-50),"-",(VLOOKUP($A145,'SegEnds_NonXtal_BW#'!$A:$Z,19,FALSE)+VLOOKUP($A145,A:AL,28,FALSE)-50))</f>
        <v>199</v>
      </c>
      <c r="AB145" s="3">
        <v>214</v>
      </c>
      <c r="AC145" s="3">
        <f>IF(ISERROR((VLOOKUP($A145,'SegEnds_NonXtal_BW#'!$A:$Z,20,FALSE)+VLOOKUP($A145,A:AL,28,FALSE)-50)),"-",(VLOOKUP($A145,'SegEnds_NonXtal_BW#'!$A:$Z,20,FALSE)+VLOOKUP($A145,A:AL,28,FALSE)-50))</f>
        <v>238</v>
      </c>
      <c r="AD145" s="3">
        <f>IF(ISERROR(VLOOKUP($A145,'SegEnds_NonXtal_BW#'!$A:$Z,21,FALSE)+VLOOKUP($A145,A:AL,31,FALSE)-50),"-",(VLOOKUP($A145,'SegEnds_NonXtal_BW#'!$A:$Z,21,FALSE)+VLOOKUP($A145,A:AL,31,FALSE)-50))</f>
        <v>251</v>
      </c>
      <c r="AE145" s="3">
        <v>280</v>
      </c>
      <c r="AF145" s="3">
        <f>IF(ISERROR((VLOOKUP($A145,'SegEnds_NonXtal_BW#'!$A:$Z,22,FALSE)+VLOOKUP($A145,A:AL,31,FALSE)-50)),"-",(VLOOKUP($A145,'SegEnds_NonXtal_BW#'!$A:$Z,22,FALSE)+VLOOKUP($A145,A:AL,31,FALSE)-50))</f>
        <v>291</v>
      </c>
      <c r="AG145" s="3">
        <f>IF(ISERROR(VLOOKUP($A145,'SegEnds_NonXtal_BW#'!$A:$Z,23,FALSE)+VLOOKUP($A145,A:AL,34,FALSE)-50),"-",(VLOOKUP($A145,'SegEnds_NonXtal_BW#'!$A:$Z,23,FALSE)+VLOOKUP($A145,A:AL,34,FALSE)-50))</f>
        <v>296</v>
      </c>
      <c r="AH145" s="3">
        <v>314</v>
      </c>
      <c r="AI145" s="3">
        <f>IF(ISERROR((VLOOKUP($A145,'SegEnds_NonXtal_BW#'!$A:$Z,24,FALSE)+VLOOKUP($A145,A:AL,34,FALSE)-50)),"-",(VLOOKUP($A145,'SegEnds_NonXtal_BW#'!$A:$Z,24,FALSE)+VLOOKUP($A145,A:AL,34,FALSE)-50))</f>
        <v>320</v>
      </c>
      <c r="AJ145" s="3">
        <f>IF(ISERROR(VLOOKUP($A145,'SegEnds_NonXtal_BW#'!$A:$Z,25,FALSE)+VLOOKUP($A145,A:AL,37,FALSE)-50),"-",(VLOOKUP($A145,'SegEnds_NonXtal_BW#'!$A:$Z,25,FALSE)+VLOOKUP($A145,A:AL,37,FALSE)-50))</f>
        <v>321</v>
      </c>
      <c r="AK145" s="3">
        <v>324</v>
      </c>
      <c r="AL145" s="3">
        <f>IF(ISERROR((VLOOKUP($A145,'SegEnds_NonXtal_BW#'!$A:$Z,26,FALSE)+VLOOKUP($A145,A:AL,37,FALSE)-50)),"-",(VLOOKUP($A145,'SegEnds_NonXtal_BW#'!$A:$Z,26,FALSE)+VLOOKUP($A145,A:AL,37,FALSE)-50))</f>
        <v>332</v>
      </c>
      <c r="AM145" s="28" t="str">
        <f>VLOOKUP(A145,Classification!A:B,2,FALSE)</f>
        <v>A</v>
      </c>
      <c r="AN145" s="28" t="b">
        <f>AND(IF(Y145="-",IF(AA145-W145&gt;3,TRUE,FALSE),TRUE),IF(M145="-",IF(O145-K145&gt;3,TRUE,FALSE),TRUE),C145&lt;E145,OR(E145&lt;F145,F145="-"),OR(F145&lt;H145,F145="-"),OR(H145&lt;I145,H145="-"),I145&lt;K145,OR(K145&lt;L145,L145="-"),OR(L145&lt;N145,L145="-"),OR(N145&lt;O145,N145="-"),O145&lt;Q145,OR(Q145&lt;R145,R145="-"),OR(R145&lt;T145,R145="-"),OR(T145&lt;U145,T145="-"),U145&lt;W145,OR(W145&lt;X145,X145="-"),OR(X145&lt;Z145,X145="-"),OR(Z145&lt;AA145,Z145="-"),AA145&lt;AC145,AC145&lt;AD145,AD145&lt;AF145,AF145&lt;AG145,AG145&lt;AI145,OR(AI145&lt;AJ145,AJ145="-"),OR(AJ145&lt;AL145,AJ145="-"))</f>
        <v>1</v>
      </c>
      <c r="AO145" s="3" t="str">
        <f>IF(ISERROR(MATCH(A145,'SegEnds_Xtal_Prot#'!B:B, 0)), "NoXtal", "Xtal")</f>
        <v>NoXtal</v>
      </c>
      <c r="AP145" s="3">
        <f>IF(ISERROR(F145-E145),"-",F145-E145)</f>
        <v>1</v>
      </c>
      <c r="AQ145" s="3">
        <f>IF(ISERROR(I145-H145),"-",I145-H145)</f>
        <v>1</v>
      </c>
      <c r="AR145" s="3" t="str">
        <f>IF(ISERROR(L145-K145),"-",L145-K145)</f>
        <v>-</v>
      </c>
      <c r="AS145" s="3" t="str">
        <f>IF(ISERROR(O145-N145),"-",O145-N145)</f>
        <v>-</v>
      </c>
      <c r="AT145" s="3">
        <f>IF(ISERROR(R145-Q145),"-",R145-Q145)</f>
        <v>1</v>
      </c>
      <c r="AU145" s="3">
        <f>IF(ISERROR(U145-T145),"-",U145-T145)</f>
        <v>1</v>
      </c>
      <c r="AV145" s="3">
        <f>IF(ISERROR(X145-W145),"-",X145-W145)</f>
        <v>13</v>
      </c>
      <c r="AW145" s="3">
        <f>IF(ISERROR(AA145-Z145),"-",AA145-Z145)</f>
        <v>4</v>
      </c>
      <c r="AX145" s="3">
        <f>IF(ISERROR(AD145-AC145),"-",AD145-AC145)</f>
        <v>13</v>
      </c>
      <c r="AY145" s="3">
        <f>IF(ISERROR(AG145-AF145),"-",AG145-AF145)</f>
        <v>5</v>
      </c>
      <c r="AZ145" s="3">
        <f>IF(ISERROR(AJ145-AI145),"-",AJ145-AI145)</f>
        <v>1</v>
      </c>
      <c r="BA145" s="3">
        <f>IF(ISERROR(LEN(VLOOKUP(A145,Seqs!A:E,2,FALSE))-AL145),"-",LEN(VLOOKUP(A145,Seqs!A:E,2,FALSE))-AL145)</f>
        <v>29</v>
      </c>
      <c r="BB145" s="16">
        <f>J145-D145</f>
        <v>29</v>
      </c>
      <c r="BC145" s="9">
        <f>IF(ISERROR(V145-S145),"-",V145-S145)</f>
        <v>20</v>
      </c>
      <c r="BD145" s="3">
        <f>J145-D145</f>
        <v>29</v>
      </c>
      <c r="BE145" s="3">
        <f>AE145-AB145</f>
        <v>66</v>
      </c>
      <c r="BF145" s="3">
        <f>AH145-AE145</f>
        <v>34</v>
      </c>
    </row>
    <row r="146" spans="1:58" s="3" customFormat="1" x14ac:dyDescent="0.2">
      <c r="A146" s="3" t="s">
        <v>261</v>
      </c>
      <c r="B146" s="3" t="str">
        <f>LOWER(VLOOKUP(A146,Xtal_Templ!A:B,2,FALSE))</f>
        <v>oprk_human</v>
      </c>
      <c r="C146" s="3">
        <f>VLOOKUP($A146,'SegEnds_NonXtal_BW#'!$A:$Z,3,FALSE)+D146-50</f>
        <v>18</v>
      </c>
      <c r="D146" s="3">
        <v>38</v>
      </c>
      <c r="E146" s="3">
        <f>IF(ISERROR(VLOOKUP($A146,'SegEnds_NonXtal_BW#'!$A:$Z,4,FALSE)+VLOOKUP($A146,A:AL,4,FALSE)-50),"-",(VLOOKUP($A146,'SegEnds_NonXtal_BW#'!$A:$Z,4,FALSE)+VLOOKUP($A146,A:AL,4,FALSE)-50))</f>
        <v>48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57</v>
      </c>
      <c r="J146" s="3">
        <v>70</v>
      </c>
      <c r="K146" s="3">
        <f>VLOOKUP($A146,'SegEnds_NonXtal_BW#'!$A:$Z,8,FALSE)+VLOOKUP($A146,A:AL,10,FALSE)-50</f>
        <v>86</v>
      </c>
      <c r="L146" s="3" t="str">
        <f>IF(ISERROR(VLOOKUP($A146,'SegEnds_NonXtal_BW#'!$A:$Z,9,FALSE)+VLOOKUP($A146,A:AL,13,FALSE)-50),"-",(VLOOKUP($A146,'SegEnds_NonXtal_BW#'!$A:$Z,9,FALSE)+VLOOKUP($A146,A:AL,13,FALSE)-50))</f>
        <v>-</v>
      </c>
      <c r="M146" s="3" t="s">
        <v>23</v>
      </c>
      <c r="N146" s="3" t="str">
        <f>IF(ISERROR(VLOOKUP($A146,'SegEnds_NonXtal_BW#'!$A:$Z,10,FALSE)+VLOOKUP($A146,A:AL,13,FALSE)-50),"-",(VLOOKUP($A146,'SegEnds_NonXtal_BW#'!$A:$Z,10,FALSE)+VLOOKUP($A146,A:AL,13,FALSE)-50))</f>
        <v>-</v>
      </c>
      <c r="O146" s="3">
        <f>VLOOKUP($A146,'SegEnds_NonXtal_BW#'!$A:$Z,11,FALSE)+VLOOKUP($A146,A:AL,16,FALSE)-50</f>
        <v>93</v>
      </c>
      <c r="P146" s="3">
        <v>119</v>
      </c>
      <c r="Q146" s="3">
        <f>VLOOKUP($A146,'SegEnds_NonXtal_BW#'!$A:$Z,12,FALSE)+VLOOKUP($A146,A:AL,16,FALSE)-50</f>
        <v>125</v>
      </c>
      <c r="R146" s="3">
        <f>IF(ISERROR(VLOOKUP($A146,'SegEnds_NonXtal_BW#'!$A:$Z,13,FALSE)+VLOOKUP($A146,A:AL,19,FALSE)-50),"-",VLOOKUP($A146,'SegEnds_NonXtal_BW#'!$A:$Z,13,FALSE)+VLOOKUP($A146,A:AL,19,FALSE)-50)</f>
        <v>126</v>
      </c>
      <c r="S146" s="3">
        <v>126</v>
      </c>
      <c r="T146" s="103">
        <f>IF(ISERROR(VLOOKUP($A146,'SegEnds_NonXtal_BW#'!$A:$Z,14,FALSE)+VLOOKUP($A146,A:AL,19,FALSE)-50),"-",(VLOOKUP($A146,'SegEnds_NonXtal_BW#'!$A:$Z,14,FALSE)+VLOOKUP($A146,A:AL,19,FALSE)-50))</f>
        <v>133</v>
      </c>
      <c r="U146" s="9">
        <f>IF(ISERROR(VLOOKUP($A146,'SegEnds_NonXtal_BW#'!$A:$Z,15,FALSE)+VLOOKUP($A146,A:AL,22,FALSE)-50),"-",VLOOKUP($A146,'SegEnds_NonXtal_BW#'!$A:$Z,15,FALSE)+VLOOKUP($A146,A:AL,22,FALSE)-50)</f>
        <v>134</v>
      </c>
      <c r="V146" s="3">
        <v>146</v>
      </c>
      <c r="W146" s="3">
        <f>IF(ISERROR(VLOOKUP($A146,'SegEnds_NonXtal_BW#'!$A:$Z,16,FALSE)+VLOOKUP($A146,A:AL,22,FALSE)-50),"-",(VLOOKUP($A146,'SegEnds_NonXtal_BW#'!$A:$Z,16,FALSE)+VLOOKUP($A146,A:AL,22,FALSE)-50))</f>
        <v>160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>Y146+2</f>
        <v>170</v>
      </c>
      <c r="AA146" s="3">
        <f>IF(ISERROR(VLOOKUP($A146,'SegEnds_NonXtal_BW#'!$A:$Z,19,FALSE)+VLOOKUP($A146,A:AL,28,FALSE)-50),"-",(VLOOKUP($A146,'SegEnds_NonXtal_BW#'!$A:$Z,19,FALSE)+VLOOKUP($A146,A:AL,28,FALSE)-50))</f>
        <v>174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211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241</v>
      </c>
      <c r="AF146" s="3">
        <f>IF(ISERROR((VLOOKUP($A146,'SegEnds_NonXtal_BW#'!$A:$Z,22,FALSE)+VLOOKUP($A146,A:AL,31,FALSE)-50)),"-",(VLOOKUP($A146,'SegEnds_NonXtal_BW#'!$A:$Z,22,FALSE)+VLOOKUP($A146,A:AL,31,FALSE)-50))</f>
        <v>255</v>
      </c>
      <c r="AG146" s="3">
        <f>IF(ISERROR(VLOOKUP($A146,'SegEnds_NonXtal_BW#'!$A:$Z,23,FALSE)+VLOOKUP($A146,A:AL,34,FALSE)-50),"-",(VLOOKUP($A146,'SegEnds_NonXtal_BW#'!$A:$Z,23,FALSE)+VLOOKUP($A146,A:AL,34,FALSE)-50))</f>
        <v>259</v>
      </c>
      <c r="AH146" s="3">
        <v>285</v>
      </c>
      <c r="AI146" s="3">
        <f>IF(ISERROR((VLOOKUP($A146,'SegEnds_NonXtal_BW#'!$A:$Z,24,FALSE)+VLOOKUP($A146,A:AL,34,FALSE)-50)),"-",(VLOOKUP($A146,'SegEnds_NonXtal_BW#'!$A:$Z,24,FALSE)+VLOOKUP($A146,A:AL,34,FALSE)-50))</f>
        <v>291</v>
      </c>
      <c r="AJ146" s="3">
        <f>IF(ISERROR(VLOOKUP($A146,'SegEnds_NonXtal_BW#'!$A:$Z,25,FALSE)+VLOOKUP($A146,A:AL,37,FALSE)-50),"-",(VLOOKUP($A146,'SegEnds_NonXtal_BW#'!$A:$Z,25,FALSE)+VLOOKUP($A146,A:AL,37,FALSE)-50))</f>
        <v>292</v>
      </c>
      <c r="AK146" s="3">
        <v>295</v>
      </c>
      <c r="AL146" s="3">
        <f>IF(ISERROR((VLOOKUP($A146,'SegEnds_NonXtal_BW#'!$A:$Z,26,FALSE)+VLOOKUP($A146,A:AL,37,FALSE)-50)),"-",(VLOOKUP($A146,'SegEnds_NonXtal_BW#'!$A:$Z,26,FALSE)+VLOOKUP($A146,A:AL,37,FALSE)-50))</f>
        <v>304</v>
      </c>
      <c r="AM146" s="28" t="str">
        <f>VLOOKUP(A146,Classification!A:B,2,FALSE)</f>
        <v>A</v>
      </c>
      <c r="AN146" s="28" t="b">
        <f>AND(IF(Y146="-",IF(AA146-W146&gt;3,TRUE,FALSE),TRUE),IF(M146="-",IF(O146-K146&gt;3,TRUE,FALSE),TRUE),C146&lt;E146,OR(E146&lt;F146,F146="-"),OR(F146&lt;H146,F146="-"),OR(H146&lt;I146,H146="-"),I146&lt;K146,OR(K146&lt;L146,L146="-"),OR(L146&lt;N146,L146="-"),OR(N146&lt;O146,N146="-"),O146&lt;Q146,OR(Q146&lt;R146,R146="-"),OR(R146&lt;T146,R146="-"),OR(T146&lt;U146,T146="-"),U146&lt;W146,OR(W146&lt;X146,X146="-"),OR(X146&lt;Z146,X146="-"),OR(Z146&lt;AA146,Z146="-"),AA146&lt;AC146,AC146&lt;AD146,AD146&lt;AF146,AF146&lt;AG146,AG146&lt;AI146,OR(AI146&lt;AJ146,AJ146="-"),OR(AJ146&lt;AL146,AJ146="-"))</f>
        <v>1</v>
      </c>
      <c r="AO146" s="3" t="str">
        <f>IF(ISERROR(MATCH(A146,'SegEnds_Xtal_Prot#'!B:B, 0)), "NoXtal", "Xtal")</f>
        <v>NoXtal</v>
      </c>
      <c r="AP146" s="3" t="str">
        <f>IF(ISERROR(F146-E146),"-",F146-E146)</f>
        <v>-</v>
      </c>
      <c r="AQ146" s="3" t="str">
        <f>IF(ISERROR(I146-H146),"-",I146-H146)</f>
        <v>-</v>
      </c>
      <c r="AR146" s="3" t="str">
        <f>IF(ISERROR(L146-K146),"-",L146-K146)</f>
        <v>-</v>
      </c>
      <c r="AS146" s="3" t="str">
        <f>IF(ISERROR(O146-N146),"-",O146-N146)</f>
        <v>-</v>
      </c>
      <c r="AT146" s="3">
        <f>IF(ISERROR(R146-Q146),"-",R146-Q146)</f>
        <v>1</v>
      </c>
      <c r="AU146" s="3">
        <f>IF(ISERROR(U146-T146),"-",U146-T146)</f>
        <v>1</v>
      </c>
      <c r="AV146" s="3">
        <f>IF(ISERROR(X146-W146),"-",X146-W146)</f>
        <v>8</v>
      </c>
      <c r="AW146" s="3">
        <f>IF(ISERROR(AA146-Z146),"-",AA146-Z146)</f>
        <v>4</v>
      </c>
      <c r="AX146" s="3">
        <f>IF(ISERROR(AD146-AC146),"-",AD146-AC146)</f>
        <v>4</v>
      </c>
      <c r="AY146" s="3">
        <f>IF(ISERROR(AG146-AF146),"-",AG146-AF146)</f>
        <v>4</v>
      </c>
      <c r="AZ146" s="3">
        <f>IF(ISERROR(AJ146-AI146),"-",AJ146-AI146)</f>
        <v>1</v>
      </c>
      <c r="BA146" s="3">
        <f>IF(ISERROR(LEN(VLOOKUP(A146,Seqs!A:E,2,FALSE))-AL146),"-",LEN(VLOOKUP(A146,Seqs!A:E,2,FALSE))-AL146)</f>
        <v>15</v>
      </c>
      <c r="BB146" s="16">
        <f>J146-D146</f>
        <v>32</v>
      </c>
      <c r="BC146" s="9">
        <f>IF(ISERROR(V146-S146),"-",V146-S146)</f>
        <v>20</v>
      </c>
      <c r="BD146" s="3">
        <f>J146-D146</f>
        <v>32</v>
      </c>
      <c r="BE146" s="3">
        <f>AE146-AB146</f>
        <v>48</v>
      </c>
      <c r="BF146" s="3">
        <f>AH146-AE146</f>
        <v>44</v>
      </c>
    </row>
    <row r="147" spans="1:58" s="3" customFormat="1" x14ac:dyDescent="0.2">
      <c r="A147" s="3" t="s">
        <v>262</v>
      </c>
      <c r="B147" s="3" t="str">
        <f>LOWER(VLOOKUP(A147,Xtal_Templ!A:B,2,FALSE))</f>
        <v>s1pr1_human</v>
      </c>
      <c r="C147" s="3">
        <f>VLOOKUP($A147,'SegEnds_NonXtal_BW#'!$A:$Z,3,FALSE)+D147-50</f>
        <v>69</v>
      </c>
      <c r="D147" s="3">
        <v>90</v>
      </c>
      <c r="E147" s="3">
        <f>IF(ISERROR(VLOOKUP($A147,'SegEnds_NonXtal_BW#'!$A:$Z,4,FALSE)+VLOOKUP($A147,A:AL,4,FALSE)-50),"-",(VLOOKUP($A147,'SegEnds_NonXtal_BW#'!$A:$Z,4,FALSE)+VLOOKUP($A147,A:AL,4,FALSE)-50))</f>
        <v>100</v>
      </c>
      <c r="F147" s="3">
        <f>G147-2</f>
        <v>101</v>
      </c>
      <c r="G147" s="3">
        <v>103</v>
      </c>
      <c r="H147" s="3">
        <f>G147+1</f>
        <v>104</v>
      </c>
      <c r="I147" s="3">
        <f>H147+1</f>
        <v>105</v>
      </c>
      <c r="J147" s="3">
        <v>118</v>
      </c>
      <c r="K147" s="3">
        <f>VLOOKUP($A147,'SegEnds_NonXtal_BW#'!$A:$Z,8,FALSE)+VLOOKUP($A147,A:AL,10,FALSE)-50</f>
        <v>130</v>
      </c>
      <c r="L147" s="3">
        <f>M147-1</f>
        <v>132</v>
      </c>
      <c r="M147" s="3">
        <v>133</v>
      </c>
      <c r="N147" s="3">
        <f>M147+2</f>
        <v>135</v>
      </c>
      <c r="O147" s="3">
        <f>N147+1</f>
        <v>136</v>
      </c>
      <c r="P147" s="3">
        <v>166</v>
      </c>
      <c r="Q147" s="3">
        <f>VLOOKUP($A147,'SegEnds_NonXtal_BW#'!$A:$Z,12,FALSE)+VLOOKUP($A147,A:AL,16,FALSE)-50</f>
        <v>172</v>
      </c>
      <c r="R147" s="3">
        <f>S147</f>
        <v>173</v>
      </c>
      <c r="S147" s="3">
        <v>173</v>
      </c>
      <c r="T147" s="103">
        <f>S147+7</f>
        <v>180</v>
      </c>
      <c r="U147" s="9">
        <f>IF(ISERROR(VLOOKUP($A147,'SegEnds_NonXtal_BW#'!$A:$Z,15,FALSE)+VLOOKUP($A147,A:AL,22,FALSE)-50),"-",VLOOKUP($A147,'SegEnds_NonXtal_BW#'!$A:$Z,15,FALSE)+VLOOKUP($A147,A:AL,22,FALSE)-50)</f>
        <v>181</v>
      </c>
      <c r="V147" s="3">
        <v>193</v>
      </c>
      <c r="W147" s="3">
        <f>IF(ISERROR(VLOOKUP($A147,'SegEnds_NonXtal_BW#'!$A:$Z,16,FALSE)+VLOOKUP($A147,A:AL,22,FALSE)-50),"-",(VLOOKUP($A147,'SegEnds_NonXtal_BW#'!$A:$Z,16,FALSE)+VLOOKUP($A147,A:AL,22,FALSE)-50))</f>
        <v>206</v>
      </c>
      <c r="X147" s="3" t="str">
        <f>IF(ISERROR(VLOOKUP($A147,'SegEnds_NonXtal_BW#'!$A:$Z,17,FALSE)+VLOOKUP($A147,A:AL,25,FALSE)-50),"-",(VLOOKUP($A147,'SegEnds_NonXtal_BW#'!$A:$Z,17,FALSE)+VLOOKUP($A147,A:AL,25,FALSE)-50))</f>
        <v>-</v>
      </c>
      <c r="Y147" s="3" t="s">
        <v>23</v>
      </c>
      <c r="Z147" s="3" t="str">
        <f>IF(ISERROR(VLOOKUP($A147,'SegEnds_NonXtal_BW#'!$A:$Z,18,FALSE)+VLOOKUP($A147,A:AL,25,FALSE)-50),"-",(VLOOKUP($A147,'SegEnds_NonXtal_BW#'!$A:$Z,18,FALSE)+VLOOKUP($A147,A:AL,25,FALSE)-50))</f>
        <v>-</v>
      </c>
      <c r="AA147" s="3">
        <f>IF(ISERROR(VLOOKUP($A147,'SegEnds_NonXtal_BW#'!$A:$Z,19,FALSE)+VLOOKUP($A147,A:AL,28,FALSE)-50),"-",(VLOOKUP($A147,'SegEnds_NonXtal_BW#'!$A:$Z,19,FALSE)+VLOOKUP($A147,A:AL,28,FALSE)-50))</f>
        <v>223</v>
      </c>
      <c r="AB147" s="3">
        <v>237</v>
      </c>
      <c r="AC147" s="3">
        <f>IF(ISERROR((VLOOKUP($A147,'SegEnds_NonXtal_BW#'!$A:$Z,20,FALSE)+VLOOKUP($A147,A:AL,28,FALSE)-50)),"-",(VLOOKUP($A147,'SegEnds_NonXtal_BW#'!$A:$Z,20,FALSE)+VLOOKUP($A147,A:AL,28,FALSE)-50))</f>
        <v>259</v>
      </c>
      <c r="AD147" s="3">
        <f>IF(ISERROR(VLOOKUP($A147,'SegEnds_NonXtal_BW#'!$A:$Z,21,FALSE)+VLOOKUP($A147,A:AL,31,FALSE)-50),"-",(VLOOKUP($A147,'SegEnds_NonXtal_BW#'!$A:$Z,21,FALSE)+VLOOKUP($A147,A:AL,31,FALSE)-50))</f>
        <v>268</v>
      </c>
      <c r="AE147" s="3">
        <v>294</v>
      </c>
      <c r="AF147" s="3">
        <f>IF(ISERROR((VLOOKUP($A147,'SegEnds_NonXtal_BW#'!$A:$Z,22,FALSE)+VLOOKUP($A147,A:AL,31,FALSE)-50)),"-",(VLOOKUP($A147,'SegEnds_NonXtal_BW#'!$A:$Z,22,FALSE)+VLOOKUP($A147,A:AL,31,FALSE)-50))</f>
        <v>305</v>
      </c>
      <c r="AG147" s="3">
        <f>IF(ISERROR(VLOOKUP($A147,'SegEnds_NonXtal_BW#'!$A:$Z,23,FALSE)+VLOOKUP($A147,A:AL,34,FALSE)-50),"-",(VLOOKUP($A147,'SegEnds_NonXtal_BW#'!$A:$Z,23,FALSE)+VLOOKUP($A147,A:AL,34,FALSE)-50))</f>
        <v>310</v>
      </c>
      <c r="AH147" s="3">
        <v>326</v>
      </c>
      <c r="AI147" s="3">
        <f>IF(ISERROR((VLOOKUP($A147,'SegEnds_NonXtal_BW#'!$A:$Z,24,FALSE)+VLOOKUP($A147,A:AL,34,FALSE)-50)),"-",(VLOOKUP($A147,'SegEnds_NonXtal_BW#'!$A:$Z,24,FALSE)+VLOOKUP($A147,A:AL,34,FALSE)-50))</f>
        <v>332</v>
      </c>
      <c r="AJ147" s="3">
        <f>IF(ISERROR(VLOOKUP($A147,'SegEnds_NonXtal_BW#'!$A:$Z,25,FALSE)+VLOOKUP($A147,A:AL,37,FALSE)-50),"-",(VLOOKUP($A147,'SegEnds_NonXtal_BW#'!$A:$Z,25,FALSE)+VLOOKUP($A147,A:AL,37,FALSE)-50))</f>
        <v>333</v>
      </c>
      <c r="AK147" s="3">
        <v>336</v>
      </c>
      <c r="AL147" s="3">
        <f>IF(ISERROR((VLOOKUP($A147,'SegEnds_NonXtal_BW#'!$A:$Z,26,FALSE)+VLOOKUP($A147,A:AL,37,FALSE)-50)),"-",(VLOOKUP($A147,'SegEnds_NonXtal_BW#'!$A:$Z,26,FALSE)+VLOOKUP($A147,A:AL,37,FALSE)-50))</f>
        <v>345</v>
      </c>
      <c r="AM147" s="28" t="str">
        <f>VLOOKUP(A147,Classification!A:B,2,FALSE)</f>
        <v>A</v>
      </c>
      <c r="AN147" s="28" t="b">
        <f>AND(IF(Y147="-",IF(AA147-W147&gt;3,TRUE,FALSE),TRUE),IF(M147="-",IF(O147-K147&gt;3,TRUE,FALSE),TRUE),C147&lt;E147,OR(E147&lt;F147,F147="-"),OR(F147&lt;H147,F147="-"),OR(H147&lt;I147,H147="-"),I147&lt;K147,OR(K147&lt;L147,L147="-"),OR(L147&lt;N147,L147="-"),OR(N147&lt;O147,N147="-"),O147&lt;Q147,OR(Q147&lt;R147,R147="-"),OR(R147&lt;T147,R147="-"),OR(T147&lt;U147,T147="-"),U147&lt;W147,OR(W147&lt;X147,X147="-"),OR(X147&lt;Z147,X147="-"),OR(Z147&lt;AA147,Z147="-"),AA147&lt;AC147,AC147&lt;AD147,AD147&lt;AF147,AF147&lt;AG147,AG147&lt;AI147,OR(AI147&lt;AJ147,AJ147="-"),OR(AJ147&lt;AL147,AJ147="-"))</f>
        <v>1</v>
      </c>
      <c r="AO147" s="3" t="str">
        <f>IF(ISERROR(MATCH(A147,'SegEnds_Xtal_Prot#'!B:B, 0)), "NoXtal", "Xtal")</f>
        <v>NoXtal</v>
      </c>
      <c r="AP147" s="3">
        <f>IF(ISERROR(F147-E147),"-",F147-E147)</f>
        <v>1</v>
      </c>
      <c r="AQ147" s="3">
        <f>IF(ISERROR(I147-H147),"-",I147-H147)</f>
        <v>1</v>
      </c>
      <c r="AR147" s="3">
        <f>IF(ISERROR(L147-K147),"-",L147-K147)</f>
        <v>2</v>
      </c>
      <c r="AS147" s="3">
        <f>IF(ISERROR(O147-N147),"-",O147-N147)</f>
        <v>1</v>
      </c>
      <c r="AT147" s="3">
        <f>IF(ISERROR(R147-Q147),"-",R147-Q147)</f>
        <v>1</v>
      </c>
      <c r="AU147" s="3">
        <f>IF(ISERROR(U147-T147),"-",U147-T147)</f>
        <v>1</v>
      </c>
      <c r="AV147" s="3" t="str">
        <f>IF(ISERROR(X147-W147),"-",X147-W147)</f>
        <v>-</v>
      </c>
      <c r="AW147" s="3" t="str">
        <f>IF(ISERROR(AA147-Z147),"-",AA147-Z147)</f>
        <v>-</v>
      </c>
      <c r="AX147" s="3">
        <f>IF(ISERROR(AD147-AC147),"-",AD147-AC147)</f>
        <v>9</v>
      </c>
      <c r="AY147" s="3">
        <f>IF(ISERROR(AG147-AF147),"-",AG147-AF147)</f>
        <v>5</v>
      </c>
      <c r="AZ147" s="3">
        <f>IF(ISERROR(AJ147-AI147),"-",AJ147-AI147)</f>
        <v>1</v>
      </c>
      <c r="BA147" s="3">
        <f>IF(ISERROR(LEN(VLOOKUP(A147,Seqs!A:E,2,FALSE))-AL147),"-",LEN(VLOOKUP(A147,Seqs!A:E,2,FALSE))-AL147)</f>
        <v>17</v>
      </c>
      <c r="BB147" s="16">
        <f>J147-D147</f>
        <v>28</v>
      </c>
      <c r="BC147" s="9">
        <f>IF(ISERROR(V147-S147),"-",V147-S147)</f>
        <v>20</v>
      </c>
      <c r="BD147" s="3">
        <f>J147-D147</f>
        <v>28</v>
      </c>
      <c r="BE147" s="3">
        <f>AE147-AB147</f>
        <v>57</v>
      </c>
      <c r="BF147" s="3">
        <f>AH147-AE147</f>
        <v>32</v>
      </c>
    </row>
    <row r="148" spans="1:58" s="3" customFormat="1" x14ac:dyDescent="0.2">
      <c r="A148" s="3" t="s">
        <v>263</v>
      </c>
      <c r="B148" s="3" t="str">
        <f>LOWER(VLOOKUP(A148,Xtal_Templ!A:B,2,FALSE))</f>
        <v>ox2r_human</v>
      </c>
      <c r="C148" s="3">
        <f>VLOOKUP($A148,'SegEnds_NonXtal_BW#'!$A:$Z,3,FALSE)+D148-50</f>
        <v>41</v>
      </c>
      <c r="D148" s="3">
        <v>60</v>
      </c>
      <c r="E148" s="3">
        <f>IF(ISERROR(VLOOKUP($A148,'SegEnds_NonXtal_BW#'!$A:$Z,4,FALSE)+VLOOKUP($A148,A:AL,4,FALSE)-50),"-",(VLOOKUP($A148,'SegEnds_NonXtal_BW#'!$A:$Z,4,FALSE)+VLOOKUP($A148,A:AL,4,FALSE)-50))</f>
        <v>70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73</v>
      </c>
      <c r="J148" s="3">
        <v>86</v>
      </c>
      <c r="K148" s="3">
        <f>VLOOKUP($A148,'SegEnds_NonXtal_BW#'!$A:$Z,8,FALSE)+VLOOKUP($A148,A:AL,10,FALSE)-50</f>
        <v>103</v>
      </c>
      <c r="L148" s="3">
        <f>M148-1</f>
        <v>106</v>
      </c>
      <c r="M148" s="3">
        <v>107</v>
      </c>
      <c r="N148" s="3">
        <f>M148+2</f>
        <v>109</v>
      </c>
      <c r="O148" s="3">
        <f>N148+1</f>
        <v>110</v>
      </c>
      <c r="P148" s="3">
        <v>140</v>
      </c>
      <c r="Q148" s="3">
        <f>VLOOKUP($A148,'SegEnds_NonXtal_BW#'!$A:$Z,12,FALSE)+VLOOKUP($A148,A:AL,16,FALSE)-50</f>
        <v>146</v>
      </c>
      <c r="R148" s="3">
        <f>IF(ISERROR(VLOOKUP($A148,'SegEnds_NonXtal_BW#'!$A:$Z,13,FALSE)+VLOOKUP($A148,A:AL,19,FALSE)-50),"-",VLOOKUP($A148,'SegEnds_NonXtal_BW#'!$A:$Z,13,FALSE)+VLOOKUP($A148,A:AL,19,FALSE)-50)</f>
        <v>147</v>
      </c>
      <c r="S148" s="3">
        <v>147</v>
      </c>
      <c r="T148" s="103">
        <f>IF(ISERROR(VLOOKUP($A148,'SegEnds_NonXtal_BW#'!$A:$Z,14,FALSE)+VLOOKUP($A148,A:AL,19,FALSE)-50),"-",(VLOOKUP($A148,'SegEnds_NonXtal_BW#'!$A:$Z,14,FALSE)+VLOOKUP($A148,A:AL,19,FALSE)-50))</f>
        <v>154</v>
      </c>
      <c r="U148" s="9">
        <f>IF(ISERROR(VLOOKUP($A148,'SegEnds_NonXtal_BW#'!$A:$Z,15,FALSE)+VLOOKUP($A148,A:AL,22,FALSE)-50),"-",VLOOKUP($A148,'SegEnds_NonXtal_BW#'!$A:$Z,15,FALSE)+VLOOKUP($A148,A:AL,22,FALSE)-50)</f>
        <v>155</v>
      </c>
      <c r="V148" s="3">
        <v>167</v>
      </c>
      <c r="W148" s="3">
        <f>IF(ISERROR(VLOOKUP($A148,'SegEnds_NonXtal_BW#'!$A:$Z,16,FALSE)+VLOOKUP($A148,A:AL,22,FALSE)-50),"-",(VLOOKUP($A148,'SegEnds_NonXtal_BW#'!$A:$Z,16,FALSE)+VLOOKUP($A148,A:AL,22,FALSE)-50))</f>
        <v>181</v>
      </c>
      <c r="X148" s="3">
        <f>IF(ISERROR(VLOOKUP($A148,'SegEnds_NonXtal_BW#'!$A:$Z,17,FALSE)+VLOOKUP($A148,A:AL,25,FALSE)-50),"-",(VLOOKUP($A148,'SegEnds_NonXtal_BW#'!$A:$Z,17,FALSE)+VLOOKUP($A148,A:AL,25,FALSE)-50))</f>
        <v>195</v>
      </c>
      <c r="Y148" s="3">
        <v>195</v>
      </c>
      <c r="Z148" s="3">
        <f>Y148+2</f>
        <v>197</v>
      </c>
      <c r="AA148" s="3">
        <f>IF(ISERROR(VLOOKUP($A148,'SegEnds_NonXtal_BW#'!$A:$Z,19,FALSE)+VLOOKUP($A148,A:AL,28,FALSE)-50),"-",(VLOOKUP($A148,'SegEnds_NonXtal_BW#'!$A:$Z,19,FALSE)+VLOOKUP($A148,A:AL,28,FALSE)-50))</f>
        <v>205</v>
      </c>
      <c r="AB148" s="3">
        <v>220</v>
      </c>
      <c r="AC148" s="3">
        <f>IF(ISERROR((VLOOKUP($A148,'SegEnds_NonXtal_BW#'!$A:$Z,20,FALSE)+VLOOKUP($A148,A:AL,28,FALSE)-50)),"-",(VLOOKUP($A148,'SegEnds_NonXtal_BW#'!$A:$Z,20,FALSE)+VLOOKUP($A148,A:AL,28,FALSE)-50))</f>
        <v>246</v>
      </c>
      <c r="AD148" s="3">
        <f>IF(ISERROR(VLOOKUP($A148,'SegEnds_NonXtal_BW#'!$A:$Z,21,FALSE)+VLOOKUP($A148,A:AL,31,FALSE)-50),"-",(VLOOKUP($A148,'SegEnds_NonXtal_BW#'!$A:$Z,21,FALSE)+VLOOKUP($A148,A:AL,31,FALSE)-50))</f>
        <v>276</v>
      </c>
      <c r="AE148" s="3">
        <v>302</v>
      </c>
      <c r="AF148" s="3">
        <f>IF(ISERROR((VLOOKUP($A148,'SegEnds_NonXtal_BW#'!$A:$Z,22,FALSE)+VLOOKUP($A148,A:AL,31,FALSE)-50)),"-",(VLOOKUP($A148,'SegEnds_NonXtal_BW#'!$A:$Z,22,FALSE)+VLOOKUP($A148,A:AL,31,FALSE)-50))</f>
        <v>313</v>
      </c>
      <c r="AG148" s="3">
        <f>IF(ISERROR(VLOOKUP($A148,'SegEnds_NonXtal_BW#'!$A:$Z,23,FALSE)+VLOOKUP($A148,A:AL,34,FALSE)-50),"-",(VLOOKUP($A148,'SegEnds_NonXtal_BW#'!$A:$Z,23,FALSE)+VLOOKUP($A148,A:AL,34,FALSE)-50))</f>
        <v>319</v>
      </c>
      <c r="AH148" s="3">
        <v>338</v>
      </c>
      <c r="AI148" s="3">
        <f>IF(ISERROR((VLOOKUP($A148,'SegEnds_NonXtal_BW#'!$A:$Z,24,FALSE)+VLOOKUP($A148,A:AL,34,FALSE)-50)),"-",(VLOOKUP($A148,'SegEnds_NonXtal_BW#'!$A:$Z,24,FALSE)+VLOOKUP($A148,A:AL,34,FALSE)-50))</f>
        <v>344</v>
      </c>
      <c r="AJ148" s="3">
        <f>IF(ISERROR(VLOOKUP($A148,'SegEnds_NonXtal_BW#'!$A:$Z,25,FALSE)+VLOOKUP($A148,A:AL,37,FALSE)-50),"-",(VLOOKUP($A148,'SegEnds_NonXtal_BW#'!$A:$Z,25,FALSE)+VLOOKUP($A148,A:AL,37,FALSE)-50))</f>
        <v>345</v>
      </c>
      <c r="AK148" s="3">
        <v>348</v>
      </c>
      <c r="AL148" s="3">
        <f>IF(ISERROR((VLOOKUP($A148,'SegEnds_NonXtal_BW#'!$A:$Z,26,FALSE)+VLOOKUP($A148,A:AL,37,FALSE)-50)),"-",(VLOOKUP($A148,'SegEnds_NonXtal_BW#'!$A:$Z,26,FALSE)+VLOOKUP($A148,A:AL,37,FALSE)-50))</f>
        <v>356</v>
      </c>
      <c r="AM148" s="28" t="str">
        <f>VLOOKUP(A148,Classification!A:B,2,FALSE)</f>
        <v>A</v>
      </c>
      <c r="AN148" s="28" t="b">
        <f>AND(IF(Y148="-",IF(AA148-W148&gt;3,TRUE,FALSE),TRUE),IF(M148="-",IF(O148-K148&gt;3,TRUE,FALSE),TRUE),C148&lt;E148,OR(E148&lt;F148,F148="-"),OR(F148&lt;H148,F148="-"),OR(H148&lt;I148,H148="-"),I148&lt;K148,OR(K148&lt;L148,L148="-"),OR(L148&lt;N148,L148="-"),OR(N148&lt;O148,N148="-"),O148&lt;Q148,OR(Q148&lt;R148,R148="-"),OR(R148&lt;T148,R148="-"),OR(T148&lt;U148,T148="-"),U148&lt;W148,OR(W148&lt;X148,X148="-"),OR(X148&lt;Z148,X148="-"),OR(Z148&lt;AA148,Z148="-"),AA148&lt;AC148,AC148&lt;AD148,AD148&lt;AF148,AF148&lt;AG148,AG148&lt;AI148,OR(AI148&lt;AJ148,AJ148="-"),OR(AJ148&lt;AL148,AJ148="-"))</f>
        <v>1</v>
      </c>
      <c r="AO148" s="3" t="str">
        <f>IF(ISERROR(MATCH(A148,'SegEnds_Xtal_Prot#'!B:B, 0)), "NoXtal", "Xtal")</f>
        <v>NoXtal</v>
      </c>
      <c r="AP148" s="3" t="str">
        <f>IF(ISERROR(F148-E148),"-",F148-E148)</f>
        <v>-</v>
      </c>
      <c r="AQ148" s="3" t="str">
        <f>IF(ISERROR(I148-H148),"-",I148-H148)</f>
        <v>-</v>
      </c>
      <c r="AR148" s="3">
        <f>IF(ISERROR(L148-K148),"-",L148-K148)</f>
        <v>3</v>
      </c>
      <c r="AS148" s="3">
        <f>IF(ISERROR(O148-N148),"-",O148-N148)</f>
        <v>1</v>
      </c>
      <c r="AT148" s="3">
        <f>IF(ISERROR(R148-Q148),"-",R148-Q148)</f>
        <v>1</v>
      </c>
      <c r="AU148" s="3">
        <f>IF(ISERROR(U148-T148),"-",U148-T148)</f>
        <v>1</v>
      </c>
      <c r="AV148" s="3">
        <f>IF(ISERROR(X148-W148),"-",X148-W148)</f>
        <v>14</v>
      </c>
      <c r="AW148" s="3">
        <f>IF(ISERROR(AA148-Z148),"-",AA148-Z148)</f>
        <v>8</v>
      </c>
      <c r="AX148" s="3">
        <f>IF(ISERROR(AD148-AC148),"-",AD148-AC148)</f>
        <v>30</v>
      </c>
      <c r="AY148" s="3">
        <f>IF(ISERROR(AG148-AF148),"-",AG148-AF148)</f>
        <v>6</v>
      </c>
      <c r="AZ148" s="3">
        <f>IF(ISERROR(AJ148-AI148),"-",AJ148-AI148)</f>
        <v>1</v>
      </c>
      <c r="BA148" s="3">
        <f>IF(ISERROR(LEN(VLOOKUP(A148,Seqs!A:E,2,FALSE))-AL148),"-",LEN(VLOOKUP(A148,Seqs!A:E,2,FALSE))-AL148)</f>
        <v>95</v>
      </c>
      <c r="BB148" s="16">
        <f>J148-D148</f>
        <v>26</v>
      </c>
      <c r="BC148" s="9">
        <f>IF(ISERROR(V148-S148),"-",V148-S148)</f>
        <v>20</v>
      </c>
      <c r="BD148" s="3">
        <f>J148-D148</f>
        <v>26</v>
      </c>
      <c r="BE148" s="3">
        <f>AE148-AB148</f>
        <v>82</v>
      </c>
    </row>
    <row r="149" spans="1:58" s="3" customFormat="1" x14ac:dyDescent="0.2">
      <c r="A149" s="3" t="s">
        <v>267</v>
      </c>
      <c r="B149" s="3" t="str">
        <f>LOWER(VLOOKUP(A149,Xtal_Templ!A:B,2,FALSE))</f>
        <v>ox1r_human</v>
      </c>
      <c r="C149" s="3">
        <f>VLOOKUP($A149,'SegEnds_NonXtal_BW#'!$A:$Z,3,FALSE)+D149-50</f>
        <v>5</v>
      </c>
      <c r="D149" s="3">
        <v>23</v>
      </c>
      <c r="E149" s="3">
        <f>IF(ISERROR(VLOOKUP($A149,'SegEnds_NonXtal_BW#'!$A:$Z,4,FALSE)+VLOOKUP($A149,A:AL,4,FALSE)-50),"-",(VLOOKUP($A149,'SegEnds_NonXtal_BW#'!$A:$Z,4,FALSE)+VLOOKUP($A149,A:AL,4,FALSE)-50))</f>
        <v>33</v>
      </c>
      <c r="F149" s="3">
        <f>G149-2</f>
        <v>34</v>
      </c>
      <c r="G149" s="3">
        <v>36</v>
      </c>
      <c r="H149" s="3">
        <f>G149+1</f>
        <v>37</v>
      </c>
      <c r="I149" s="3">
        <f>H149+1</f>
        <v>38</v>
      </c>
      <c r="J149" s="3">
        <v>52</v>
      </c>
      <c r="K149" s="3">
        <f>VLOOKUP($A149,'SegEnds_NonXtal_BW#'!$A:$Z,8,FALSE)+VLOOKUP($A149,A:AL,10,FALSE)-50</f>
        <v>69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75</v>
      </c>
      <c r="P149" s="3">
        <v>104</v>
      </c>
      <c r="Q149" s="3">
        <f>VLOOKUP($A149,'SegEnds_NonXtal_BW#'!$A:$Z,12,FALSE)+VLOOKUP($A149,A:AL,16,FALSE)-50</f>
        <v>110</v>
      </c>
      <c r="R149" s="3">
        <f>IF(ISERROR(VLOOKUP($A149,'SegEnds_NonXtal_BW#'!$A:$Z,13,FALSE)+VLOOKUP($A149,A:AL,19,FALSE)-50),"-",VLOOKUP($A149,'SegEnds_NonXtal_BW#'!$A:$Z,13,FALSE)+VLOOKUP($A149,A:AL,19,FALSE)-50)</f>
        <v>111</v>
      </c>
      <c r="S149" s="3">
        <v>111</v>
      </c>
      <c r="T149" s="103">
        <f>IF(ISERROR(VLOOKUP($A149,'SegEnds_NonXtal_BW#'!$A:$Z,14,FALSE)+VLOOKUP($A149,A:AL,19,FALSE)-50),"-",(VLOOKUP($A149,'SegEnds_NonXtal_BW#'!$A:$Z,14,FALSE)+VLOOKUP($A149,A:AL,19,FALSE)-50))</f>
        <v>118</v>
      </c>
      <c r="U149" s="9">
        <f>IF(ISERROR(VLOOKUP($A149,'SegEnds_NonXtal_BW#'!$A:$Z,15,FALSE)+VLOOKUP($A149,A:AL,22,FALSE)-50),"-",VLOOKUP($A149,'SegEnds_NonXtal_BW#'!$A:$Z,15,FALSE)+VLOOKUP($A149,A:AL,22,FALSE)-50)</f>
        <v>119</v>
      </c>
      <c r="V149" s="3">
        <v>131</v>
      </c>
      <c r="W149" s="3">
        <f>IF(ISERROR(VLOOKUP($A149,'SegEnds_NonXtal_BW#'!$A:$Z,16,FALSE)+VLOOKUP($A149,A:AL,22,FALSE)-50),"-",(VLOOKUP($A149,'SegEnds_NonXtal_BW#'!$A:$Z,16,FALSE)+VLOOKUP($A149,A:AL,22,FALSE)-50))</f>
        <v>145</v>
      </c>
      <c r="X149" s="3">
        <f>IF(ISERROR(VLOOKUP($A149,'SegEnds_NonXtal_BW#'!$A:$Z,17,FALSE)+VLOOKUP($A149,A:AL,25,FALSE)-50),"-",(VLOOKUP($A149,'SegEnds_NonXtal_BW#'!$A:$Z,17,FALSE)+VLOOKUP($A149,A:AL,25,FALSE)-50))</f>
        <v>156</v>
      </c>
      <c r="Y149" s="3">
        <v>156</v>
      </c>
      <c r="Z149" s="3">
        <f>Y149+2</f>
        <v>158</v>
      </c>
      <c r="AA149" s="3">
        <f>IF(ISERROR(VLOOKUP($A149,'SegEnds_NonXtal_BW#'!$A:$Z,19,FALSE)+VLOOKUP($A149,A:AL,28,FALSE)-50),"-",(VLOOKUP($A149,'SegEnds_NonXtal_BW#'!$A:$Z,19,FALSE)+VLOOKUP($A149,A:AL,28,FALSE)-50))</f>
        <v>166</v>
      </c>
      <c r="AB149" s="3">
        <v>184</v>
      </c>
      <c r="AC149" s="3">
        <f>IF(ISERROR((VLOOKUP($A149,'SegEnds_NonXtal_BW#'!$A:$Z,20,FALSE)+VLOOKUP($A149,A:AL,28,FALSE)-50)),"-",(VLOOKUP($A149,'SegEnds_NonXtal_BW#'!$A:$Z,20,FALSE)+VLOOKUP($A149,A:AL,28,FALSE)-50))</f>
        <v>210</v>
      </c>
      <c r="AD149" s="3">
        <f>IF(ISERROR(VLOOKUP($A149,'SegEnds_NonXtal_BW#'!$A:$Z,21,FALSE)+VLOOKUP($A149,A:AL,31,FALSE)-50),"-",(VLOOKUP($A149,'SegEnds_NonXtal_BW#'!$A:$Z,21,FALSE)+VLOOKUP($A149,A:AL,31,FALSE)-50))</f>
        <v>230</v>
      </c>
      <c r="AE149" s="3">
        <v>256</v>
      </c>
      <c r="AF149" s="3">
        <f>IF(ISERROR((VLOOKUP($A149,'SegEnds_NonXtal_BW#'!$A:$Z,22,FALSE)+VLOOKUP($A149,A:AL,31,FALSE)-50)),"-",(VLOOKUP($A149,'SegEnds_NonXtal_BW#'!$A:$Z,22,FALSE)+VLOOKUP($A149,A:AL,31,FALSE)-50))</f>
        <v>267</v>
      </c>
      <c r="AG149" s="3">
        <f>IF(ISERROR(VLOOKUP($A149,'SegEnds_NonXtal_BW#'!$A:$Z,23,FALSE)+VLOOKUP($A149,A:AL,34,FALSE)-50),"-",(VLOOKUP($A149,'SegEnds_NonXtal_BW#'!$A:$Z,23,FALSE)+VLOOKUP($A149,A:AL,34,FALSE)-50))</f>
        <v>272</v>
      </c>
      <c r="AH149" s="3">
        <v>291</v>
      </c>
      <c r="AI149" s="3">
        <f>IF(ISERROR((VLOOKUP($A149,'SegEnds_NonXtal_BW#'!$A:$Z,24,FALSE)+VLOOKUP($A149,A:AL,34,FALSE)-50)),"-",(VLOOKUP($A149,'SegEnds_NonXtal_BW#'!$A:$Z,24,FALSE)+VLOOKUP($A149,A:AL,34,FALSE)-50))</f>
        <v>297</v>
      </c>
      <c r="AJ149" s="3">
        <f>IF(ISERROR(VLOOKUP($A149,'SegEnds_NonXtal_BW#'!$A:$Z,25,FALSE)+VLOOKUP($A149,A:AL,37,FALSE)-50),"-",(VLOOKUP($A149,'SegEnds_NonXtal_BW#'!$A:$Z,25,FALSE)+VLOOKUP($A149,A:AL,37,FALSE)-50))</f>
        <v>298</v>
      </c>
      <c r="AK149" s="3">
        <v>301</v>
      </c>
      <c r="AL149" s="3">
        <f>IF(ISERROR((VLOOKUP($A149,'SegEnds_NonXtal_BW#'!$A:$Z,26,FALSE)+VLOOKUP($A149,A:AL,37,FALSE)-50)),"-",(VLOOKUP($A149,'SegEnds_NonXtal_BW#'!$A:$Z,26,FALSE)+VLOOKUP($A149,A:AL,37,FALSE)-50))</f>
        <v>309</v>
      </c>
      <c r="AM149" s="28" t="str">
        <f>VLOOKUP(A149,Classification!A:B,2,FALSE)</f>
        <v>A</v>
      </c>
      <c r="AN149" s="28" t="b">
        <f>AND(IF(Y149="-",IF(AA149-W149&gt;3,TRUE,FALSE),TRUE),IF(M149="-",IF(O149-K149&gt;3,TRUE,FALSE),TRUE),C149&lt;E149,OR(E149&lt;F149,F149="-"),OR(F149&lt;H149,F149="-"),OR(H149&lt;I149,H149="-"),I149&lt;K149,OR(K149&lt;L149,L149="-"),OR(L149&lt;N149,L149="-"),OR(N149&lt;O149,N149="-"),O149&lt;Q149,OR(Q149&lt;R149,R149="-"),OR(R149&lt;T149,R149="-"),OR(T149&lt;U149,T149="-"),U149&lt;W149,OR(W149&lt;X149,X149="-"),OR(X149&lt;Z149,X149="-"),OR(Z149&lt;AA149,Z149="-"),AA149&lt;AC149,AC149&lt;AD149,AD149&lt;AF149,AF149&lt;AG149,AG149&lt;AI149,OR(AI149&lt;AJ149,AJ149="-"),OR(AJ149&lt;AL149,AJ149="-"))</f>
        <v>1</v>
      </c>
      <c r="AO149" s="3" t="str">
        <f>IF(ISERROR(MATCH(A149,'SegEnds_Xtal_Prot#'!B:B, 0)), "NoXtal", "Xtal")</f>
        <v>NoXtal</v>
      </c>
      <c r="AP149" s="3">
        <f>IF(ISERROR(F149-E149),"-",F149-E149)</f>
        <v>1</v>
      </c>
      <c r="AQ149" s="3">
        <f>IF(ISERROR(I149-H149),"-",I149-H149)</f>
        <v>1</v>
      </c>
      <c r="AR149" s="3" t="str">
        <f>IF(ISERROR(L149-K149),"-",L149-K149)</f>
        <v>-</v>
      </c>
      <c r="AS149" s="3" t="str">
        <f>IF(ISERROR(O149-N149),"-",O149-N149)</f>
        <v>-</v>
      </c>
      <c r="AT149" s="3">
        <f>IF(ISERROR(R149-Q149),"-",R149-Q149)</f>
        <v>1</v>
      </c>
      <c r="AU149" s="3">
        <f>IF(ISERROR(U149-T149),"-",U149-T149)</f>
        <v>1</v>
      </c>
      <c r="AV149" s="3">
        <f>IF(ISERROR(X149-W149),"-",X149-W149)</f>
        <v>11</v>
      </c>
      <c r="AW149" s="3">
        <f>IF(ISERROR(AA149-Z149),"-",AA149-Z149)</f>
        <v>8</v>
      </c>
      <c r="AX149" s="3">
        <f>IF(ISERROR(AD149-AC149),"-",AD149-AC149)</f>
        <v>20</v>
      </c>
      <c r="AY149" s="3">
        <f>IF(ISERROR(AG149-AF149),"-",AG149-AF149)</f>
        <v>5</v>
      </c>
      <c r="AZ149" s="3">
        <f>IF(ISERROR(AJ149-AI149),"-",AJ149-AI149)</f>
        <v>1</v>
      </c>
      <c r="BA149" s="3">
        <f>IF(ISERROR(LEN(VLOOKUP(A149,Seqs!A:E,2,FALSE))-AL149),"-",LEN(VLOOKUP(A149,Seqs!A:E,2,FALSE))-AL149)</f>
        <v>54</v>
      </c>
      <c r="BB149" s="16">
        <f>J149-D149</f>
        <v>29</v>
      </c>
      <c r="BC149" s="9">
        <f>IF(ISERROR(V149-S149),"-",V149-S149)</f>
        <v>20</v>
      </c>
      <c r="BD149" s="3">
        <f>J149-D149</f>
        <v>29</v>
      </c>
      <c r="BE149" s="3">
        <f>AE149-AB149</f>
        <v>72</v>
      </c>
    </row>
    <row r="150" spans="1:58" s="3" customFormat="1" x14ac:dyDescent="0.2">
      <c r="A150" s="3" t="s">
        <v>268</v>
      </c>
      <c r="B150" s="3" t="str">
        <f>LOWER(VLOOKUP(A150,Xtal_Templ!A:B,2,FALSE))</f>
        <v>oprm_mouse</v>
      </c>
      <c r="C150" s="3">
        <f>VLOOKUP($A150,'SegEnds_NonXtal_BW#'!$A:$Z,3,FALSE)+D150-50</f>
        <v>12</v>
      </c>
      <c r="D150" s="3">
        <v>33</v>
      </c>
      <c r="E150" s="3">
        <f>IF(ISERROR(VLOOKUP($A150,'SegEnds_NonXtal_BW#'!$A:$Z,4,FALSE)+VLOOKUP($A150,A:AL,4,FALSE)-50),"-",(VLOOKUP($A150,'SegEnds_NonXtal_BW#'!$A:$Z,4,FALSE)+VLOOKUP($A150,A:AL,4,FALSE)-50))</f>
        <v>43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48</v>
      </c>
      <c r="J150" s="3">
        <v>61</v>
      </c>
      <c r="K150" s="3">
        <f>VLOOKUP($A150,'SegEnds_NonXtal_BW#'!$A:$Z,8,FALSE)+VLOOKUP($A150,A:AL,10,FALSE)-50</f>
        <v>78</v>
      </c>
      <c r="L150" s="3">
        <f>M150-1</f>
        <v>80</v>
      </c>
      <c r="M150" s="3">
        <v>81</v>
      </c>
      <c r="N150" s="3">
        <f>M150+2</f>
        <v>83</v>
      </c>
      <c r="O150" s="3">
        <f>N150+1</f>
        <v>84</v>
      </c>
      <c r="P150" s="3">
        <v>117</v>
      </c>
      <c r="Q150" s="3">
        <f>VLOOKUP($A150,'SegEnds_NonXtal_BW#'!$A:$Z,12,FALSE)+VLOOKUP($A150,A:AL,16,FALSE)-50</f>
        <v>123</v>
      </c>
      <c r="R150" s="3">
        <f>IF(ISERROR(VLOOKUP($A150,'SegEnds_NonXtal_BW#'!$A:$Z,13,FALSE)+VLOOKUP($A150,A:AL,19,FALSE)-50),"-",VLOOKUP($A150,'SegEnds_NonXtal_BW#'!$A:$Z,13,FALSE)+VLOOKUP($A150,A:AL,19,FALSE)-50)</f>
        <v>140</v>
      </c>
      <c r="S150" s="3">
        <v>140</v>
      </c>
      <c r="T150" s="103">
        <f>IF(ISERROR(VLOOKUP($A150,'SegEnds_NonXtal_BW#'!$A:$Z,14,FALSE)+VLOOKUP($A150,A:AL,19,FALSE)-50),"-",(VLOOKUP($A150,'SegEnds_NonXtal_BW#'!$A:$Z,14,FALSE)+VLOOKUP($A150,A:AL,19,FALSE)-50))</f>
        <v>147</v>
      </c>
      <c r="U150" s="9">
        <f>IF(ISERROR(VLOOKUP($A150,'SegEnds_NonXtal_BW#'!$A:$Z,15,FALSE)+VLOOKUP($A150,A:AL,22,FALSE)-50),"-",VLOOKUP($A150,'SegEnds_NonXtal_BW#'!$A:$Z,15,FALSE)+VLOOKUP($A150,A:AL,22,FALSE)-50)</f>
        <v>148</v>
      </c>
      <c r="V150" s="3">
        <v>160</v>
      </c>
      <c r="W150" s="3">
        <f>IF(ISERROR(VLOOKUP($A150,'SegEnds_NonXtal_BW#'!$A:$Z,16,FALSE)+VLOOKUP($A150,A:AL,22,FALSE)-50),"-",(VLOOKUP($A150,'SegEnds_NonXtal_BW#'!$A:$Z,16,FALSE)+VLOOKUP($A150,A:AL,22,FALSE)-50))</f>
        <v>174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194</v>
      </c>
      <c r="AB150" s="3">
        <v>213</v>
      </c>
      <c r="AC150" s="3">
        <f>IF(ISERROR((VLOOKUP($A150,'SegEnds_NonXtal_BW#'!$A:$Z,20,FALSE)+VLOOKUP($A150,A:AL,28,FALSE)-50)),"-",(VLOOKUP($A150,'SegEnds_NonXtal_BW#'!$A:$Z,20,FALSE)+VLOOKUP($A150,A:AL,28,FALSE)-50))</f>
        <v>231</v>
      </c>
      <c r="AD150" s="3">
        <f>IF(ISERROR(VLOOKUP($A150,'SegEnds_NonXtal_BW#'!$A:$Z,21,FALSE)+VLOOKUP($A150,A:AL,31,FALSE)-50),"-",(VLOOKUP($A150,'SegEnds_NonXtal_BW#'!$A:$Z,21,FALSE)+VLOOKUP($A150,A:AL,31,FALSE)-50))</f>
        <v>237</v>
      </c>
      <c r="AE150" s="3">
        <v>264</v>
      </c>
      <c r="AF150" s="3">
        <f>IF(ISERROR((VLOOKUP($A150,'SegEnds_NonXtal_BW#'!$A:$Z,22,FALSE)+VLOOKUP($A150,A:AL,31,FALSE)-50)),"-",(VLOOKUP($A150,'SegEnds_NonXtal_BW#'!$A:$Z,22,FALSE)+VLOOKUP($A150,A:AL,31,FALSE)-50))</f>
        <v>275</v>
      </c>
      <c r="AG150" s="3">
        <f>IF(ISERROR(VLOOKUP($A150,'SegEnds_NonXtal_BW#'!$A:$Z,23,FALSE)+VLOOKUP($A150,A:AL,34,FALSE)-50),"-",(VLOOKUP($A150,'SegEnds_NonXtal_BW#'!$A:$Z,23,FALSE)+VLOOKUP($A150,A:AL,34,FALSE)-50))</f>
        <v>284</v>
      </c>
      <c r="AH150" s="3">
        <v>306</v>
      </c>
      <c r="AI150" s="3">
        <f>IF(ISERROR((VLOOKUP($A150,'SegEnds_NonXtal_BW#'!$A:$Z,24,FALSE)+VLOOKUP($A150,A:AL,34,FALSE)-50)),"-",(VLOOKUP($A150,'SegEnds_NonXtal_BW#'!$A:$Z,24,FALSE)+VLOOKUP($A150,A:AL,34,FALSE)-50))</f>
        <v>312</v>
      </c>
      <c r="AJ150" s="3">
        <f>IF(ISERROR(VLOOKUP($A150,'SegEnds_NonXtal_BW#'!$A:$Z,25,FALSE)+VLOOKUP($A150,A:AL,37,FALSE)-50),"-",(VLOOKUP($A150,'SegEnds_NonXtal_BW#'!$A:$Z,25,FALSE)+VLOOKUP($A150,A:AL,37,FALSE)-50))</f>
        <v>313</v>
      </c>
      <c r="AK150" s="3">
        <v>316</v>
      </c>
      <c r="AL150" s="3">
        <f>IF(ISERROR((VLOOKUP($A150,'SegEnds_NonXtal_BW#'!$A:$Z,26,FALSE)+VLOOKUP($A150,A:AL,37,FALSE)-50)),"-",(VLOOKUP($A150,'SegEnds_NonXtal_BW#'!$A:$Z,26,FALSE)+VLOOKUP($A150,A:AL,37,FALSE)-50))</f>
        <v>325</v>
      </c>
      <c r="AM150" s="28" t="str">
        <f>VLOOKUP(A150,Classification!A:B,2,FALSE)</f>
        <v>A</v>
      </c>
      <c r="AN150" s="28" t="b">
        <f>AND(IF(Y150="-",IF(AA150-W150&gt;3,TRUE,FALSE),TRUE),IF(M150="-",IF(O150-K150&gt;3,TRUE,FALSE),TRUE),C150&lt;E150,OR(E150&lt;F150,F150="-"),OR(F150&lt;H150,F150="-"),OR(H150&lt;I150,H150="-"),I150&lt;K150,OR(K150&lt;L150,L150="-"),OR(L150&lt;N150,L150="-"),OR(N150&lt;O150,N150="-"),O150&lt;Q150,OR(Q150&lt;R150,R150="-"),OR(R150&lt;T150,R150="-"),OR(T150&lt;U150,T150="-"),U150&lt;W150,OR(W150&lt;X150,X150="-"),OR(X150&lt;Z150,X150="-"),OR(Z150&lt;AA150,Z150="-"),AA150&lt;AC150,AC150&lt;AD150,AD150&lt;AF150,AF150&lt;AG150,AG150&lt;AI150,OR(AI150&lt;AJ150,AJ150="-"),OR(AJ150&lt;AL150,AJ150="-"))</f>
        <v>1</v>
      </c>
      <c r="AO150" s="3" t="str">
        <f>IF(ISERROR(MATCH(A150,'SegEnds_Xtal_Prot#'!B:B, 0)), "NoXtal", "Xtal")</f>
        <v>NoXtal</v>
      </c>
      <c r="AP150" s="3" t="str">
        <f>IF(ISERROR(F150-E150),"-",F150-E150)</f>
        <v>-</v>
      </c>
      <c r="AQ150" s="3" t="str">
        <f>IF(ISERROR(I150-H150),"-",I150-H150)</f>
        <v>-</v>
      </c>
      <c r="AR150" s="3">
        <f>IF(ISERROR(L150-K150),"-",L150-K150)</f>
        <v>2</v>
      </c>
      <c r="AS150" s="3">
        <f>IF(ISERROR(O150-N150),"-",O150-N150)</f>
        <v>1</v>
      </c>
      <c r="AT150" s="3">
        <f>IF(ISERROR(R150-Q150),"-",R150-Q150)</f>
        <v>17</v>
      </c>
      <c r="AU150" s="3">
        <f>IF(ISERROR(U150-T150),"-",U150-T150)</f>
        <v>1</v>
      </c>
      <c r="AV150" s="3" t="str">
        <f>IF(ISERROR(X150-W150),"-",X150-W150)</f>
        <v>-</v>
      </c>
      <c r="AW150" s="3" t="str">
        <f>IF(ISERROR(AA150-Z150),"-",AA150-Z150)</f>
        <v>-</v>
      </c>
      <c r="AX150" s="3">
        <f>IF(ISERROR(AD150-AC150),"-",AD150-AC150)</f>
        <v>6</v>
      </c>
      <c r="AY150" s="3">
        <f>IF(ISERROR(AG150-AF150),"-",AG150-AF150)</f>
        <v>9</v>
      </c>
      <c r="AZ150" s="3">
        <f>IF(ISERROR(AJ150-AI150),"-",AJ150-AI150)</f>
        <v>1</v>
      </c>
      <c r="BA150" s="3">
        <f>IF(ISERROR(LEN(VLOOKUP(A150,Seqs!A:E,2,FALSE))-AL150),"-",LEN(VLOOKUP(A150,Seqs!A:E,2,FALSE))-AL150)</f>
        <v>11</v>
      </c>
      <c r="BB150" s="16">
        <f>J150-D150</f>
        <v>28</v>
      </c>
      <c r="BC150" s="9">
        <f>IF(ISERROR(V150-S150),"-",V150-S150)</f>
        <v>20</v>
      </c>
      <c r="BD150" s="3">
        <f>J150-D150</f>
        <v>28</v>
      </c>
      <c r="BE150" s="3">
        <f>AE150-AB150</f>
        <v>51</v>
      </c>
      <c r="BF150" s="3">
        <f>AH150-AE150</f>
        <v>42</v>
      </c>
    </row>
    <row r="151" spans="1:58" s="3" customFormat="1" x14ac:dyDescent="0.2">
      <c r="A151" s="3" t="s">
        <v>270</v>
      </c>
      <c r="B151" s="3" t="str">
        <f>LOWER(VLOOKUP(A151,Xtal_Templ!A:B,2,FALSE))</f>
        <v>ednrb_human</v>
      </c>
      <c r="C151" s="3">
        <f>VLOOKUP($A151,'SegEnds_NonXtal_BW#'!$A:$Z,3,FALSE)+D151-50</f>
        <v>10</v>
      </c>
      <c r="D151" s="3">
        <v>38</v>
      </c>
      <c r="E151" s="3">
        <f>IF(ISERROR(VLOOKUP($A151,'SegEnds_NonXtal_BW#'!$A:$Z,4,FALSE)+VLOOKUP($A151,A:AL,4,FALSE)-50),"-",(VLOOKUP($A151,'SegEnds_NonXtal_BW#'!$A:$Z,4,FALSE)+VLOOKUP($A151,A:AL,4,FALSE)-50))</f>
        <v>48</v>
      </c>
      <c r="F151" s="3">
        <f>G151-2</f>
        <v>49</v>
      </c>
      <c r="G151" s="3">
        <v>51</v>
      </c>
      <c r="H151" s="3">
        <f>G151+1</f>
        <v>52</v>
      </c>
      <c r="I151" s="3">
        <f>H151+1</f>
        <v>53</v>
      </c>
      <c r="J151" s="3">
        <v>66</v>
      </c>
      <c r="K151" s="3">
        <f>VLOOKUP($A151,'SegEnds_NonXtal_BW#'!$A:$Z,8,FALSE)+VLOOKUP($A151,A:AL,10,FALSE)-50</f>
        <v>83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89</v>
      </c>
      <c r="P151" s="3">
        <v>118</v>
      </c>
      <c r="Q151" s="3">
        <f>VLOOKUP($A151,'SegEnds_NonXtal_BW#'!$A:$Z,12,FALSE)+VLOOKUP($A151,A:AL,16,FALSE)-50</f>
        <v>124</v>
      </c>
      <c r="R151" s="3">
        <f>IF(ISERROR(VLOOKUP($A151,'SegEnds_NonXtal_BW#'!$A:$Z,13,FALSE)+VLOOKUP($A151,A:AL,19,FALSE)-50),"-",VLOOKUP($A151,'SegEnds_NonXtal_BW#'!$A:$Z,13,FALSE)+VLOOKUP($A151,A:AL,19,FALSE)-50)</f>
        <v>125</v>
      </c>
      <c r="S151" s="3">
        <v>125</v>
      </c>
      <c r="T151" s="103">
        <f>IF(ISERROR(VLOOKUP($A151,'SegEnds_NonXtal_BW#'!$A:$Z,14,FALSE)+VLOOKUP($A151,A:AL,19,FALSE)-50),"-",(VLOOKUP($A151,'SegEnds_NonXtal_BW#'!$A:$Z,14,FALSE)+VLOOKUP($A151,A:AL,19,FALSE)-50))</f>
        <v>132</v>
      </c>
      <c r="U151" s="9">
        <f>IF(ISERROR(VLOOKUP($A151,'SegEnds_NonXtal_BW#'!$A:$Z,15,FALSE)+VLOOKUP($A151,A:AL,22,FALSE)-50),"-",VLOOKUP($A151,'SegEnds_NonXtal_BW#'!$A:$Z,15,FALSE)+VLOOKUP($A151,A:AL,22,FALSE)-50)</f>
        <v>133</v>
      </c>
      <c r="V151" s="3">
        <v>145</v>
      </c>
      <c r="W151" s="3">
        <f>IF(ISERROR(VLOOKUP($A151,'SegEnds_NonXtal_BW#'!$A:$Z,16,FALSE)+VLOOKUP($A151,A:AL,22,FALSE)-50),"-",(VLOOKUP($A151,'SegEnds_NonXtal_BW#'!$A:$Z,16,FALSE)+VLOOKUP($A151,A:AL,22,FALSE)-50))</f>
        <v>159</v>
      </c>
      <c r="X151" s="3">
        <f>IF(ISERROR(VLOOKUP($A151,'SegEnds_NonXtal_BW#'!$A:$Z,17,FALSE)+VLOOKUP($A151,A:AL,25,FALSE)-50),"-",(VLOOKUP($A151,'SegEnds_NonXtal_BW#'!$A:$Z,17,FALSE)+VLOOKUP($A151,A:AL,25,FALSE)-50))</f>
        <v>168</v>
      </c>
      <c r="Y151" s="3">
        <v>168</v>
      </c>
      <c r="Z151" s="3">
        <f>Y151+2</f>
        <v>170</v>
      </c>
      <c r="AA151" s="3">
        <f>IF(ISERROR(VLOOKUP($A151,'SegEnds_NonXtal_BW#'!$A:$Z,19,FALSE)+VLOOKUP($A151,A:AL,28,FALSE)-50),"-",(VLOOKUP($A151,'SegEnds_NonXtal_BW#'!$A:$Z,19,FALSE)+VLOOKUP($A151,A:AL,28,FALSE)-50))</f>
        <v>213</v>
      </c>
      <c r="AB151" s="3">
        <v>235</v>
      </c>
      <c r="AC151" s="3">
        <f>IF(ISERROR((VLOOKUP($A151,'SegEnds_NonXtal_BW#'!$A:$Z,20,FALSE)+VLOOKUP($A151,A:AL,28,FALSE)-50)),"-",(VLOOKUP($A151,'SegEnds_NonXtal_BW#'!$A:$Z,20,FALSE)+VLOOKUP($A151,A:AL,28,FALSE)-50))</f>
        <v>259</v>
      </c>
      <c r="AD151" s="3">
        <f>IF(ISERROR(VLOOKUP($A151,'SegEnds_NonXtal_BW#'!$A:$Z,21,FALSE)+VLOOKUP($A151,A:AL,31,FALSE)-50),"-",(VLOOKUP($A151,'SegEnds_NonXtal_BW#'!$A:$Z,21,FALSE)+VLOOKUP($A151,A:AL,31,FALSE)-50))</f>
        <v>308</v>
      </c>
      <c r="AE151" s="3">
        <v>334</v>
      </c>
      <c r="AF151" s="3">
        <f>IF(ISERROR((VLOOKUP($A151,'SegEnds_NonXtal_BW#'!$A:$Z,22,FALSE)+VLOOKUP($A151,A:AL,31,FALSE)-50)),"-",(VLOOKUP($A151,'SegEnds_NonXtal_BW#'!$A:$Z,22,FALSE)+VLOOKUP($A151,A:AL,31,FALSE)-50))</f>
        <v>345</v>
      </c>
      <c r="AG151" s="3">
        <f>IF(ISERROR(VLOOKUP($A151,'SegEnds_NonXtal_BW#'!$A:$Z,23,FALSE)+VLOOKUP($A151,A:AL,34,FALSE)-50),"-",(VLOOKUP($A151,'SegEnds_NonXtal_BW#'!$A:$Z,23,FALSE)+VLOOKUP($A151,A:AL,34,FALSE)-50))</f>
        <v>350</v>
      </c>
      <c r="AH151" s="3">
        <v>367</v>
      </c>
      <c r="AI151" s="3">
        <f>IF(ISERROR((VLOOKUP($A151,'SegEnds_NonXtal_BW#'!$A:$Z,24,FALSE)+VLOOKUP($A151,A:AL,34,FALSE)-50)),"-",(VLOOKUP($A151,'SegEnds_NonXtal_BW#'!$A:$Z,24,FALSE)+VLOOKUP($A151,A:AL,34,FALSE)-50))</f>
        <v>373</v>
      </c>
      <c r="AJ151" s="3">
        <f>IF(ISERROR(VLOOKUP($A151,'SegEnds_NonXtal_BW#'!$A:$Z,25,FALSE)+VLOOKUP($A151,A:AL,37,FALSE)-50),"-",(VLOOKUP($A151,'SegEnds_NonXtal_BW#'!$A:$Z,25,FALSE)+VLOOKUP($A151,A:AL,37,FALSE)-50))</f>
        <v>374</v>
      </c>
      <c r="AK151" s="3">
        <v>377</v>
      </c>
      <c r="AL151" s="3">
        <f>IF(ISERROR((VLOOKUP($A151,'SegEnds_NonXtal_BW#'!$A:$Z,26,FALSE)+VLOOKUP($A151,A:AL,37,FALSE)-50)),"-",(VLOOKUP($A151,'SegEnds_NonXtal_BW#'!$A:$Z,26,FALSE)+VLOOKUP($A151,A:AL,37,FALSE)-50))</f>
        <v>387</v>
      </c>
      <c r="AM151" s="28" t="str">
        <f>VLOOKUP(A151,Classification!A:B,2,FALSE)</f>
        <v>A</v>
      </c>
      <c r="AN151" s="28" t="b">
        <f>AND(IF(Y151="-",IF(AA151-W151&gt;3,TRUE,FALSE),TRUE),IF(M151="-",IF(O151-K151&gt;3,TRUE,FALSE),TRUE),C151&lt;E151,OR(E151&lt;F151,F151="-"),OR(F151&lt;H151,F151="-"),OR(H151&lt;I151,H151="-"),I151&lt;K151,OR(K151&lt;L151,L151="-"),OR(L151&lt;N151,L151="-"),OR(N151&lt;O151,N151="-"),O151&lt;Q151,OR(Q151&lt;R151,R151="-"),OR(R151&lt;T151,R151="-"),OR(T151&lt;U151,T151="-"),U151&lt;W151,OR(W151&lt;X151,X151="-"),OR(X151&lt;Z151,X151="-"),OR(Z151&lt;AA151,Z151="-"),AA151&lt;AC151,AC151&lt;AD151,AD151&lt;AF151,AF151&lt;AG151,AG151&lt;AI151,OR(AI151&lt;AJ151,AJ151="-"),OR(AJ151&lt;AL151,AJ151="-"))</f>
        <v>1</v>
      </c>
      <c r="AO151" s="3" t="str">
        <f>IF(ISERROR(MATCH(A151,'SegEnds_Xtal_Prot#'!B:B, 0)), "NoXtal", "Xtal")</f>
        <v>NoXtal</v>
      </c>
      <c r="AP151" s="3">
        <f>IF(ISERROR(F151-E151),"-",F151-E151)</f>
        <v>1</v>
      </c>
      <c r="AQ151" s="3">
        <f>IF(ISERROR(I151-H151),"-",I151-H151)</f>
        <v>1</v>
      </c>
      <c r="AR151" s="3" t="str">
        <f>IF(ISERROR(L151-K151),"-",L151-K151)</f>
        <v>-</v>
      </c>
      <c r="AS151" s="3" t="str">
        <f>IF(ISERROR(O151-N151),"-",O151-N151)</f>
        <v>-</v>
      </c>
      <c r="AT151" s="3">
        <f>IF(ISERROR(R151-Q151),"-",R151-Q151)</f>
        <v>1</v>
      </c>
      <c r="AU151" s="3">
        <f>IF(ISERROR(U151-T151),"-",U151-T151)</f>
        <v>1</v>
      </c>
      <c r="AV151" s="3">
        <f>IF(ISERROR(X151-W151),"-",X151-W151)</f>
        <v>9</v>
      </c>
      <c r="AW151" s="3">
        <f>IF(ISERROR(AA151-Z151),"-",AA151-Z151)</f>
        <v>43</v>
      </c>
      <c r="AX151" s="3">
        <f>IF(ISERROR(AD151-AC151),"-",AD151-AC151)</f>
        <v>49</v>
      </c>
      <c r="AY151" s="3">
        <f>IF(ISERROR(AG151-AF151),"-",AG151-AF151)</f>
        <v>5</v>
      </c>
      <c r="AZ151" s="3">
        <f>IF(ISERROR(AJ151-AI151),"-",AJ151-AI151)</f>
        <v>1</v>
      </c>
      <c r="BA151" s="3">
        <f>IF(ISERROR(LEN(VLOOKUP(A151,Seqs!A:E,2,FALSE))-AL151),"-",LEN(VLOOKUP(A151,Seqs!A:E,2,FALSE))-AL151)</f>
        <v>9</v>
      </c>
      <c r="BB151" s="16">
        <f>J151-D151</f>
        <v>28</v>
      </c>
      <c r="BC151" s="9">
        <f>IF(ISERROR(V151-S151),"-",V151-S151)</f>
        <v>20</v>
      </c>
      <c r="BD151" s="3">
        <f>J151-D151</f>
        <v>28</v>
      </c>
      <c r="BE151" s="3">
        <f>AE151-AB151</f>
        <v>99</v>
      </c>
      <c r="BF151" s="3">
        <f>AH151-AE151</f>
        <v>33</v>
      </c>
    </row>
    <row r="152" spans="1:58" s="3" customFormat="1" x14ac:dyDescent="0.2">
      <c r="A152" s="3" t="s">
        <v>271</v>
      </c>
      <c r="B152" s="3" t="str">
        <f>LOWER(VLOOKUP(A152,Xtal_Templ!A:B,2,FALSE))</f>
        <v>ox1r_human</v>
      </c>
      <c r="C152" s="3">
        <f>VLOOKUP($A152,'SegEnds_NonXtal_BW#'!$A:$Z,3,FALSE)+D152-50</f>
        <v>20</v>
      </c>
      <c r="D152" s="3">
        <v>38</v>
      </c>
      <c r="E152" s="3">
        <f>IF(ISERROR(VLOOKUP($A152,'SegEnds_NonXtal_BW#'!$A:$Z,4,FALSE)+VLOOKUP($A152,A:AL,4,FALSE)-50),"-",(VLOOKUP($A152,'SegEnds_NonXtal_BW#'!$A:$Z,4,FALSE)+VLOOKUP($A152,A:AL,4,FALSE)-50))</f>
        <v>48</v>
      </c>
      <c r="F152" s="3">
        <f>G152-2</f>
        <v>49</v>
      </c>
      <c r="G152" s="3">
        <v>51</v>
      </c>
      <c r="H152" s="3">
        <f>G152+1</f>
        <v>52</v>
      </c>
      <c r="I152" s="3">
        <f>H152+1</f>
        <v>53</v>
      </c>
      <c r="J152" s="3">
        <v>66</v>
      </c>
      <c r="K152" s="3">
        <f>VLOOKUP($A152,'SegEnds_NonXtal_BW#'!$A:$Z,8,FALSE)+VLOOKUP($A152,A:AL,10,FALSE)-50</f>
        <v>83</v>
      </c>
      <c r="L152" s="3">
        <f>M152-1</f>
        <v>86</v>
      </c>
      <c r="M152" s="3">
        <v>87</v>
      </c>
      <c r="N152" s="3">
        <f>M152+2</f>
        <v>89</v>
      </c>
      <c r="O152" s="3">
        <f>N152+1</f>
        <v>90</v>
      </c>
      <c r="P152" s="3">
        <v>119</v>
      </c>
      <c r="Q152" s="3">
        <f>VLOOKUP($A152,'SegEnds_NonXtal_BW#'!$A:$Z,12,FALSE)+VLOOKUP($A152,A:AL,16,FALSE)-50</f>
        <v>125</v>
      </c>
      <c r="R152" s="3">
        <f>IF(ISERROR(VLOOKUP($A152,'SegEnds_NonXtal_BW#'!$A:$Z,13,FALSE)+VLOOKUP($A152,A:AL,19,FALSE)-50),"-",VLOOKUP($A152,'SegEnds_NonXtal_BW#'!$A:$Z,13,FALSE)+VLOOKUP($A152,A:AL,19,FALSE)-50)</f>
        <v>126</v>
      </c>
      <c r="S152" s="3">
        <v>126</v>
      </c>
      <c r="T152" s="103">
        <f>IF(ISERROR(VLOOKUP($A152,'SegEnds_NonXtal_BW#'!$A:$Z,14,FALSE)+VLOOKUP($A152,A:AL,19,FALSE)-50),"-",(VLOOKUP($A152,'SegEnds_NonXtal_BW#'!$A:$Z,14,FALSE)+VLOOKUP($A152,A:AL,19,FALSE)-50))</f>
        <v>133</v>
      </c>
      <c r="U152" s="9">
        <f>IF(ISERROR(VLOOKUP($A152,'SegEnds_NonXtal_BW#'!$A:$Z,15,FALSE)+VLOOKUP($A152,A:AL,22,FALSE)-50),"-",VLOOKUP($A152,'SegEnds_NonXtal_BW#'!$A:$Z,15,FALSE)+VLOOKUP($A152,A:AL,22,FALSE)-50)</f>
        <v>134</v>
      </c>
      <c r="V152" s="3">
        <v>146</v>
      </c>
      <c r="W152" s="3">
        <f>IF(ISERROR(VLOOKUP($A152,'SegEnds_NonXtal_BW#'!$A:$Z,16,FALSE)+VLOOKUP($A152,A:AL,22,FALSE)-50),"-",(VLOOKUP($A152,'SegEnds_NonXtal_BW#'!$A:$Z,16,FALSE)+VLOOKUP($A152,A:AL,22,FALSE)-50))</f>
        <v>160</v>
      </c>
      <c r="X152" s="3">
        <f>IF(ISERROR(VLOOKUP($A152,'SegEnds_NonXtal_BW#'!$A:$Z,17,FALSE)+VLOOKUP($A152,A:AL,25,FALSE)-50),"-",(VLOOKUP($A152,'SegEnds_NonXtal_BW#'!$A:$Z,17,FALSE)+VLOOKUP($A152,A:AL,25,FALSE)-50))</f>
        <v>172</v>
      </c>
      <c r="Y152" s="3">
        <v>172</v>
      </c>
      <c r="Z152" s="3">
        <f>Y152+2</f>
        <v>174</v>
      </c>
      <c r="AA152" s="3">
        <f>IF(ISERROR(VLOOKUP($A152,'SegEnds_NonXtal_BW#'!$A:$Z,19,FALSE)+VLOOKUP($A152,A:AL,28,FALSE)-50),"-",(VLOOKUP($A152,'SegEnds_NonXtal_BW#'!$A:$Z,19,FALSE)+VLOOKUP($A152,A:AL,28,FALSE)-50))</f>
        <v>218</v>
      </c>
      <c r="AB152" s="3">
        <v>233</v>
      </c>
      <c r="AC152" s="3">
        <f>IF(ISERROR((VLOOKUP($A152,'SegEnds_NonXtal_BW#'!$A:$Z,20,FALSE)+VLOOKUP($A152,A:AL,28,FALSE)-50)),"-",(VLOOKUP($A152,'SegEnds_NonXtal_BW#'!$A:$Z,20,FALSE)+VLOOKUP($A152,A:AL,28,FALSE)-50))</f>
        <v>259</v>
      </c>
      <c r="AD152" s="3">
        <f>IF(ISERROR(VLOOKUP($A152,'SegEnds_NonXtal_BW#'!$A:$Z,21,FALSE)+VLOOKUP($A152,A:AL,31,FALSE)-50),"-",(VLOOKUP($A152,'SegEnds_NonXtal_BW#'!$A:$Z,21,FALSE)+VLOOKUP($A152,A:AL,31,FALSE)-50))</f>
        <v>274</v>
      </c>
      <c r="AE152" s="3">
        <v>300</v>
      </c>
      <c r="AF152" s="3">
        <f>IF(ISERROR((VLOOKUP($A152,'SegEnds_NonXtal_BW#'!$A:$Z,22,FALSE)+VLOOKUP($A152,A:AL,31,FALSE)-50)),"-",(VLOOKUP($A152,'SegEnds_NonXtal_BW#'!$A:$Z,22,FALSE)+VLOOKUP($A152,A:AL,31,FALSE)-50))</f>
        <v>311</v>
      </c>
      <c r="AG152" s="3">
        <f>IF(ISERROR(VLOOKUP($A152,'SegEnds_NonXtal_BW#'!$A:$Z,23,FALSE)+VLOOKUP($A152,A:AL,34,FALSE)-50),"-",(VLOOKUP($A152,'SegEnds_NonXtal_BW#'!$A:$Z,23,FALSE)+VLOOKUP($A152,A:AL,34,FALSE)-50))</f>
        <v>317</v>
      </c>
      <c r="AH152" s="3">
        <v>336</v>
      </c>
      <c r="AI152" s="3">
        <f>IF(ISERROR((VLOOKUP($A152,'SegEnds_NonXtal_BW#'!$A:$Z,24,FALSE)+VLOOKUP($A152,A:AL,34,FALSE)-50)),"-",(VLOOKUP($A152,'SegEnds_NonXtal_BW#'!$A:$Z,24,FALSE)+VLOOKUP($A152,A:AL,34,FALSE)-50))</f>
        <v>342</v>
      </c>
      <c r="AJ152" s="3">
        <f>IF(ISERROR(VLOOKUP($A152,'SegEnds_NonXtal_BW#'!$A:$Z,25,FALSE)+VLOOKUP($A152,A:AL,37,FALSE)-50),"-",(VLOOKUP($A152,'SegEnds_NonXtal_BW#'!$A:$Z,25,FALSE)+VLOOKUP($A152,A:AL,37,FALSE)-50))</f>
        <v>343</v>
      </c>
      <c r="AK152" s="3">
        <v>346</v>
      </c>
      <c r="AL152" s="3">
        <f>IF(ISERROR((VLOOKUP($A152,'SegEnds_NonXtal_BW#'!$A:$Z,26,FALSE)+VLOOKUP($A152,A:AL,37,FALSE)-50)),"-",(VLOOKUP($A152,'SegEnds_NonXtal_BW#'!$A:$Z,26,FALSE)+VLOOKUP($A152,A:AL,37,FALSE)-50))</f>
        <v>354</v>
      </c>
      <c r="AM152" s="28" t="str">
        <f>VLOOKUP(A152,Classification!A:B,2,FALSE)</f>
        <v>A</v>
      </c>
      <c r="AN152" s="28" t="b">
        <f>AND(IF(Y152="-",IF(AA152-W152&gt;3,TRUE,FALSE),TRUE),IF(M152="-",IF(O152-K152&gt;3,TRUE,FALSE),TRUE),C152&lt;E152,OR(E152&lt;F152,F152="-"),OR(F152&lt;H152,F152="-"),OR(H152&lt;I152,H152="-"),I152&lt;K152,OR(K152&lt;L152,L152="-"),OR(L152&lt;N152,L152="-"),OR(N152&lt;O152,N152="-"),O152&lt;Q152,OR(Q152&lt;R152,R152="-"),OR(R152&lt;T152,R152="-"),OR(T152&lt;U152,T152="-"),U152&lt;W152,OR(W152&lt;X152,X152="-"),OR(X152&lt;Z152,X152="-"),OR(Z152&lt;AA152,Z152="-"),AA152&lt;AC152,AC152&lt;AD152,AD152&lt;AF152,AF152&lt;AG152,AG152&lt;AI152,OR(AI152&lt;AJ152,AJ152="-"),OR(AJ152&lt;AL152,AJ152="-"))</f>
        <v>1</v>
      </c>
      <c r="AO152" s="3" t="str">
        <f>IF(ISERROR(MATCH(A152,'SegEnds_Xtal_Prot#'!B:B, 0)), "NoXtal", "Xtal")</f>
        <v>NoXtal</v>
      </c>
      <c r="AP152" s="3">
        <f>IF(ISERROR(F152-E152),"-",F152-E152)</f>
        <v>1</v>
      </c>
      <c r="AQ152" s="3">
        <f>IF(ISERROR(I152-H152),"-",I152-H152)</f>
        <v>1</v>
      </c>
      <c r="AR152" s="3">
        <f>IF(ISERROR(L152-K152),"-",L152-K152)</f>
        <v>3</v>
      </c>
      <c r="AS152" s="3">
        <f>IF(ISERROR(O152-N152),"-",O152-N152)</f>
        <v>1</v>
      </c>
      <c r="AT152" s="3">
        <f>IF(ISERROR(R152-Q152),"-",R152-Q152)</f>
        <v>1</v>
      </c>
      <c r="AU152" s="3">
        <f>IF(ISERROR(U152-T152),"-",U152-T152)</f>
        <v>1</v>
      </c>
      <c r="AV152" s="3">
        <f>IF(ISERROR(X152-W152),"-",X152-W152)</f>
        <v>12</v>
      </c>
      <c r="AW152" s="3">
        <f>IF(ISERROR(AA152-Z152),"-",AA152-Z152)</f>
        <v>44</v>
      </c>
      <c r="AX152" s="3">
        <f>IF(ISERROR(AD152-AC152),"-",AD152-AC152)</f>
        <v>15</v>
      </c>
      <c r="AY152" s="3">
        <f>IF(ISERROR(AG152-AF152),"-",AG152-AF152)</f>
        <v>6</v>
      </c>
      <c r="AZ152" s="3">
        <f>IF(ISERROR(AJ152-AI152),"-",AJ152-AI152)</f>
        <v>1</v>
      </c>
      <c r="BA152" s="3">
        <f>IF(ISERROR(LEN(VLOOKUP(A152,Seqs!A:E,2,FALSE))-AL152),"-",LEN(VLOOKUP(A152,Seqs!A:E,2,FALSE))-AL152)</f>
        <v>16</v>
      </c>
      <c r="BB152" s="16">
        <f>J152-D152</f>
        <v>28</v>
      </c>
      <c r="BC152" s="9">
        <f>IF(ISERROR(V152-S152),"-",V152-S152)</f>
        <v>20</v>
      </c>
      <c r="BD152" s="3">
        <f>J152-D152</f>
        <v>28</v>
      </c>
      <c r="BE152" s="3">
        <f>AE152-AB152</f>
        <v>67</v>
      </c>
      <c r="BF152" s="3">
        <f>AH152-AE152</f>
        <v>36</v>
      </c>
    </row>
    <row r="153" spans="1:58" s="3" customFormat="1" x14ac:dyDescent="0.2">
      <c r="A153" s="3" t="s">
        <v>272</v>
      </c>
      <c r="B153" s="3" t="str">
        <f>LOWER(VLOOKUP(A153,Xtal_Templ!A:B,2,FALSE))</f>
        <v>p2y12_human</v>
      </c>
      <c r="C153" s="3">
        <f>VLOOKUP($A153,'SegEnds_NonXtal_BW#'!$A:$Z,3,FALSE)+D153-50</f>
        <v>38</v>
      </c>
      <c r="D153" s="3">
        <v>60</v>
      </c>
      <c r="E153" s="3">
        <f>IF(ISERROR(VLOOKUP($A153,'SegEnds_NonXtal_BW#'!$A:$Z,4,FALSE)+VLOOKUP($A153,A:AL,4,FALSE)-50),"-",(VLOOKUP($A153,'SegEnds_NonXtal_BW#'!$A:$Z,4,FALSE)+VLOOKUP($A153,A:AL,4,FALSE)-50))</f>
        <v>70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74</v>
      </c>
      <c r="J153" s="3">
        <v>87</v>
      </c>
      <c r="K153" s="3">
        <f>VLOOKUP($A153,'SegEnds_NonXtal_BW#'!$A:$Z,8,FALSE)+VLOOKUP($A153,A:AL,10,FALSE)-50</f>
        <v>103</v>
      </c>
      <c r="L153" s="3">
        <f>M153-1</f>
        <v>106</v>
      </c>
      <c r="M153" s="3">
        <v>107</v>
      </c>
      <c r="N153" s="3">
        <f>M153+2</f>
        <v>109</v>
      </c>
      <c r="O153" s="3">
        <f>N153+1</f>
        <v>110</v>
      </c>
      <c r="P153" s="3">
        <v>139</v>
      </c>
      <c r="Q153" s="3">
        <f>VLOOKUP($A153,'SegEnds_NonXtal_BW#'!$A:$Z,12,FALSE)+VLOOKUP($A153,A:AL,16,FALSE)-50</f>
        <v>145</v>
      </c>
      <c r="R153" s="3">
        <f>IF(ISERROR(VLOOKUP($A153,'SegEnds_NonXtal_BW#'!$A:$Z,13,FALSE)+VLOOKUP($A153,A:AL,19,FALSE)-50),"-",VLOOKUP($A153,'SegEnds_NonXtal_BW#'!$A:$Z,13,FALSE)+VLOOKUP($A153,A:AL,19,FALSE)-50)</f>
        <v>146</v>
      </c>
      <c r="S153" s="3">
        <v>146</v>
      </c>
      <c r="T153" s="103">
        <f>IF(ISERROR(VLOOKUP($A153,'SegEnds_NonXtal_BW#'!$A:$Z,14,FALSE)+VLOOKUP($A153,A:AL,19,FALSE)-50),"-",(VLOOKUP($A153,'SegEnds_NonXtal_BW#'!$A:$Z,14,FALSE)+VLOOKUP($A153,A:AL,19,FALSE)-50))</f>
        <v>153</v>
      </c>
      <c r="U153" s="9">
        <f>IF(ISERROR(VLOOKUP($A153,'SegEnds_NonXtal_BW#'!$A:$Z,15,FALSE)+VLOOKUP($A153,A:AL,22,FALSE)-50),"-",VLOOKUP($A153,'SegEnds_NonXtal_BW#'!$A:$Z,15,FALSE)+VLOOKUP($A153,A:AL,22,FALSE)-50)</f>
        <v>154</v>
      </c>
      <c r="V153" s="3">
        <v>166</v>
      </c>
      <c r="W153" s="3">
        <f>IF(ISERROR(VLOOKUP($A153,'SegEnds_NonXtal_BW#'!$A:$Z,16,FALSE)+VLOOKUP($A153,A:AL,22,FALSE)-50),"-",(VLOOKUP($A153,'SegEnds_NonXtal_BW#'!$A:$Z,16,FALSE)+VLOOKUP($A153,A:AL,22,FALSE)-50))</f>
        <v>180</v>
      </c>
      <c r="X153" s="3">
        <f>IF(ISERROR(VLOOKUP($A153,'SegEnds_NonXtal_BW#'!$A:$Z,17,FALSE)+VLOOKUP($A153,A:AL,25,FALSE)-50),"-",(VLOOKUP($A153,'SegEnds_NonXtal_BW#'!$A:$Z,17,FALSE)+VLOOKUP($A153,A:AL,25,FALSE)-50))</f>
        <v>192</v>
      </c>
      <c r="Y153" s="3">
        <v>192</v>
      </c>
      <c r="Z153" s="3">
        <f>Y153+2</f>
        <v>194</v>
      </c>
      <c r="AA153" s="3">
        <f>IF(ISERROR(VLOOKUP($A153,'SegEnds_NonXtal_BW#'!$A:$Z,19,FALSE)+VLOOKUP($A153,A:AL,28,FALSE)-50),"-",(VLOOKUP($A153,'SegEnds_NonXtal_BW#'!$A:$Z,19,FALSE)+VLOOKUP($A153,A:AL,28,FALSE)-50))</f>
        <v>198</v>
      </c>
      <c r="AB153" s="3">
        <v>218</v>
      </c>
      <c r="AC153" s="3">
        <f>IF(ISERROR((VLOOKUP($A153,'SegEnds_NonXtal_BW#'!$A:$Z,20,FALSE)+VLOOKUP($A153,A:AL,28,FALSE)-50)),"-",(VLOOKUP($A153,'SegEnds_NonXtal_BW#'!$A:$Z,20,FALSE)+VLOOKUP($A153,A:AL,28,FALSE)-50))</f>
        <v>236</v>
      </c>
      <c r="AD153" s="3">
        <f>IF(ISERROR(VLOOKUP($A153,'SegEnds_NonXtal_BW#'!$A:$Z,21,FALSE)+VLOOKUP($A153,A:AL,31,FALSE)-50),"-",(VLOOKUP($A153,'SegEnds_NonXtal_BW#'!$A:$Z,21,FALSE)+VLOOKUP($A153,A:AL,31,FALSE)-50))</f>
        <v>241</v>
      </c>
      <c r="AE153" s="3">
        <v>267</v>
      </c>
      <c r="AF153" s="3">
        <f>IF(ISERROR((VLOOKUP($A153,'SegEnds_NonXtal_BW#'!$A:$Z,22,FALSE)+VLOOKUP($A153,A:AL,31,FALSE)-50)),"-",(VLOOKUP($A153,'SegEnds_NonXtal_BW#'!$A:$Z,22,FALSE)+VLOOKUP($A153,A:AL,31,FALSE)-50))</f>
        <v>281</v>
      </c>
      <c r="AG153" s="3">
        <f>IF(ISERROR(VLOOKUP($A153,'SegEnds_NonXtal_BW#'!$A:$Z,23,FALSE)+VLOOKUP($A153,A:AL,34,FALSE)-50),"-",(VLOOKUP($A153,'SegEnds_NonXtal_BW#'!$A:$Z,23,FALSE)+VLOOKUP($A153,A:AL,34,FALSE)-50))</f>
        <v>285</v>
      </c>
      <c r="AH153" s="3">
        <v>311</v>
      </c>
      <c r="AI153" s="3">
        <f>IF(ISERROR((VLOOKUP($A153,'SegEnds_NonXtal_BW#'!$A:$Z,24,FALSE)+VLOOKUP($A153,A:AL,34,FALSE)-50)),"-",(VLOOKUP($A153,'SegEnds_NonXtal_BW#'!$A:$Z,24,FALSE)+VLOOKUP($A153,A:AL,34,FALSE)-50))</f>
        <v>317</v>
      </c>
      <c r="AJ153" s="3">
        <f>IF(ISERROR(VLOOKUP($A153,'SegEnds_NonXtal_BW#'!$A:$Z,25,FALSE)+VLOOKUP($A153,A:AL,37,FALSE)-50),"-",(VLOOKUP($A153,'SegEnds_NonXtal_BW#'!$A:$Z,25,FALSE)+VLOOKUP($A153,A:AL,37,FALSE)-50))</f>
        <v>318</v>
      </c>
      <c r="AK153" s="3">
        <v>321</v>
      </c>
      <c r="AL153" s="3">
        <f>IF(ISERROR((VLOOKUP($A153,'SegEnds_NonXtal_BW#'!$A:$Z,26,FALSE)+VLOOKUP($A153,A:AL,37,FALSE)-50)),"-",(VLOOKUP($A153,'SegEnds_NonXtal_BW#'!$A:$Z,26,FALSE)+VLOOKUP($A153,A:AL,37,FALSE)-50))</f>
        <v>328</v>
      </c>
      <c r="AM153" s="28" t="str">
        <f>VLOOKUP(A153,Classification!A:B,2,FALSE)</f>
        <v>A</v>
      </c>
      <c r="AN153" s="28" t="b">
        <f>AND(IF(Y153="-",IF(AA153-W153&gt;3,TRUE,FALSE),TRUE),IF(M153="-",IF(O153-K153&gt;3,TRUE,FALSE),TRUE),C153&lt;E153,OR(E153&lt;F153,F153="-"),OR(F153&lt;H153,F153="-"),OR(H153&lt;I153,H153="-"),I153&lt;K153,OR(K153&lt;L153,L153="-"),OR(L153&lt;N153,L153="-"),OR(N153&lt;O153,N153="-"),O153&lt;Q153,OR(Q153&lt;R153,R153="-"),OR(R153&lt;T153,R153="-"),OR(T153&lt;U153,T153="-"),U153&lt;W153,OR(W153&lt;X153,X153="-"),OR(X153&lt;Z153,X153="-"),OR(Z153&lt;AA153,Z153="-"),AA153&lt;AC153,AC153&lt;AD153,AD153&lt;AF153,AF153&lt;AG153,AG153&lt;AI153,OR(AI153&lt;AJ153,AJ153="-"),OR(AJ153&lt;AL153,AJ153="-"))</f>
        <v>1</v>
      </c>
      <c r="AO153" s="3" t="str">
        <f>IF(ISERROR(MATCH(A153,'SegEnds_Xtal_Prot#'!B:B, 0)), "NoXtal", "Xtal")</f>
        <v>NoXtal</v>
      </c>
      <c r="AP153" s="3" t="str">
        <f>IF(ISERROR(F153-E153),"-",F153-E153)</f>
        <v>-</v>
      </c>
      <c r="AQ153" s="3" t="str">
        <f>IF(ISERROR(I153-H153),"-",I153-H153)</f>
        <v>-</v>
      </c>
      <c r="AR153" s="3">
        <f>IF(ISERROR(L153-K153),"-",L153-K153)</f>
        <v>3</v>
      </c>
      <c r="AS153" s="3">
        <f>IF(ISERROR(O153-N153),"-",O153-N153)</f>
        <v>1</v>
      </c>
      <c r="AT153" s="3">
        <f>IF(ISERROR(R153-Q153),"-",R153-Q153)</f>
        <v>1</v>
      </c>
      <c r="AU153" s="3">
        <f>IF(ISERROR(U153-T153),"-",U153-T153)</f>
        <v>1</v>
      </c>
      <c r="AV153" s="3">
        <f>IF(ISERROR(X153-W153),"-",X153-W153)</f>
        <v>12</v>
      </c>
      <c r="AW153" s="3">
        <f>IF(ISERROR(AA153-Z153),"-",AA153-Z153)</f>
        <v>4</v>
      </c>
      <c r="AX153" s="3">
        <f>IF(ISERROR(AD153-AC153),"-",AD153-AC153)</f>
        <v>5</v>
      </c>
      <c r="AY153" s="3">
        <f>IF(ISERROR(AG153-AF153),"-",AG153-AF153)</f>
        <v>4</v>
      </c>
      <c r="AZ153" s="3">
        <f>IF(ISERROR(AJ153-AI153),"-",AJ153-AI153)</f>
        <v>1</v>
      </c>
      <c r="BA153" s="3">
        <f>IF(ISERROR(LEN(VLOOKUP(A153,Seqs!A:E,2,FALSE))-AL153),"-",LEN(VLOOKUP(A153,Seqs!A:E,2,FALSE))-AL153)</f>
        <v>30</v>
      </c>
      <c r="BB153" s="16">
        <f>J153-D153</f>
        <v>27</v>
      </c>
      <c r="BC153" s="9">
        <f>IF(ISERROR(V153-S153),"-",V153-S153)</f>
        <v>20</v>
      </c>
      <c r="BD153" s="3">
        <f>J153-D153</f>
        <v>27</v>
      </c>
      <c r="BE153" s="3">
        <f>AE153-AB153</f>
        <v>49</v>
      </c>
    </row>
    <row r="154" spans="1:58" s="3" customFormat="1" x14ac:dyDescent="0.2">
      <c r="A154" s="3" t="s">
        <v>273</v>
      </c>
      <c r="B154" s="3" t="str">
        <f>LOWER(VLOOKUP(A154,Xtal_Templ!A:B,2,FALSE))</f>
        <v>ox1r_human</v>
      </c>
      <c r="C154" s="3">
        <f>VLOOKUP($A154,'SegEnds_NonXtal_BW#'!$A:$Z,3,FALSE)+D154-50</f>
        <v>31</v>
      </c>
      <c r="D154" s="3">
        <v>49</v>
      </c>
      <c r="E154" s="3">
        <f>IF(ISERROR(VLOOKUP($A154,'SegEnds_NonXtal_BW#'!$A:$Z,4,FALSE)+VLOOKUP($A154,A:AL,4,FALSE)-50),"-",(VLOOKUP($A154,'SegEnds_NonXtal_BW#'!$A:$Z,4,FALSE)+VLOOKUP($A154,A:AL,4,FALSE)-50))</f>
        <v>59</v>
      </c>
      <c r="F154" s="3">
        <f>G154-2</f>
        <v>60</v>
      </c>
      <c r="G154" s="3">
        <v>62</v>
      </c>
      <c r="H154" s="3">
        <f>G154+1</f>
        <v>63</v>
      </c>
      <c r="I154" s="3">
        <f>H154+1</f>
        <v>64</v>
      </c>
      <c r="J154" s="3">
        <v>77</v>
      </c>
      <c r="K154" s="3">
        <f>VLOOKUP($A154,'SegEnds_NonXtal_BW#'!$A:$Z,8,FALSE)+VLOOKUP($A154,A:AL,10,FALSE)-50</f>
        <v>94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106</v>
      </c>
      <c r="P154" s="3">
        <v>138</v>
      </c>
      <c r="Q154" s="3">
        <f>VLOOKUP($A154,'SegEnds_NonXtal_BW#'!$A:$Z,12,FALSE)+VLOOKUP($A154,A:AL,16,FALSE)-50</f>
        <v>144</v>
      </c>
      <c r="R154" s="3">
        <f>IF(ISERROR(VLOOKUP($A154,'SegEnds_NonXtal_BW#'!$A:$Z,13,FALSE)+VLOOKUP($A154,A:AL,19,FALSE)-50),"-",VLOOKUP($A154,'SegEnds_NonXtal_BW#'!$A:$Z,13,FALSE)+VLOOKUP($A154,A:AL,19,FALSE)-50)</f>
        <v>146</v>
      </c>
      <c r="S154" s="3">
        <v>146</v>
      </c>
      <c r="T154" s="103">
        <f>IF(ISERROR(VLOOKUP($A154,'SegEnds_NonXtal_BW#'!$A:$Z,14,FALSE)+VLOOKUP($A154,A:AL,19,FALSE)-50),"-",(VLOOKUP($A154,'SegEnds_NonXtal_BW#'!$A:$Z,14,FALSE)+VLOOKUP($A154,A:AL,19,FALSE)-50))</f>
        <v>153</v>
      </c>
      <c r="U154" s="9">
        <f>IF(ISERROR(VLOOKUP($A154,'SegEnds_NonXtal_BW#'!$A:$Z,15,FALSE)+VLOOKUP($A154,A:AL,22,FALSE)-50),"-",VLOOKUP($A154,'SegEnds_NonXtal_BW#'!$A:$Z,15,FALSE)+VLOOKUP($A154,A:AL,22,FALSE)-50)</f>
        <v>154</v>
      </c>
      <c r="V154" s="3">
        <v>166</v>
      </c>
      <c r="W154" s="3">
        <f>IF(ISERROR(VLOOKUP($A154,'SegEnds_NonXtal_BW#'!$A:$Z,16,FALSE)+VLOOKUP($A154,A:AL,22,FALSE)-50),"-",(VLOOKUP($A154,'SegEnds_NonXtal_BW#'!$A:$Z,16,FALSE)+VLOOKUP($A154,A:AL,22,FALSE)-50))</f>
        <v>180</v>
      </c>
      <c r="X154" s="3" t="str">
        <f>IF(ISERROR(VLOOKUP($A154,'SegEnds_NonXtal_BW#'!$A:$Z,17,FALSE)+VLOOKUP($A154,A:AL,25,FALSE)-50),"-",(VLOOKUP($A154,'SegEnds_NonXtal_BW#'!$A:$Z,17,FALSE)+VLOOKUP($A154,A:AL,25,FALSE)-50))</f>
        <v>-</v>
      </c>
      <c r="Y154" s="3" t="s">
        <v>23</v>
      </c>
      <c r="Z154" s="3" t="str">
        <f>IF(ISERROR(VLOOKUP($A154,'SegEnds_NonXtal_BW#'!$A:$Z,18,FALSE)+VLOOKUP($A154,A:AL,25,FALSE)-50),"-",(VLOOKUP($A154,'SegEnds_NonXtal_BW#'!$A:$Z,18,FALSE)+VLOOKUP($A154,A:AL,25,FALSE)-50))</f>
        <v>-</v>
      </c>
      <c r="AA154" s="3">
        <f>IF(ISERROR(VLOOKUP($A154,'SegEnds_NonXtal_BW#'!$A:$Z,19,FALSE)+VLOOKUP($A154,A:AL,28,FALSE)-50),"-",(VLOOKUP($A154,'SegEnds_NonXtal_BW#'!$A:$Z,19,FALSE)+VLOOKUP($A154,A:AL,28,FALSE)-50))</f>
        <v>223</v>
      </c>
      <c r="AB154" s="3">
        <v>238</v>
      </c>
      <c r="AC154" s="3">
        <f>IF(ISERROR((VLOOKUP($A154,'SegEnds_NonXtal_BW#'!$A:$Z,20,FALSE)+VLOOKUP($A154,A:AL,28,FALSE)-50)),"-",(VLOOKUP($A154,'SegEnds_NonXtal_BW#'!$A:$Z,20,FALSE)+VLOOKUP($A154,A:AL,28,FALSE)-50))</f>
        <v>262</v>
      </c>
      <c r="AD154" s="3">
        <f>IF(ISERROR(VLOOKUP($A154,'SegEnds_NonXtal_BW#'!$A:$Z,21,FALSE)+VLOOKUP($A154,A:AL,31,FALSE)-50),"-",(VLOOKUP($A154,'SegEnds_NonXtal_BW#'!$A:$Z,21,FALSE)+VLOOKUP($A154,A:AL,31,FALSE)-50))</f>
        <v>270</v>
      </c>
      <c r="AE154" s="3">
        <v>299</v>
      </c>
      <c r="AF154" s="3">
        <f>IF(ISERROR((VLOOKUP($A154,'SegEnds_NonXtal_BW#'!$A:$Z,22,FALSE)+VLOOKUP($A154,A:AL,31,FALSE)-50)),"-",(VLOOKUP($A154,'SegEnds_NonXtal_BW#'!$A:$Z,22,FALSE)+VLOOKUP($A154,A:AL,31,FALSE)-50))</f>
        <v>310</v>
      </c>
      <c r="AG154" s="3">
        <f>IF(ISERROR(VLOOKUP($A154,'SegEnds_NonXtal_BW#'!$A:$Z,23,FALSE)+VLOOKUP($A154,A:AL,34,FALSE)-50),"-",(VLOOKUP($A154,'SegEnds_NonXtal_BW#'!$A:$Z,23,FALSE)+VLOOKUP($A154,A:AL,34,FALSE)-50))</f>
        <v>315</v>
      </c>
      <c r="AH154" s="3">
        <v>333</v>
      </c>
      <c r="AI154" s="3">
        <f>IF(ISERROR((VLOOKUP($A154,'SegEnds_NonXtal_BW#'!$A:$Z,24,FALSE)+VLOOKUP($A154,A:AL,34,FALSE)-50)),"-",(VLOOKUP($A154,'SegEnds_NonXtal_BW#'!$A:$Z,24,FALSE)+VLOOKUP($A154,A:AL,34,FALSE)-50))</f>
        <v>339</v>
      </c>
      <c r="AJ154" s="3">
        <f>IF(ISERROR(VLOOKUP($A154,'SegEnds_NonXtal_BW#'!$A:$Z,25,FALSE)+VLOOKUP($A154,A:AL,37,FALSE)-50),"-",(VLOOKUP($A154,'SegEnds_NonXtal_BW#'!$A:$Z,25,FALSE)+VLOOKUP($A154,A:AL,37,FALSE)-50))</f>
        <v>340</v>
      </c>
      <c r="AK154" s="3">
        <v>343</v>
      </c>
      <c r="AL154" s="3">
        <f>IF(ISERROR((VLOOKUP($A154,'SegEnds_NonXtal_BW#'!$A:$Z,26,FALSE)+VLOOKUP($A154,A:AL,37,FALSE)-50)),"-",(VLOOKUP($A154,'SegEnds_NonXtal_BW#'!$A:$Z,26,FALSE)+VLOOKUP($A154,A:AL,37,FALSE)-50))</f>
        <v>351</v>
      </c>
      <c r="AM154" s="28" t="str">
        <f>VLOOKUP(A154,Classification!A:B,2,FALSE)</f>
        <v>A</v>
      </c>
      <c r="AN154" s="28" t="b">
        <f>AND(IF(Y154="-",IF(AA154-W154&gt;3,TRUE,FALSE),TRUE),IF(M154="-",IF(O154-K154&gt;3,TRUE,FALSE),TRUE),C154&lt;E154,OR(E154&lt;F154,F154="-"),OR(F154&lt;H154,F154="-"),OR(H154&lt;I154,H154="-"),I154&lt;K154,OR(K154&lt;L154,L154="-"),OR(L154&lt;N154,L154="-"),OR(N154&lt;O154,N154="-"),O154&lt;Q154,OR(Q154&lt;R154,R154="-"),OR(R154&lt;T154,R154="-"),OR(T154&lt;U154,T154="-"),U154&lt;W154,OR(W154&lt;X154,X154="-"),OR(X154&lt;Z154,X154="-"),OR(Z154&lt;AA154,Z154="-"),AA154&lt;AC154,AC154&lt;AD154,AD154&lt;AF154,AF154&lt;AG154,AG154&lt;AI154,OR(AI154&lt;AJ154,AJ154="-"),OR(AJ154&lt;AL154,AJ154="-"))</f>
        <v>1</v>
      </c>
      <c r="AO154" s="3" t="str">
        <f>IF(ISERROR(MATCH(A154,'SegEnds_Xtal_Prot#'!B:B, 0)), "NoXtal", "Xtal")</f>
        <v>NoXtal</v>
      </c>
      <c r="AP154" s="3">
        <f>IF(ISERROR(F154-E154),"-",F154-E154)</f>
        <v>1</v>
      </c>
      <c r="AQ154" s="3">
        <f>IF(ISERROR(I154-H154),"-",I154-H154)</f>
        <v>1</v>
      </c>
      <c r="AR154" s="3" t="str">
        <f>IF(ISERROR(L154-K154),"-",L154-K154)</f>
        <v>-</v>
      </c>
      <c r="AS154" s="3" t="str">
        <f>IF(ISERROR(O154-N154),"-",O154-N154)</f>
        <v>-</v>
      </c>
      <c r="AT154" s="3">
        <f>IF(ISERROR(R154-Q154),"-",R154-Q154)</f>
        <v>2</v>
      </c>
      <c r="AU154" s="3">
        <f>IF(ISERROR(U154-T154),"-",U154-T154)</f>
        <v>1</v>
      </c>
      <c r="AV154" s="3" t="str">
        <f>IF(ISERROR(X154-W154),"-",X154-W154)</f>
        <v>-</v>
      </c>
      <c r="AW154" s="3" t="str">
        <f>IF(ISERROR(AA154-Z154),"-",AA154-Z154)</f>
        <v>-</v>
      </c>
      <c r="AX154" s="3">
        <f>IF(ISERROR(AD154-AC154),"-",AD154-AC154)</f>
        <v>8</v>
      </c>
      <c r="AY154" s="3">
        <f>IF(ISERROR(AG154-AF154),"-",AG154-AF154)</f>
        <v>5</v>
      </c>
      <c r="AZ154" s="3">
        <f>IF(ISERROR(AJ154-AI154),"-",AJ154-AI154)</f>
        <v>1</v>
      </c>
      <c r="BA154" s="3">
        <f>IF(ISERROR(LEN(VLOOKUP(A154,Seqs!A:E,2,FALSE))-AL154),"-",LEN(VLOOKUP(A154,Seqs!A:E,2,FALSE))-AL154)</f>
        <v>33</v>
      </c>
      <c r="BB154" s="16">
        <f>J154-D154</f>
        <v>28</v>
      </c>
      <c r="BC154" s="9">
        <f>IF(ISERROR(V154-S154),"-",V154-S154)</f>
        <v>20</v>
      </c>
      <c r="BD154" s="3">
        <f>J154-D154</f>
        <v>28</v>
      </c>
      <c r="BE154" s="3">
        <f>AE154-AB154</f>
        <v>61</v>
      </c>
    </row>
    <row r="155" spans="1:58" s="3" customFormat="1" x14ac:dyDescent="0.2">
      <c r="A155" s="3" t="s">
        <v>274</v>
      </c>
      <c r="B155" s="3" t="str">
        <f>LOWER(VLOOKUP(A155,Xtal_Templ!A:B,2,FALSE))</f>
        <v>ednrb_human</v>
      </c>
      <c r="C155" s="3">
        <f>VLOOKUP($A155,'SegEnds_NonXtal_BW#'!$A:$Z,3,FALSE)+D155-50</f>
        <v>30</v>
      </c>
      <c r="D155" s="3">
        <v>58</v>
      </c>
      <c r="E155" s="3">
        <f>IF(ISERROR(VLOOKUP($A155,'SegEnds_NonXtal_BW#'!$A:$Z,4,FALSE)+VLOOKUP($A155,A:AL,4,FALSE)-50),"-",(VLOOKUP($A155,'SegEnds_NonXtal_BW#'!$A:$Z,4,FALSE)+VLOOKUP($A155,A:AL,4,FALSE)-50))</f>
        <v>68</v>
      </c>
      <c r="F155" s="3">
        <f>G155-2</f>
        <v>69</v>
      </c>
      <c r="G155" s="3">
        <v>71</v>
      </c>
      <c r="H155" s="3">
        <f>G155+1</f>
        <v>72</v>
      </c>
      <c r="I155" s="3">
        <f>H155+1</f>
        <v>73</v>
      </c>
      <c r="J155" s="3">
        <v>86</v>
      </c>
      <c r="K155" s="3">
        <f>VLOOKUP($A155,'SegEnds_NonXtal_BW#'!$A:$Z,8,FALSE)+VLOOKUP($A155,A:AL,10,FALSE)-50</f>
        <v>103</v>
      </c>
      <c r="L155" s="3">
        <f>M155-1</f>
        <v>105</v>
      </c>
      <c r="M155" s="3">
        <v>106</v>
      </c>
      <c r="N155" s="3">
        <f>M155+2</f>
        <v>108</v>
      </c>
      <c r="O155" s="3">
        <f>N155+1</f>
        <v>109</v>
      </c>
      <c r="P155" s="3">
        <v>138</v>
      </c>
      <c r="Q155" s="3">
        <f>VLOOKUP($A155,'SegEnds_NonXtal_BW#'!$A:$Z,12,FALSE)+VLOOKUP($A155,A:AL,16,FALSE)-50</f>
        <v>144</v>
      </c>
      <c r="R155" s="3">
        <f>IF(ISERROR(VLOOKUP($A155,'SegEnds_NonXtal_BW#'!$A:$Z,13,FALSE)+VLOOKUP($A155,A:AL,19,FALSE)-50),"-",VLOOKUP($A155,'SegEnds_NonXtal_BW#'!$A:$Z,13,FALSE)+VLOOKUP($A155,A:AL,19,FALSE)-50)</f>
        <v>145</v>
      </c>
      <c r="S155" s="3">
        <v>145</v>
      </c>
      <c r="T155" s="103">
        <f>IF(ISERROR(VLOOKUP($A155,'SegEnds_NonXtal_BW#'!$A:$Z,14,FALSE)+VLOOKUP($A155,A:AL,19,FALSE)-50),"-",(VLOOKUP($A155,'SegEnds_NonXtal_BW#'!$A:$Z,14,FALSE)+VLOOKUP($A155,A:AL,19,FALSE)-50))</f>
        <v>152</v>
      </c>
      <c r="U155" s="9">
        <f>IF(ISERROR(VLOOKUP($A155,'SegEnds_NonXtal_BW#'!$A:$Z,15,FALSE)+VLOOKUP($A155,A:AL,22,FALSE)-50),"-",VLOOKUP($A155,'SegEnds_NonXtal_BW#'!$A:$Z,15,FALSE)+VLOOKUP($A155,A:AL,22,FALSE)-50)</f>
        <v>153</v>
      </c>
      <c r="V155" s="3">
        <v>165</v>
      </c>
      <c r="W155" s="3">
        <f>IF(ISERROR(VLOOKUP($A155,'SegEnds_NonXtal_BW#'!$A:$Z,16,FALSE)+VLOOKUP($A155,A:AL,22,FALSE)-50),"-",(VLOOKUP($A155,'SegEnds_NonXtal_BW#'!$A:$Z,16,FALSE)+VLOOKUP($A155,A:AL,22,FALSE)-50))</f>
        <v>179</v>
      </c>
      <c r="X155" s="3">
        <f>IF(ISERROR(VLOOKUP($A155,'SegEnds_NonXtal_BW#'!$A:$Z,17,FALSE)+VLOOKUP($A155,A:AL,25,FALSE)-50),"-",(VLOOKUP($A155,'SegEnds_NonXtal_BW#'!$A:$Z,17,FALSE)+VLOOKUP($A155,A:AL,25,FALSE)-50))</f>
        <v>196</v>
      </c>
      <c r="Y155" s="3">
        <v>196</v>
      </c>
      <c r="Z155" s="3">
        <f>Y155+2</f>
        <v>198</v>
      </c>
      <c r="AA155" s="3">
        <f>IF(ISERROR(VLOOKUP($A155,'SegEnds_NonXtal_BW#'!$A:$Z,19,FALSE)+VLOOKUP($A155,A:AL,28,FALSE)-50),"-",(VLOOKUP($A155,'SegEnds_NonXtal_BW#'!$A:$Z,19,FALSE)+VLOOKUP($A155,A:AL,28,FALSE)-50))</f>
        <v>200</v>
      </c>
      <c r="AB155" s="3">
        <v>222</v>
      </c>
      <c r="AC155" s="3">
        <f>IF(ISERROR((VLOOKUP($A155,'SegEnds_NonXtal_BW#'!$A:$Z,20,FALSE)+VLOOKUP($A155,A:AL,28,FALSE)-50)),"-",(VLOOKUP($A155,'SegEnds_NonXtal_BW#'!$A:$Z,20,FALSE)+VLOOKUP($A155,A:AL,28,FALSE)-50))</f>
        <v>244</v>
      </c>
      <c r="AD155" s="3">
        <f>IF(ISERROR(VLOOKUP($A155,'SegEnds_NonXtal_BW#'!$A:$Z,21,FALSE)+VLOOKUP($A155,A:AL,31,FALSE)-50),"-",(VLOOKUP($A155,'SegEnds_NonXtal_BW#'!$A:$Z,21,FALSE)+VLOOKUP($A155,A:AL,31,FALSE)-50))</f>
        <v>253</v>
      </c>
      <c r="AE155" s="3">
        <v>279</v>
      </c>
      <c r="AF155" s="3">
        <f>IF(ISERROR((VLOOKUP($A155,'SegEnds_NonXtal_BW#'!$A:$Z,22,FALSE)+VLOOKUP($A155,A:AL,31,FALSE)-50)),"-",(VLOOKUP($A155,'SegEnds_NonXtal_BW#'!$A:$Z,22,FALSE)+VLOOKUP($A155,A:AL,31,FALSE)-50))</f>
        <v>290</v>
      </c>
      <c r="AG155" s="3">
        <f>IF(ISERROR(VLOOKUP($A155,'SegEnds_NonXtal_BW#'!$A:$Z,23,FALSE)+VLOOKUP($A155,A:AL,34,FALSE)-50),"-",(VLOOKUP($A155,'SegEnds_NonXtal_BW#'!$A:$Z,23,FALSE)+VLOOKUP($A155,A:AL,34,FALSE)-50))</f>
        <v>297</v>
      </c>
      <c r="AH155" s="3">
        <v>319</v>
      </c>
      <c r="AI155" s="3">
        <f>IF(ISERROR((VLOOKUP($A155,'SegEnds_NonXtal_BW#'!$A:$Z,24,FALSE)+VLOOKUP($A155,A:AL,34,FALSE)-50)),"-",(VLOOKUP($A155,'SegEnds_NonXtal_BW#'!$A:$Z,24,FALSE)+VLOOKUP($A155,A:AL,34,FALSE)-50))</f>
        <v>325</v>
      </c>
      <c r="AJ155" s="3">
        <f>IF(ISERROR(VLOOKUP($A155,'SegEnds_NonXtal_BW#'!$A:$Z,25,FALSE)+VLOOKUP($A155,A:AL,37,FALSE)-50),"-",(VLOOKUP($A155,'SegEnds_NonXtal_BW#'!$A:$Z,25,FALSE)+VLOOKUP($A155,A:AL,37,FALSE)-50))</f>
        <v>326</v>
      </c>
      <c r="AK155" s="3">
        <v>329</v>
      </c>
      <c r="AL155" s="3">
        <f>IF(ISERROR((VLOOKUP($A155,'SegEnds_NonXtal_BW#'!$A:$Z,26,FALSE)+VLOOKUP($A155,A:AL,37,FALSE)-50)),"-",(VLOOKUP($A155,'SegEnds_NonXtal_BW#'!$A:$Z,26,FALSE)+VLOOKUP($A155,A:AL,37,FALSE)-50))</f>
        <v>339</v>
      </c>
      <c r="AM155" s="28" t="str">
        <f>VLOOKUP(A155,Classification!A:B,2,FALSE)</f>
        <v>A</v>
      </c>
      <c r="AN155" s="28" t="b">
        <f>AND(IF(Y155="-",IF(AA155-W155&gt;3,TRUE,FALSE),TRUE),IF(M155="-",IF(O155-K155&gt;3,TRUE,FALSE),TRUE),C155&lt;E155,OR(E155&lt;F155,F155="-"),OR(F155&lt;H155,F155="-"),OR(H155&lt;I155,H155="-"),I155&lt;K155,OR(K155&lt;L155,L155="-"),OR(L155&lt;N155,L155="-"),OR(N155&lt;O155,N155="-"),O155&lt;Q155,OR(Q155&lt;R155,R155="-"),OR(R155&lt;T155,R155="-"),OR(T155&lt;U155,T155="-"),U155&lt;W155,OR(W155&lt;X155,X155="-"),OR(X155&lt;Z155,X155="-"),OR(Z155&lt;AA155,Z155="-"),AA155&lt;AC155,AC155&lt;AD155,AD155&lt;AF155,AF155&lt;AG155,AG155&lt;AI155,OR(AI155&lt;AJ155,AJ155="-"),OR(AJ155&lt;AL155,AJ155="-"))</f>
        <v>1</v>
      </c>
      <c r="AO155" s="3" t="str">
        <f>IF(ISERROR(MATCH(A155,'SegEnds_Xtal_Prot#'!B:B, 0)), "NoXtal", "Xtal")</f>
        <v>NoXtal</v>
      </c>
      <c r="AP155" s="3">
        <f>IF(ISERROR(F155-E155),"-",F155-E155)</f>
        <v>1</v>
      </c>
      <c r="AQ155" s="3">
        <f>IF(ISERROR(I155-H155),"-",I155-H155)</f>
        <v>1</v>
      </c>
      <c r="AR155" s="3">
        <f>IF(ISERROR(L155-K155),"-",L155-K155)</f>
        <v>2</v>
      </c>
      <c r="AS155" s="3">
        <f>IF(ISERROR(O155-N155),"-",O155-N155)</f>
        <v>1</v>
      </c>
      <c r="AT155" s="3">
        <f>IF(ISERROR(R155-Q155),"-",R155-Q155)</f>
        <v>1</v>
      </c>
      <c r="AU155" s="3">
        <f>IF(ISERROR(U155-T155),"-",U155-T155)</f>
        <v>1</v>
      </c>
      <c r="AV155" s="3">
        <f>IF(ISERROR(X155-W155),"-",X155-W155)</f>
        <v>17</v>
      </c>
      <c r="AW155" s="3">
        <f>IF(ISERROR(AA155-Z155),"-",AA155-Z155)</f>
        <v>2</v>
      </c>
      <c r="AX155" s="3">
        <f>IF(ISERROR(AD155-AC155),"-",AD155-AC155)</f>
        <v>9</v>
      </c>
      <c r="AY155" s="3">
        <f>IF(ISERROR(AG155-AF155),"-",AG155-AF155)</f>
        <v>7</v>
      </c>
      <c r="AZ155" s="3">
        <f>IF(ISERROR(AJ155-AI155),"-",AJ155-AI155)</f>
        <v>1</v>
      </c>
      <c r="BA155" s="3">
        <f>IF(ISERROR(LEN(VLOOKUP(A155,Seqs!A:E,2,FALSE))-AL155),"-",LEN(VLOOKUP(A155,Seqs!A:E,2,FALSE))-AL155)</f>
        <v>45</v>
      </c>
      <c r="BB155" s="16">
        <f>J155-D155</f>
        <v>28</v>
      </c>
      <c r="BC155" s="9">
        <f>IF(ISERROR(V155-S155),"-",V155-S155)</f>
        <v>20</v>
      </c>
      <c r="BD155" s="3">
        <f>J155-D155</f>
        <v>28</v>
      </c>
      <c r="BE155" s="3">
        <f>AE155-AB155</f>
        <v>57</v>
      </c>
    </row>
    <row r="156" spans="1:58" s="3" customFormat="1" x14ac:dyDescent="0.2">
      <c r="A156" s="3" t="s">
        <v>275</v>
      </c>
      <c r="B156" s="3" t="str">
        <f>LOWER(VLOOKUP(A156,Xtal_Templ!A:B,2,FALSE))</f>
        <v>p2ry1_human</v>
      </c>
      <c r="C156" s="3">
        <f>VLOOKUP($A156,'SegEnds_NonXtal_BW#'!$A:$Z,3,FALSE)+D156-50</f>
        <v>13</v>
      </c>
      <c r="D156" s="3">
        <v>33</v>
      </c>
      <c r="E156" s="3">
        <f>IF(ISERROR(VLOOKUP($A156,'SegEnds_NonXtal_BW#'!$A:$Z,4,FALSE)+VLOOKUP($A156,A:AL,4,FALSE)-50),"-",(VLOOKUP($A156,'SegEnds_NonXtal_BW#'!$A:$Z,4,FALSE)+VLOOKUP($A156,A:AL,4,FALSE)-50))</f>
        <v>43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48</v>
      </c>
      <c r="J156" s="3">
        <v>61</v>
      </c>
      <c r="K156" s="3">
        <f>VLOOKUP($A156,'SegEnds_NonXtal_BW#'!$A:$Z,8,FALSE)+VLOOKUP($A156,A:AL,10,FALSE)-50</f>
        <v>77</v>
      </c>
      <c r="L156" s="3">
        <f>M156-1</f>
        <v>80</v>
      </c>
      <c r="M156" s="3">
        <v>81</v>
      </c>
      <c r="N156" s="3">
        <f>M156+2</f>
        <v>83</v>
      </c>
      <c r="O156" s="3">
        <f>N156+1</f>
        <v>84</v>
      </c>
      <c r="P156" s="3">
        <v>113</v>
      </c>
      <c r="Q156" s="3">
        <f>VLOOKUP($A156,'SegEnds_NonXtal_BW#'!$A:$Z,12,FALSE)+VLOOKUP($A156,A:AL,16,FALSE)-50</f>
        <v>119</v>
      </c>
      <c r="R156" s="3">
        <f>IF(ISERROR(VLOOKUP($A156,'SegEnds_NonXtal_BW#'!$A:$Z,13,FALSE)+VLOOKUP($A156,A:AL,19,FALSE)-50),"-",VLOOKUP($A156,'SegEnds_NonXtal_BW#'!$A:$Z,13,FALSE)+VLOOKUP($A156,A:AL,19,FALSE)-50)</f>
        <v>120</v>
      </c>
      <c r="S156" s="3">
        <v>120</v>
      </c>
      <c r="T156" s="103">
        <f>IF(ISERROR(VLOOKUP($A156,'SegEnds_NonXtal_BW#'!$A:$Z,14,FALSE)+VLOOKUP($A156,A:AL,19,FALSE)-50),"-",(VLOOKUP($A156,'SegEnds_NonXtal_BW#'!$A:$Z,14,FALSE)+VLOOKUP($A156,A:AL,19,FALSE)-50))</f>
        <v>127</v>
      </c>
      <c r="U156" s="9">
        <f>IF(ISERROR(VLOOKUP($A156,'SegEnds_NonXtal_BW#'!$A:$Z,15,FALSE)+VLOOKUP($A156,A:AL,22,FALSE)-50),"-",VLOOKUP($A156,'SegEnds_NonXtal_BW#'!$A:$Z,15,FALSE)+VLOOKUP($A156,A:AL,22,FALSE)-50)</f>
        <v>128</v>
      </c>
      <c r="V156" s="3">
        <v>140</v>
      </c>
      <c r="W156" s="3">
        <f>IF(ISERROR(VLOOKUP($A156,'SegEnds_NonXtal_BW#'!$A:$Z,16,FALSE)+VLOOKUP($A156,A:AL,22,FALSE)-50),"-",(VLOOKUP($A156,'SegEnds_NonXtal_BW#'!$A:$Z,16,FALSE)+VLOOKUP($A156,A:AL,22,FALSE)-50))</f>
        <v>154</v>
      </c>
      <c r="X156" s="3">
        <f>IF(ISERROR(VLOOKUP($A156,'SegEnds_NonXtal_BW#'!$A:$Z,17,FALSE)+VLOOKUP($A156,A:AL,25,FALSE)-50),"-",(VLOOKUP($A156,'SegEnds_NonXtal_BW#'!$A:$Z,17,FALSE)+VLOOKUP($A156,A:AL,25,FALSE)-50))</f>
        <v>165</v>
      </c>
      <c r="Y156" s="3">
        <v>165</v>
      </c>
      <c r="Z156" s="3">
        <f>Y156+2</f>
        <v>167</v>
      </c>
      <c r="AA156" s="3">
        <f>IF(ISERROR(VLOOKUP($A156,'SegEnds_NonXtal_BW#'!$A:$Z,19,FALSE)+VLOOKUP($A156,A:AL,28,FALSE)-50),"-",(VLOOKUP($A156,'SegEnds_NonXtal_BW#'!$A:$Z,19,FALSE)+VLOOKUP($A156,A:AL,28,FALSE)-50))</f>
        <v>170</v>
      </c>
      <c r="AB156" s="3">
        <v>188</v>
      </c>
      <c r="AC156" s="3">
        <f>IF(ISERROR((VLOOKUP($A156,'SegEnds_NonXtal_BW#'!$A:$Z,20,FALSE)+VLOOKUP($A156,A:AL,28,FALSE)-50)),"-",(VLOOKUP($A156,'SegEnds_NonXtal_BW#'!$A:$Z,20,FALSE)+VLOOKUP($A156,A:AL,28,FALSE)-50))</f>
        <v>205</v>
      </c>
      <c r="AD156" s="3">
        <f>IF(ISERROR(VLOOKUP($A156,'SegEnds_NonXtal_BW#'!$A:$Z,21,FALSE)+VLOOKUP($A156,A:AL,31,FALSE)-50),"-",(VLOOKUP($A156,'SegEnds_NonXtal_BW#'!$A:$Z,21,FALSE)+VLOOKUP($A156,A:AL,31,FALSE)-50))</f>
        <v>211</v>
      </c>
      <c r="AE156" s="3">
        <v>235</v>
      </c>
      <c r="AF156" s="3">
        <f>IF(ISERROR((VLOOKUP($A156,'SegEnds_NonXtal_BW#'!$A:$Z,22,FALSE)+VLOOKUP($A156,A:AL,31,FALSE)-50)),"-",(VLOOKUP($A156,'SegEnds_NonXtal_BW#'!$A:$Z,22,FALSE)+VLOOKUP($A156,A:AL,31,FALSE)-50))</f>
        <v>246</v>
      </c>
      <c r="AG156" s="3">
        <f>IF(ISERROR(VLOOKUP($A156,'SegEnds_NonXtal_BW#'!$A:$Z,23,FALSE)+VLOOKUP($A156,A:AL,34,FALSE)-50),"-",(VLOOKUP($A156,'SegEnds_NonXtal_BW#'!$A:$Z,23,FALSE)+VLOOKUP($A156,A:AL,34,FALSE)-50))</f>
        <v>253</v>
      </c>
      <c r="AH156" s="3">
        <v>275</v>
      </c>
      <c r="AI156" s="3">
        <f>IF(ISERROR((VLOOKUP($A156,'SegEnds_NonXtal_BW#'!$A:$Z,24,FALSE)+VLOOKUP($A156,A:AL,34,FALSE)-50)),"-",(VLOOKUP($A156,'SegEnds_NonXtal_BW#'!$A:$Z,24,FALSE)+VLOOKUP($A156,A:AL,34,FALSE)-50))</f>
        <v>281</v>
      </c>
      <c r="AJ156" s="3">
        <f>IF(ISERROR(VLOOKUP($A156,'SegEnds_NonXtal_BW#'!$A:$Z,25,FALSE)+VLOOKUP($A156,A:AL,37,FALSE)-50),"-",(VLOOKUP($A156,'SegEnds_NonXtal_BW#'!$A:$Z,25,FALSE)+VLOOKUP($A156,A:AL,37,FALSE)-50))</f>
        <v>282</v>
      </c>
      <c r="AK156" s="3">
        <v>285</v>
      </c>
      <c r="AL156" s="3">
        <f>IF(ISERROR((VLOOKUP($A156,'SegEnds_NonXtal_BW#'!$A:$Z,26,FALSE)+VLOOKUP($A156,A:AL,37,FALSE)-50)),"-",(VLOOKUP($A156,'SegEnds_NonXtal_BW#'!$A:$Z,26,FALSE)+VLOOKUP($A156,A:AL,37,FALSE)-50))</f>
        <v>294</v>
      </c>
      <c r="AM156" s="28" t="str">
        <f>VLOOKUP(A156,Classification!A:B,2,FALSE)</f>
        <v>A</v>
      </c>
      <c r="AN156" s="28" t="b">
        <f>AND(IF(Y156="-",IF(AA156-W156&gt;3,TRUE,FALSE),TRUE),IF(M156="-",IF(O156-K156&gt;3,TRUE,FALSE),TRUE),C156&lt;E156,OR(E156&lt;F156,F156="-"),OR(F156&lt;H156,F156="-"),OR(H156&lt;I156,H156="-"),I156&lt;K156,OR(K156&lt;L156,L156="-"),OR(L156&lt;N156,L156="-"),OR(N156&lt;O156,N156="-"),O156&lt;Q156,OR(Q156&lt;R156,R156="-"),OR(R156&lt;T156,R156="-"),OR(T156&lt;U156,T156="-"),U156&lt;W156,OR(W156&lt;X156,X156="-"),OR(X156&lt;Z156,X156="-"),OR(Z156&lt;AA156,Z156="-"),AA156&lt;AC156,AC156&lt;AD156,AD156&lt;AF156,AF156&lt;AG156,AG156&lt;AI156,OR(AI156&lt;AJ156,AJ156="-"),OR(AJ156&lt;AL156,AJ156="-"))</f>
        <v>1</v>
      </c>
      <c r="AO156" s="3" t="str">
        <f>IF(ISERROR(MATCH(A156,'SegEnds_Xtal_Prot#'!B:B, 0)), "NoXtal", "Xtal")</f>
        <v>NoXtal</v>
      </c>
      <c r="AP156" s="3" t="str">
        <f>IF(ISERROR(F156-E156),"-",F156-E156)</f>
        <v>-</v>
      </c>
      <c r="AQ156" s="3" t="str">
        <f>IF(ISERROR(I156-H156),"-",I156-H156)</f>
        <v>-</v>
      </c>
      <c r="AR156" s="3">
        <f>IF(ISERROR(L156-K156),"-",L156-K156)</f>
        <v>3</v>
      </c>
      <c r="AS156" s="3">
        <f>IF(ISERROR(O156-N156),"-",O156-N156)</f>
        <v>1</v>
      </c>
      <c r="AT156" s="3">
        <f>IF(ISERROR(R156-Q156),"-",R156-Q156)</f>
        <v>1</v>
      </c>
      <c r="AU156" s="3">
        <f>IF(ISERROR(U156-T156),"-",U156-T156)</f>
        <v>1</v>
      </c>
      <c r="AV156" s="3">
        <f>IF(ISERROR(X156-W156),"-",X156-W156)</f>
        <v>11</v>
      </c>
      <c r="AW156" s="3">
        <f>IF(ISERROR(AA156-Z156),"-",AA156-Z156)</f>
        <v>3</v>
      </c>
      <c r="AX156" s="3">
        <f>IF(ISERROR(AD156-AC156),"-",AD156-AC156)</f>
        <v>6</v>
      </c>
      <c r="AY156" s="3">
        <f>IF(ISERROR(AG156-AF156),"-",AG156-AF156)</f>
        <v>7</v>
      </c>
      <c r="AZ156" s="3">
        <f>IF(ISERROR(AJ156-AI156),"-",AJ156-AI156)</f>
        <v>1</v>
      </c>
      <c r="BA156" s="3">
        <f>IF(ISERROR(LEN(VLOOKUP(A156,Seqs!A:E,2,FALSE))-AL156),"-",LEN(VLOOKUP(A156,Seqs!A:E,2,FALSE))-AL156)</f>
        <v>52</v>
      </c>
      <c r="BB156" s="16">
        <f>J156-D156</f>
        <v>28</v>
      </c>
      <c r="BC156" s="9">
        <f>IF(ISERROR(V156-S156),"-",V156-S156)</f>
        <v>20</v>
      </c>
      <c r="BD156" s="3">
        <f>J156-D156</f>
        <v>28</v>
      </c>
      <c r="BE156" s="3">
        <f>AE156-AB156</f>
        <v>47</v>
      </c>
    </row>
    <row r="157" spans="1:58" s="3" customFormat="1" x14ac:dyDescent="0.2">
      <c r="A157" s="3" t="s">
        <v>276</v>
      </c>
      <c r="B157" s="3" t="str">
        <f>LOWER(VLOOKUP(A157,Xtal_Templ!A:B,2,FALSE))</f>
        <v>oprk_human</v>
      </c>
      <c r="C157" s="3">
        <f>VLOOKUP($A157,'SegEnds_NonXtal_BW#'!$A:$Z,3,FALSE)+D157-50</f>
        <v>25</v>
      </c>
      <c r="D157" s="3">
        <v>45</v>
      </c>
      <c r="E157" s="3">
        <f>IF(ISERROR(VLOOKUP($A157,'SegEnds_NonXtal_BW#'!$A:$Z,4,FALSE)+VLOOKUP($A157,A:AL,4,FALSE)-50),"-",(VLOOKUP($A157,'SegEnds_NonXtal_BW#'!$A:$Z,4,FALSE)+VLOOKUP($A157,A:AL,4,FALSE)-50))</f>
        <v>55</v>
      </c>
      <c r="F157" s="3" t="str">
        <f>IF(ISERROR(VLOOKUP($A157,'SegEnds_NonXtal_BW#'!$A:$Z,5,FALSE)+VLOOKUP($A157,A:AL,7,FALSE)-50),"-",(VLOOKUP($A157,'SegEnds_NonXtal_BW#'!$A:$Z,5,FALSE)+VLOOKUP($A157,A:AL,7,FALSE)-50))</f>
        <v>-</v>
      </c>
      <c r="G157" s="3" t="s">
        <v>23</v>
      </c>
      <c r="H157" s="3" t="str">
        <f>IF(ISERROR(VLOOKUP($A157,'SegEnds_NonXtal_BW#'!$A:$Z,6,FALSE)+VLOOKUP($A157,A:AL,7,FALSE)-50),"-",(VLOOKUP($A157,'SegEnds_NonXtal_BW#'!$A:$Z,6,FALSE)+VLOOKUP($A157,A:AL,7,FALSE)-50))</f>
        <v>-</v>
      </c>
      <c r="I157" s="3">
        <f>VLOOKUP($A157,'SegEnds_NonXtal_BW#'!$A:$Z,7,FALSE)+J157-50</f>
        <v>60</v>
      </c>
      <c r="J157" s="3">
        <v>73</v>
      </c>
      <c r="K157" s="3">
        <f>VLOOKUP($A157,'SegEnds_NonXtal_BW#'!$A:$Z,8,FALSE)+VLOOKUP($A157,A:AL,10,FALSE)-50</f>
        <v>89</v>
      </c>
      <c r="L157" s="3">
        <f>M157-1</f>
        <v>92</v>
      </c>
      <c r="M157" s="3">
        <v>93</v>
      </c>
      <c r="N157" s="3">
        <f>M157+2</f>
        <v>95</v>
      </c>
      <c r="O157" s="3">
        <f>N157+1</f>
        <v>96</v>
      </c>
      <c r="P157" s="3">
        <v>125</v>
      </c>
      <c r="Q157" s="3">
        <f>VLOOKUP($A157,'SegEnds_NonXtal_BW#'!$A:$Z,12,FALSE)+VLOOKUP($A157,A:AL,16,FALSE)-50</f>
        <v>131</v>
      </c>
      <c r="R157" s="3">
        <f>IF(ISERROR(VLOOKUP($A157,'SegEnds_NonXtal_BW#'!$A:$Z,13,FALSE)+VLOOKUP($A157,A:AL,19,FALSE)-50),"-",VLOOKUP($A157,'SegEnds_NonXtal_BW#'!$A:$Z,13,FALSE)+VLOOKUP($A157,A:AL,19,FALSE)-50)</f>
        <v>132</v>
      </c>
      <c r="S157" s="3">
        <v>132</v>
      </c>
      <c r="T157" s="103">
        <f>IF(ISERROR(VLOOKUP($A157,'SegEnds_NonXtal_BW#'!$A:$Z,14,FALSE)+VLOOKUP($A157,A:AL,19,FALSE)-50),"-",(VLOOKUP($A157,'SegEnds_NonXtal_BW#'!$A:$Z,14,FALSE)+VLOOKUP($A157,A:AL,19,FALSE)-50))</f>
        <v>139</v>
      </c>
      <c r="U157" s="9">
        <f>IF(ISERROR(VLOOKUP($A157,'SegEnds_NonXtal_BW#'!$A:$Z,15,FALSE)+VLOOKUP($A157,A:AL,22,FALSE)-50),"-",VLOOKUP($A157,'SegEnds_NonXtal_BW#'!$A:$Z,15,FALSE)+VLOOKUP($A157,A:AL,22,FALSE)-50)</f>
        <v>140</v>
      </c>
      <c r="V157" s="3">
        <v>152</v>
      </c>
      <c r="W157" s="3">
        <f>IF(ISERROR(VLOOKUP($A157,'SegEnds_NonXtal_BW#'!$A:$Z,16,FALSE)+VLOOKUP($A157,A:AL,22,FALSE)-50),"-",(VLOOKUP($A157,'SegEnds_NonXtal_BW#'!$A:$Z,16,FALSE)+VLOOKUP($A157,A:AL,22,FALSE)-50))</f>
        <v>166</v>
      </c>
      <c r="X157" s="3">
        <f>IF(ISERROR(VLOOKUP($A157,'SegEnds_NonXtal_BW#'!$A:$Z,17,FALSE)+VLOOKUP($A157,A:AL,25,FALSE)-50),"-",(VLOOKUP($A157,'SegEnds_NonXtal_BW#'!$A:$Z,17,FALSE)+VLOOKUP($A157,A:AL,25,FALSE)-50))</f>
        <v>177</v>
      </c>
      <c r="Y157" s="3">
        <v>177</v>
      </c>
      <c r="Z157" s="3">
        <f>Y157+2</f>
        <v>179</v>
      </c>
      <c r="AA157" s="3">
        <f>IF(ISERROR(VLOOKUP($A157,'SegEnds_NonXtal_BW#'!$A:$Z,19,FALSE)+VLOOKUP($A157,A:AL,28,FALSE)-50),"-",(VLOOKUP($A157,'SegEnds_NonXtal_BW#'!$A:$Z,19,FALSE)+VLOOKUP($A157,A:AL,28,FALSE)-50))</f>
        <v>181</v>
      </c>
      <c r="AB157" s="3">
        <v>200</v>
      </c>
      <c r="AC157" s="3">
        <f>IF(ISERROR((VLOOKUP($A157,'SegEnds_NonXtal_BW#'!$A:$Z,20,FALSE)+VLOOKUP($A157,A:AL,28,FALSE)-50)),"-",(VLOOKUP($A157,'SegEnds_NonXtal_BW#'!$A:$Z,20,FALSE)+VLOOKUP($A157,A:AL,28,FALSE)-50))</f>
        <v>217</v>
      </c>
      <c r="AD157" s="3">
        <f>IF(ISERROR(VLOOKUP($A157,'SegEnds_NonXtal_BW#'!$A:$Z,21,FALSE)+VLOOKUP($A157,A:AL,31,FALSE)-50),"-",(VLOOKUP($A157,'SegEnds_NonXtal_BW#'!$A:$Z,21,FALSE)+VLOOKUP($A157,A:AL,31,FALSE)-50))</f>
        <v>222</v>
      </c>
      <c r="AE157" s="3">
        <v>246</v>
      </c>
      <c r="AF157" s="3">
        <f>IF(ISERROR((VLOOKUP($A157,'SegEnds_NonXtal_BW#'!$A:$Z,22,FALSE)+VLOOKUP($A157,A:AL,31,FALSE)-50)),"-",(VLOOKUP($A157,'SegEnds_NonXtal_BW#'!$A:$Z,22,FALSE)+VLOOKUP($A157,A:AL,31,FALSE)-50))</f>
        <v>260</v>
      </c>
      <c r="AG157" s="3">
        <f>IF(ISERROR(VLOOKUP($A157,'SegEnds_NonXtal_BW#'!$A:$Z,23,FALSE)+VLOOKUP($A157,A:AL,34,FALSE)-50),"-",(VLOOKUP($A157,'SegEnds_NonXtal_BW#'!$A:$Z,23,FALSE)+VLOOKUP($A157,A:AL,34,FALSE)-50))</f>
        <v>265</v>
      </c>
      <c r="AH157" s="3">
        <v>291</v>
      </c>
      <c r="AI157" s="3">
        <f>IF(ISERROR((VLOOKUP($A157,'SegEnds_NonXtal_BW#'!$A:$Z,24,FALSE)+VLOOKUP($A157,A:AL,34,FALSE)-50)),"-",(VLOOKUP($A157,'SegEnds_NonXtal_BW#'!$A:$Z,24,FALSE)+VLOOKUP($A157,A:AL,34,FALSE)-50))</f>
        <v>297</v>
      </c>
      <c r="AJ157" s="3">
        <f>IF(ISERROR(VLOOKUP($A157,'SegEnds_NonXtal_BW#'!$A:$Z,25,FALSE)+VLOOKUP($A157,A:AL,37,FALSE)-50),"-",(VLOOKUP($A157,'SegEnds_NonXtal_BW#'!$A:$Z,25,FALSE)+VLOOKUP($A157,A:AL,37,FALSE)-50))</f>
        <v>298</v>
      </c>
      <c r="AK157" s="3">
        <v>301</v>
      </c>
      <c r="AL157" s="3">
        <f>IF(ISERROR((VLOOKUP($A157,'SegEnds_NonXtal_BW#'!$A:$Z,26,FALSE)+VLOOKUP($A157,A:AL,37,FALSE)-50)),"-",(VLOOKUP($A157,'SegEnds_NonXtal_BW#'!$A:$Z,26,FALSE)+VLOOKUP($A157,A:AL,37,FALSE)-50))</f>
        <v>310</v>
      </c>
      <c r="AM157" s="28" t="str">
        <f>VLOOKUP(A157,Classification!A:B,2,FALSE)</f>
        <v>A</v>
      </c>
      <c r="AN157" s="28" t="b">
        <f>AND(IF(Y157="-",IF(AA157-W157&gt;3,TRUE,FALSE),TRUE),IF(M157="-",IF(O157-K157&gt;3,TRUE,FALSE),TRUE),C157&lt;E157,OR(E157&lt;F157,F157="-"),OR(F157&lt;H157,F157="-"),OR(H157&lt;I157,H157="-"),I157&lt;K157,OR(K157&lt;L157,L157="-"),OR(L157&lt;N157,L157="-"),OR(N157&lt;O157,N157="-"),O157&lt;Q157,OR(Q157&lt;R157,R157="-"),OR(R157&lt;T157,R157="-"),OR(T157&lt;U157,T157="-"),U157&lt;W157,OR(W157&lt;X157,X157="-"),OR(X157&lt;Z157,X157="-"),OR(Z157&lt;AA157,Z157="-"),AA157&lt;AC157,AC157&lt;AD157,AD157&lt;AF157,AF157&lt;AG157,AG157&lt;AI157,OR(AI157&lt;AJ157,AJ157="-"),OR(AJ157&lt;AL157,AJ157="-"))</f>
        <v>1</v>
      </c>
      <c r="AO157" s="3" t="str">
        <f>IF(ISERROR(MATCH(A157,'SegEnds_Xtal_Prot#'!B:B, 0)), "NoXtal", "Xtal")</f>
        <v>NoXtal</v>
      </c>
      <c r="AP157" s="3" t="str">
        <f>IF(ISERROR(F157-E157),"-",F157-E157)</f>
        <v>-</v>
      </c>
      <c r="AQ157" s="3" t="str">
        <f>IF(ISERROR(I157-H157),"-",I157-H157)</f>
        <v>-</v>
      </c>
      <c r="AR157" s="3">
        <f>IF(ISERROR(L157-K157),"-",L157-K157)</f>
        <v>3</v>
      </c>
      <c r="AS157" s="3">
        <f>IF(ISERROR(O157-N157),"-",O157-N157)</f>
        <v>1</v>
      </c>
      <c r="AT157" s="3">
        <f>IF(ISERROR(R157-Q157),"-",R157-Q157)</f>
        <v>1</v>
      </c>
      <c r="AU157" s="3">
        <f>IF(ISERROR(U157-T157),"-",U157-T157)</f>
        <v>1</v>
      </c>
      <c r="AV157" s="3">
        <f>IF(ISERROR(X157-W157),"-",X157-W157)</f>
        <v>11</v>
      </c>
      <c r="AW157" s="3">
        <f>IF(ISERROR(AA157-Z157),"-",AA157-Z157)</f>
        <v>2</v>
      </c>
      <c r="AX157" s="3">
        <f>IF(ISERROR(AD157-AC157),"-",AD157-AC157)</f>
        <v>5</v>
      </c>
      <c r="AY157" s="3">
        <f>IF(ISERROR(AG157-AF157),"-",AG157-AF157)</f>
        <v>5</v>
      </c>
      <c r="AZ157" s="3">
        <f>IF(ISERROR(AJ157-AI157),"-",AJ157-AI157)</f>
        <v>1</v>
      </c>
      <c r="BA157" s="3">
        <f>IF(ISERROR(LEN(VLOOKUP(A157,Seqs!A:E,2,FALSE))-AL157),"-",LEN(VLOOKUP(A157,Seqs!A:E,2,FALSE))-AL157)</f>
        <v>53</v>
      </c>
      <c r="BB157" s="16">
        <f>J157-D157</f>
        <v>28</v>
      </c>
      <c r="BC157" s="9">
        <f>IF(ISERROR(V157-S157),"-",V157-S157)</f>
        <v>20</v>
      </c>
      <c r="BD157" s="3">
        <f>J157-D157</f>
        <v>28</v>
      </c>
      <c r="BE157" s="3">
        <f>AE157-AB157</f>
        <v>46</v>
      </c>
    </row>
    <row r="158" spans="1:58" s="3" customFormat="1" x14ac:dyDescent="0.2">
      <c r="A158" s="3" t="s">
        <v>277</v>
      </c>
      <c r="B158" s="3" t="str">
        <f>LOWER(VLOOKUP(A158,Xtal_Templ!A:B,2,FALSE))</f>
        <v>p2ry1_human</v>
      </c>
      <c r="C158" s="3">
        <f>VLOOKUP($A158,'SegEnds_NonXtal_BW#'!$A:$Z,3,FALSE)+D158-50</f>
        <v>25</v>
      </c>
      <c r="D158" s="3">
        <v>45</v>
      </c>
      <c r="E158" s="3">
        <f>IF(ISERROR(VLOOKUP($A158,'SegEnds_NonXtal_BW#'!$A:$Z,4,FALSE)+VLOOKUP($A158,A:AL,4,FALSE)-50),"-",(VLOOKUP($A158,'SegEnds_NonXtal_BW#'!$A:$Z,4,FALSE)+VLOOKUP($A158,A:AL,4,FALSE)-50))</f>
        <v>55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60</v>
      </c>
      <c r="J158" s="3">
        <v>73</v>
      </c>
      <c r="K158" s="3">
        <f>VLOOKUP($A158,'SegEnds_NonXtal_BW#'!$A:$Z,8,FALSE)+VLOOKUP($A158,A:AL,10,FALSE)-50</f>
        <v>89</v>
      </c>
      <c r="L158" s="3">
        <f>M158-1</f>
        <v>92</v>
      </c>
      <c r="M158" s="3">
        <v>93</v>
      </c>
      <c r="N158" s="3">
        <f>M158+2</f>
        <v>95</v>
      </c>
      <c r="O158" s="3">
        <f>N158+1</f>
        <v>96</v>
      </c>
      <c r="P158" s="3">
        <v>125</v>
      </c>
      <c r="Q158" s="3">
        <f>VLOOKUP($A158,'SegEnds_NonXtal_BW#'!$A:$Z,12,FALSE)+VLOOKUP($A158,A:AL,16,FALSE)-50</f>
        <v>131</v>
      </c>
      <c r="R158" s="3">
        <f>IF(ISERROR(VLOOKUP($A158,'SegEnds_NonXtal_BW#'!$A:$Z,13,FALSE)+VLOOKUP($A158,A:AL,19,FALSE)-50),"-",VLOOKUP($A158,'SegEnds_NonXtal_BW#'!$A:$Z,13,FALSE)+VLOOKUP($A158,A:AL,19,FALSE)-50)</f>
        <v>132</v>
      </c>
      <c r="S158" s="3">
        <v>132</v>
      </c>
      <c r="T158" s="103">
        <f>IF(ISERROR(VLOOKUP($A158,'SegEnds_NonXtal_BW#'!$A:$Z,14,FALSE)+VLOOKUP($A158,A:AL,19,FALSE)-50),"-",(VLOOKUP($A158,'SegEnds_NonXtal_BW#'!$A:$Z,14,FALSE)+VLOOKUP($A158,A:AL,19,FALSE)-50))</f>
        <v>139</v>
      </c>
      <c r="U158" s="9">
        <f>IF(ISERROR(VLOOKUP($A158,'SegEnds_NonXtal_BW#'!$A:$Z,15,FALSE)+VLOOKUP($A158,A:AL,22,FALSE)-50),"-",VLOOKUP($A158,'SegEnds_NonXtal_BW#'!$A:$Z,15,FALSE)+VLOOKUP($A158,A:AL,22,FALSE)-50)</f>
        <v>140</v>
      </c>
      <c r="V158" s="3">
        <v>152</v>
      </c>
      <c r="W158" s="3">
        <f>IF(ISERROR(VLOOKUP($A158,'SegEnds_NonXtal_BW#'!$A:$Z,16,FALSE)+VLOOKUP($A158,A:AL,22,FALSE)-50),"-",(VLOOKUP($A158,'SegEnds_NonXtal_BW#'!$A:$Z,16,FALSE)+VLOOKUP($A158,A:AL,22,FALSE)-50))</f>
        <v>166</v>
      </c>
      <c r="X158" s="3">
        <f>IF(ISERROR(VLOOKUP($A158,'SegEnds_NonXtal_BW#'!$A:$Z,17,FALSE)+VLOOKUP($A158,A:AL,25,FALSE)-50),"-",(VLOOKUP($A158,'SegEnds_NonXtal_BW#'!$A:$Z,17,FALSE)+VLOOKUP($A158,A:AL,25,FALSE)-50))</f>
        <v>177</v>
      </c>
      <c r="Y158" s="3">
        <v>177</v>
      </c>
      <c r="Z158" s="3">
        <f>Y158+2</f>
        <v>179</v>
      </c>
      <c r="AA158" s="3">
        <f>IF(ISERROR(VLOOKUP($A158,'SegEnds_NonXtal_BW#'!$A:$Z,19,FALSE)+VLOOKUP($A158,A:AL,28,FALSE)-50),"-",(VLOOKUP($A158,'SegEnds_NonXtal_BW#'!$A:$Z,19,FALSE)+VLOOKUP($A158,A:AL,28,FALSE)-50))</f>
        <v>182</v>
      </c>
      <c r="AB158" s="3">
        <v>200</v>
      </c>
      <c r="AC158" s="3">
        <f>IF(ISERROR((VLOOKUP($A158,'SegEnds_NonXtal_BW#'!$A:$Z,20,FALSE)+VLOOKUP($A158,A:AL,28,FALSE)-50)),"-",(VLOOKUP($A158,'SegEnds_NonXtal_BW#'!$A:$Z,20,FALSE)+VLOOKUP($A158,A:AL,28,FALSE)-50))</f>
        <v>217</v>
      </c>
      <c r="AD158" s="3">
        <f>IF(ISERROR(VLOOKUP($A158,'SegEnds_NonXtal_BW#'!$A:$Z,21,FALSE)+VLOOKUP($A158,A:AL,31,FALSE)-50),"-",(VLOOKUP($A158,'SegEnds_NonXtal_BW#'!$A:$Z,21,FALSE)+VLOOKUP($A158,A:AL,31,FALSE)-50))</f>
        <v>222</v>
      </c>
      <c r="AE158" s="3">
        <v>246</v>
      </c>
      <c r="AF158" s="3">
        <f>IF(ISERROR((VLOOKUP($A158,'SegEnds_NonXtal_BW#'!$A:$Z,22,FALSE)+VLOOKUP($A158,A:AL,31,FALSE)-50)),"-",(VLOOKUP($A158,'SegEnds_NonXtal_BW#'!$A:$Z,22,FALSE)+VLOOKUP($A158,A:AL,31,FALSE)-50))</f>
        <v>260</v>
      </c>
      <c r="AG158" s="3">
        <f>IF(ISERROR(VLOOKUP($A158,'SegEnds_NonXtal_BW#'!$A:$Z,23,FALSE)+VLOOKUP($A158,A:AL,34,FALSE)-50),"-",(VLOOKUP($A158,'SegEnds_NonXtal_BW#'!$A:$Z,23,FALSE)+VLOOKUP($A158,A:AL,34,FALSE)-50))</f>
        <v>265</v>
      </c>
      <c r="AH158" s="3">
        <v>291</v>
      </c>
      <c r="AI158" s="3">
        <f>IF(ISERROR((VLOOKUP($A158,'SegEnds_NonXtal_BW#'!$A:$Z,24,FALSE)+VLOOKUP($A158,A:AL,34,FALSE)-50)),"-",(VLOOKUP($A158,'SegEnds_NonXtal_BW#'!$A:$Z,24,FALSE)+VLOOKUP($A158,A:AL,34,FALSE)-50))</f>
        <v>297</v>
      </c>
      <c r="AJ158" s="3">
        <f>IF(ISERROR(VLOOKUP($A158,'SegEnds_NonXtal_BW#'!$A:$Z,25,FALSE)+VLOOKUP($A158,A:AL,37,FALSE)-50),"-",(VLOOKUP($A158,'SegEnds_NonXtal_BW#'!$A:$Z,25,FALSE)+VLOOKUP($A158,A:AL,37,FALSE)-50))</f>
        <v>298</v>
      </c>
      <c r="AK158" s="3">
        <v>301</v>
      </c>
      <c r="AL158" s="3">
        <f>IF(ISERROR((VLOOKUP($A158,'SegEnds_NonXtal_BW#'!$A:$Z,26,FALSE)+VLOOKUP($A158,A:AL,37,FALSE)-50)),"-",(VLOOKUP($A158,'SegEnds_NonXtal_BW#'!$A:$Z,26,FALSE)+VLOOKUP($A158,A:AL,37,FALSE)-50))</f>
        <v>310</v>
      </c>
      <c r="AM158" s="28" t="str">
        <f>VLOOKUP(A158,Classification!A:B,2,FALSE)</f>
        <v>A</v>
      </c>
      <c r="AN158" s="28" t="b">
        <f>AND(IF(Y158="-",IF(AA158-W158&gt;3,TRUE,FALSE),TRUE),IF(M158="-",IF(O158-K158&gt;3,TRUE,FALSE),TRUE),C158&lt;E158,OR(E158&lt;F158,F158="-"),OR(F158&lt;H158,F158="-"),OR(H158&lt;I158,H158="-"),I158&lt;K158,OR(K158&lt;L158,L158="-"),OR(L158&lt;N158,L158="-"),OR(N158&lt;O158,N158="-"),O158&lt;Q158,OR(Q158&lt;R158,R158="-"),OR(R158&lt;T158,R158="-"),OR(T158&lt;U158,T158="-"),U158&lt;W158,OR(W158&lt;X158,X158="-"),OR(X158&lt;Z158,X158="-"),OR(Z158&lt;AA158,Z158="-"),AA158&lt;AC158,AC158&lt;AD158,AD158&lt;AF158,AF158&lt;AG158,AG158&lt;AI158,OR(AI158&lt;AJ158,AJ158="-"),OR(AJ158&lt;AL158,AJ158="-"))</f>
        <v>1</v>
      </c>
      <c r="AO158" s="3" t="str">
        <f>IF(ISERROR(MATCH(A158,'SegEnds_Xtal_Prot#'!B:B, 0)), "NoXtal", "Xtal")</f>
        <v>NoXtal</v>
      </c>
      <c r="AP158" s="3" t="str">
        <f>IF(ISERROR(F158-E158),"-",F158-E158)</f>
        <v>-</v>
      </c>
      <c r="AQ158" s="3" t="str">
        <f>IF(ISERROR(I158-H158),"-",I158-H158)</f>
        <v>-</v>
      </c>
      <c r="AR158" s="3">
        <f>IF(ISERROR(L158-K158),"-",L158-K158)</f>
        <v>3</v>
      </c>
      <c r="AS158" s="3">
        <f>IF(ISERROR(O158-N158),"-",O158-N158)</f>
        <v>1</v>
      </c>
      <c r="AT158" s="3">
        <f>IF(ISERROR(R158-Q158),"-",R158-Q158)</f>
        <v>1</v>
      </c>
      <c r="AU158" s="3">
        <f>IF(ISERROR(U158-T158),"-",U158-T158)</f>
        <v>1</v>
      </c>
      <c r="AV158" s="3">
        <f>IF(ISERROR(X158-W158),"-",X158-W158)</f>
        <v>11</v>
      </c>
      <c r="AW158" s="3">
        <f>IF(ISERROR(AA158-Z158),"-",AA158-Z158)</f>
        <v>3</v>
      </c>
      <c r="AX158" s="3">
        <f>IF(ISERROR(AD158-AC158),"-",AD158-AC158)</f>
        <v>5</v>
      </c>
      <c r="AY158" s="3">
        <f>IF(ISERROR(AG158-AF158),"-",AG158-AF158)</f>
        <v>5</v>
      </c>
      <c r="AZ158" s="3">
        <f>IF(ISERROR(AJ158-AI158),"-",AJ158-AI158)</f>
        <v>1</v>
      </c>
      <c r="BA158" s="3">
        <f>IF(ISERROR(LEN(VLOOKUP(A158,Seqs!A:E,2,FALSE))-AL158),"-",LEN(VLOOKUP(A158,Seqs!A:E,2,FALSE))-AL158)</f>
        <v>77</v>
      </c>
      <c r="BB158" s="16">
        <f>J158-D158</f>
        <v>28</v>
      </c>
      <c r="BC158" s="9">
        <f>IF(ISERROR(V158-S158),"-",V158-S158)</f>
        <v>20</v>
      </c>
      <c r="BD158" s="3">
        <f>J158-D158</f>
        <v>28</v>
      </c>
      <c r="BE158" s="3">
        <f>AE158-AB158</f>
        <v>46</v>
      </c>
    </row>
    <row r="159" spans="1:58" s="3" customFormat="1" x14ac:dyDescent="0.2">
      <c r="A159" s="3" t="s">
        <v>278</v>
      </c>
      <c r="B159" s="3" t="str">
        <f>LOWER(VLOOKUP(A159,Xtal_Templ!A:B,2,FALSE))</f>
        <v>hrh1_human</v>
      </c>
      <c r="C159" s="3">
        <f>VLOOKUP($A159,'SegEnds_NonXtal_BW#'!$A:$Z,3,FALSE)+D159-50</f>
        <v>29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>
        <f>G159-2</f>
        <v>56</v>
      </c>
      <c r="G159" s="3">
        <v>58</v>
      </c>
      <c r="H159" s="3">
        <f>G159+1</f>
        <v>59</v>
      </c>
      <c r="I159" s="3">
        <f>H159+1</f>
        <v>60</v>
      </c>
      <c r="J159" s="3">
        <v>73</v>
      </c>
      <c r="K159" s="3">
        <f>VLOOKUP($A159,'SegEnds_NonXtal_BW#'!$A:$Z,8,FALSE)+VLOOKUP($A159,A:AL,10,FALSE)-50</f>
        <v>90</v>
      </c>
      <c r="L159" s="3">
        <f>M159-1</f>
        <v>92</v>
      </c>
      <c r="M159" s="3">
        <v>93</v>
      </c>
      <c r="N159" s="3">
        <f>M159+2</f>
        <v>95</v>
      </c>
      <c r="O159" s="3">
        <f>N159+1</f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164</v>
      </c>
      <c r="X159" s="3">
        <f>IF(ISERROR(VLOOKUP($A159,'SegEnds_NonXtal_BW#'!$A:$Z,17,FALSE)+VLOOKUP($A159,A:AL,25,FALSE)-50),"-",(VLOOKUP($A159,'SegEnds_NonXtal_BW#'!$A:$Z,17,FALSE)+VLOOKUP($A159,A:AL,25,FALSE)-50))</f>
        <v>180</v>
      </c>
      <c r="Y159" s="3">
        <v>180</v>
      </c>
      <c r="Z159" s="3">
        <f>Y159+2</f>
        <v>182</v>
      </c>
      <c r="AA159" s="3">
        <f>IF(ISERROR(VLOOKUP($A159,'SegEnds_NonXtal_BW#'!$A:$Z,19,FALSE)+VLOOKUP($A159,A:AL,28,FALSE)-50),"-",(VLOOKUP($A159,'SegEnds_NonXtal_BW#'!$A:$Z,19,FALSE)+VLOOKUP($A159,A:AL,28,FALSE)-50))</f>
        <v>187</v>
      </c>
      <c r="AB159" s="3">
        <v>202</v>
      </c>
      <c r="AC159" s="3">
        <f>IF(ISERROR((VLOOKUP($A159,'SegEnds_NonXtal_BW#'!$A:$Z,20,FALSE)+VLOOKUP($A159,A:AL,28,FALSE)-50)),"-",(VLOOKUP($A159,'SegEnds_NonXtal_BW#'!$A:$Z,20,FALSE)+VLOOKUP($A159,A:AL,28,FALSE)-50))</f>
        <v>228</v>
      </c>
      <c r="AD159" s="3">
        <f>IF(ISERROR(VLOOKUP($A159,'SegEnds_NonXtal_BW#'!$A:$Z,21,FALSE)+VLOOKUP($A159,A:AL,31,FALSE)-50),"-",(VLOOKUP($A159,'SegEnds_NonXtal_BW#'!$A:$Z,21,FALSE)+VLOOKUP($A159,A:AL,31,FALSE)-50))</f>
        <v>404</v>
      </c>
      <c r="AE159" s="3">
        <v>430</v>
      </c>
      <c r="AF159" s="3">
        <f>IF(ISERROR((VLOOKUP($A159,'SegEnds_NonXtal_BW#'!$A:$Z,22,FALSE)+VLOOKUP($A159,A:AL,31,FALSE)-50)),"-",(VLOOKUP($A159,'SegEnds_NonXtal_BW#'!$A:$Z,22,FALSE)+VLOOKUP($A159,A:AL,31,FALSE)-50))</f>
        <v>441</v>
      </c>
      <c r="AG159" s="3">
        <f>IF(ISERROR(VLOOKUP($A159,'SegEnds_NonXtal_BW#'!$A:$Z,23,FALSE)+VLOOKUP($A159,A:AL,34,FALSE)-50),"-",(VLOOKUP($A159,'SegEnds_NonXtal_BW#'!$A:$Z,23,FALSE)+VLOOKUP($A159,A:AL,34,FALSE)-50))</f>
        <v>446</v>
      </c>
      <c r="AH159" s="3">
        <v>465</v>
      </c>
      <c r="AI159" s="3">
        <f>IF(ISERROR((VLOOKUP($A159,'SegEnds_NonXtal_BW#'!$A:$Z,24,FALSE)+VLOOKUP($A159,A:AL,34,FALSE)-50)),"-",(VLOOKUP($A159,'SegEnds_NonXtal_BW#'!$A:$Z,24,FALSE)+VLOOKUP($A159,A:AL,34,FALSE)-50))</f>
        <v>471</v>
      </c>
      <c r="AJ159" s="3">
        <f>IF(ISERROR(VLOOKUP($A159,'SegEnds_NonXtal_BW#'!$A:$Z,25,FALSE)+VLOOKUP($A159,A:AL,37,FALSE)-50),"-",(VLOOKUP($A159,'SegEnds_NonXtal_BW#'!$A:$Z,25,FALSE)+VLOOKUP($A159,A:AL,37,FALSE)-50))</f>
        <v>472</v>
      </c>
      <c r="AK159" s="3">
        <v>475</v>
      </c>
      <c r="AL159" s="3">
        <f>IF(ISERROR((VLOOKUP($A159,'SegEnds_NonXtal_BW#'!$A:$Z,26,FALSE)+VLOOKUP($A159,A:AL,37,FALSE)-50)),"-",(VLOOKUP($A159,'SegEnds_NonXtal_BW#'!$A:$Z,26,FALSE)+VLOOKUP($A159,A:AL,37,FALSE)-50))</f>
        <v>484</v>
      </c>
      <c r="AM159" s="28" t="str">
        <f>VLOOKUP(A159,Classification!A:B,2,FALSE)</f>
        <v>A</v>
      </c>
      <c r="AN159" s="28" t="b">
        <f>AND(IF(Y159="-",IF(AA159-W159&gt;3,TRUE,FALSE),TRUE),IF(M159="-",IF(O159-K159&gt;3,TRUE,FALSE),TRUE),C159&lt;E159,OR(E159&lt;F159,F159="-"),OR(F159&lt;H159,F159="-"),OR(H159&lt;I159,H159="-"),I159&lt;K159,OR(K159&lt;L159,L159="-"),OR(L159&lt;N159,L159="-"),OR(N159&lt;O159,N159="-"),O159&lt;Q159,OR(Q159&lt;R159,R159="-"),OR(R159&lt;T159,R159="-"),OR(T159&lt;U159,T159="-"),U159&lt;W159,OR(W159&lt;X159,X159="-"),OR(X159&lt;Z159,X159="-"),OR(Z159&lt;AA159,Z159="-"),AA159&lt;AC159,AC159&lt;AD159,AD159&lt;AF159,AF159&lt;AG159,AG159&lt;AI159,OR(AI159&lt;AJ159,AJ159="-"),OR(AJ159&lt;AL159,AJ159="-"))</f>
        <v>1</v>
      </c>
      <c r="AO159" s="3" t="str">
        <f>IF(ISERROR(MATCH(A159,'SegEnds_Xtal_Prot#'!B:B, 0)), "NoXtal", "Xtal")</f>
        <v>Xtal</v>
      </c>
      <c r="AP159" s="3">
        <f>IF(ISERROR(F159-E159),"-",F159-E159)</f>
        <v>1</v>
      </c>
      <c r="AQ159" s="3">
        <f>IF(ISERROR(I159-H159),"-",I159-H159)</f>
        <v>1</v>
      </c>
      <c r="AR159" s="3">
        <f>IF(ISERROR(L159-K159),"-",L159-K159)</f>
        <v>2</v>
      </c>
      <c r="AS159" s="3">
        <f>IF(ISERROR(O159-N159),"-",O159-N159)</f>
        <v>1</v>
      </c>
      <c r="AT159" s="3">
        <f>IF(ISERROR(R159-Q159),"-",R159-Q159)</f>
        <v>1</v>
      </c>
      <c r="AU159" s="3">
        <f>IF(ISERROR(U159-T159),"-",U159-T159)</f>
        <v>1</v>
      </c>
      <c r="AV159" s="3">
        <f>IF(ISERROR(X159-W159),"-",X159-W159)</f>
        <v>16</v>
      </c>
      <c r="AW159" s="3">
        <f>IF(ISERROR(AA159-Z159),"-",AA159-Z159)</f>
        <v>5</v>
      </c>
      <c r="AX159" s="3">
        <f>IF(ISERROR(AD159-AC159),"-",AD159-AC159)</f>
        <v>176</v>
      </c>
      <c r="AY159" s="3">
        <f>IF(ISERROR(AG159-AF159),"-",AG159-AF159)</f>
        <v>5</v>
      </c>
      <c r="AZ159" s="3">
        <f>IF(ISERROR(AJ159-AI159),"-",AJ159-AI159)</f>
        <v>1</v>
      </c>
      <c r="BA159" s="3">
        <f>IF(ISERROR(LEN(VLOOKUP(A159,Seqs!A:E,2,FALSE))-AL159),"-",LEN(VLOOKUP(A159,Seqs!A:E,2,FALSE))-AL159)</f>
        <v>3</v>
      </c>
      <c r="BB159" s="16">
        <f>J159-D159</f>
        <v>28</v>
      </c>
      <c r="BC159" s="9">
        <f>IF(ISERROR(V159-S159),"-",V159-S159)</f>
        <v>20</v>
      </c>
      <c r="BD159" s="3">
        <f>J159-D159</f>
        <v>28</v>
      </c>
      <c r="BE159" s="3">
        <f>AE159-AB159</f>
        <v>228</v>
      </c>
      <c r="BF159" s="3">
        <f>AH159-AE159</f>
        <v>35</v>
      </c>
    </row>
    <row r="160" spans="1:58" s="3" customFormat="1" x14ac:dyDescent="0.2">
      <c r="A160" s="3" t="s">
        <v>279</v>
      </c>
      <c r="B160" s="3" t="str">
        <f>LOWER(VLOOKUP(A160,Xtal_Templ!A:B,2,FALSE))</f>
        <v>adrb2_human</v>
      </c>
      <c r="C160" s="3">
        <f>VLOOKUP($A160,'SegEnds_NonXtal_BW#'!$A:$Z,3,FALSE)+D160-50</f>
        <v>11</v>
      </c>
      <c r="D160" s="3">
        <v>36</v>
      </c>
      <c r="E160" s="3">
        <f>IF(ISERROR(VLOOKUP($A160,'SegEnds_NonXtal_BW#'!$A:$Z,4,FALSE)+VLOOKUP($A160,A:AL,4,FALSE)-50),"-",(VLOOKUP($A160,'SegEnds_NonXtal_BW#'!$A:$Z,4,FALSE)+VLOOKUP($A160,A:AL,4,FALSE)-50))</f>
        <v>46</v>
      </c>
      <c r="F160" s="3">
        <f>G160-2</f>
        <v>47</v>
      </c>
      <c r="G160" s="3">
        <v>49</v>
      </c>
      <c r="H160" s="3">
        <f>G160+1</f>
        <v>50</v>
      </c>
      <c r="I160" s="3">
        <f>H160+1</f>
        <v>51</v>
      </c>
      <c r="J160" s="3">
        <v>64</v>
      </c>
      <c r="K160" s="3">
        <f>VLOOKUP($A160,'SegEnds_NonXtal_BW#'!$A:$Z,8,FALSE)+VLOOKUP($A160,A:AL,10,FALSE)-50</f>
        <v>81</v>
      </c>
      <c r="L160" s="3">
        <f>M160-1</f>
        <v>83</v>
      </c>
      <c r="M160" s="3">
        <v>84</v>
      </c>
      <c r="N160" s="3">
        <f>M160+2</f>
        <v>86</v>
      </c>
      <c r="O160" s="3">
        <f>N160+1</f>
        <v>87</v>
      </c>
      <c r="P160" s="3">
        <v>116</v>
      </c>
      <c r="Q160" s="3">
        <f>VLOOKUP($A160,'SegEnds_NonXtal_BW#'!$A:$Z,12,FALSE)+VLOOKUP($A160,A:AL,16,FALSE)-50</f>
        <v>122</v>
      </c>
      <c r="R160" s="3">
        <f>IF(ISERROR(VLOOKUP($A160,'SegEnds_NonXtal_BW#'!$A:$Z,13,FALSE)+VLOOKUP($A160,A:AL,19,FALSE)-50),"-",VLOOKUP($A160,'SegEnds_NonXtal_BW#'!$A:$Z,13,FALSE)+VLOOKUP($A160,A:AL,19,FALSE)-50)</f>
        <v>123</v>
      </c>
      <c r="S160" s="3">
        <v>123</v>
      </c>
      <c r="T160" s="103">
        <f>IF(ISERROR(VLOOKUP($A160,'SegEnds_NonXtal_BW#'!$A:$Z,14,FALSE)+VLOOKUP($A160,A:AL,19,FALSE)-50),"-",(VLOOKUP($A160,'SegEnds_NonXtal_BW#'!$A:$Z,14,FALSE)+VLOOKUP($A160,A:AL,19,FALSE)-50))</f>
        <v>130</v>
      </c>
      <c r="U160" s="9">
        <f>IF(ISERROR(VLOOKUP($A160,'SegEnds_NonXtal_BW#'!$A:$Z,15,FALSE)+VLOOKUP($A160,A:AL,22,FALSE)-50),"-",VLOOKUP($A160,'SegEnds_NonXtal_BW#'!$A:$Z,15,FALSE)+VLOOKUP($A160,A:AL,22,FALSE)-50)</f>
        <v>131</v>
      </c>
      <c r="V160" s="3">
        <v>143</v>
      </c>
      <c r="W160" s="3">
        <f>IF(ISERROR(VLOOKUP($A160,'SegEnds_NonXtal_BW#'!$A:$Z,16,FALSE)+VLOOKUP($A160,A:AL,22,FALSE)-50),"-",(VLOOKUP($A160,'SegEnds_NonXtal_BW#'!$A:$Z,16,FALSE)+VLOOKUP($A160,A:AL,22,FALSE)-50))</f>
        <v>157</v>
      </c>
      <c r="X160" s="3">
        <f>IF(ISERROR(VLOOKUP($A160,'SegEnds_NonXtal_BW#'!$A:$Z,17,FALSE)+VLOOKUP($A160,A:AL,25,FALSE)-50),"-",(VLOOKUP($A160,'SegEnds_NonXtal_BW#'!$A:$Z,17,FALSE)+VLOOKUP($A160,A:AL,25,FALSE)-50))</f>
        <v>174</v>
      </c>
      <c r="Y160" s="3">
        <v>174</v>
      </c>
      <c r="Z160" s="3">
        <f>Y160+2</f>
        <v>176</v>
      </c>
      <c r="AA160" s="3">
        <f>IF(ISERROR(VLOOKUP($A160,'SegEnds_NonXtal_BW#'!$A:$Z,19,FALSE)+VLOOKUP($A160,A:AL,28,FALSE)-50),"-",(VLOOKUP($A160,'SegEnds_NonXtal_BW#'!$A:$Z,19,FALSE)+VLOOKUP($A160,A:AL,28,FALSE)-50))</f>
        <v>179</v>
      </c>
      <c r="AB160" s="3">
        <v>194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221</v>
      </c>
      <c r="AE160" s="3">
        <v>249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266</v>
      </c>
      <c r="AH160" s="3">
        <v>285</v>
      </c>
      <c r="AI160" s="3">
        <v>291</v>
      </c>
      <c r="AJ160" s="3">
        <f>IF(ISERROR(VLOOKUP($A160,'SegEnds_NonXtal_BW#'!$A:$Z,25,FALSE)+VLOOKUP($A160,A:AL,37,FALSE)-50),"-",(VLOOKUP($A160,'SegEnds_NonXtal_BW#'!$A:$Z,25,FALSE)+VLOOKUP($A160,A:AL,37,FALSE)-50))</f>
        <v>292</v>
      </c>
      <c r="AK160" s="3">
        <v>295</v>
      </c>
      <c r="AL160" s="3">
        <f>IF(ISERROR((VLOOKUP($A160,'SegEnds_NonXtal_BW#'!$A:$Z,26,FALSE)+VLOOKUP($A160,A:AL,37,FALSE)-50)),"-",(VLOOKUP($A160,'SegEnds_NonXtal_BW#'!$A:$Z,26,FALSE)+VLOOKUP($A160,A:AL,37,FALSE)-50))</f>
        <v>304</v>
      </c>
      <c r="AM160" s="28" t="str">
        <f>VLOOKUP(A160,Classification!A:B,2,FALSE)</f>
        <v>A</v>
      </c>
      <c r="AN160" s="28" t="b">
        <f>AND(IF(Y160="-",IF(AA160-W160&gt;3,TRUE,FALSE),TRUE),IF(M160="-",IF(O160-K160&gt;3,TRUE,FALSE),TRUE),C160&lt;E160,OR(E160&lt;F160,F160="-"),OR(F160&lt;H160,F160="-"),OR(H160&lt;I160,H160="-"),I160&lt;K160,OR(K160&lt;L160,L160="-"),OR(L160&lt;N160,L160="-"),OR(N160&lt;O160,N160="-"),O160&lt;Q160,OR(Q160&lt;R160,R160="-"),OR(R160&lt;T160,R160="-"),OR(T160&lt;U160,T160="-"),U160&lt;W160,OR(W160&lt;X160,X160="-"),OR(X160&lt;Z160,X160="-"),OR(Z160&lt;AA160,Z160="-"),AA160&lt;AC160,AC160&lt;AD160,AD160&lt;AF160,AF160&lt;AG160,AG160&lt;AI160,OR(AI160&lt;AJ160,AJ160="-"),OR(AJ160&lt;AL160,AJ160="-"))</f>
        <v>1</v>
      </c>
      <c r="AO160" s="3" t="str">
        <f>IF(ISERROR(MATCH(A160,'SegEnds_Xtal_Prot#'!B:B, 0)), "NoXtal", "Xtal")</f>
        <v>NoXtal</v>
      </c>
      <c r="AP160" s="3">
        <f>IF(ISERROR(F160-E160),"-",F160-E160)</f>
        <v>1</v>
      </c>
      <c r="AQ160" s="3">
        <f>IF(ISERROR(I160-H160),"-",I160-H160)</f>
        <v>1</v>
      </c>
      <c r="AR160" s="3">
        <f>IF(ISERROR(L160-K160),"-",L160-K160)</f>
        <v>2</v>
      </c>
      <c r="AS160" s="3">
        <f>IF(ISERROR(O160-N160),"-",O160-N160)</f>
        <v>1</v>
      </c>
      <c r="AT160" s="3">
        <f>IF(ISERROR(R160-Q160),"-",R160-Q160)</f>
        <v>1</v>
      </c>
      <c r="AU160" s="3">
        <f>IF(ISERROR(U160-T160),"-",U160-T160)</f>
        <v>1</v>
      </c>
      <c r="AV160" s="3">
        <f>IF(ISERROR(X160-W160),"-",X160-W160)</f>
        <v>17</v>
      </c>
      <c r="AW160" s="3">
        <f>IF(ISERROR(AA160-Z160),"-",AA160-Z160)</f>
        <v>3</v>
      </c>
      <c r="AX160" s="3">
        <f>IF(ISERROR(AD160-AC160),"-",AD160-AC160)</f>
        <v>4</v>
      </c>
      <c r="AY160" s="3">
        <f>IF(ISERROR(AG160-AF160),"-",AG160-AF160)</f>
        <v>6</v>
      </c>
      <c r="AZ160" s="3">
        <f>IF(ISERROR(AJ160-AI160),"-",AJ160-AI160)</f>
        <v>1</v>
      </c>
      <c r="BA160" s="3">
        <f>IF(ISERROR(LEN(VLOOKUP(A160,Seqs!A:E,2,FALSE))-AL160),"-",LEN(VLOOKUP(A160,Seqs!A:E,2,FALSE))-AL160)</f>
        <v>55</v>
      </c>
      <c r="BB160" s="16">
        <f>J160-D160</f>
        <v>28</v>
      </c>
      <c r="BC160" s="9">
        <f>IF(ISERROR(V160-S160),"-",V160-S160)</f>
        <v>20</v>
      </c>
      <c r="BD160" s="3">
        <f>J160-D160</f>
        <v>28</v>
      </c>
      <c r="BE160" s="3">
        <f>AE160-AB160</f>
        <v>55</v>
      </c>
    </row>
    <row r="161" spans="1:58" s="3" customFormat="1" x14ac:dyDescent="0.2">
      <c r="A161" s="3" t="s">
        <v>282</v>
      </c>
      <c r="B161" s="3" t="str">
        <f>LOWER(VLOOKUP(A161,Xtal_Templ!A:B,2,FALSE))</f>
        <v>oprk_human</v>
      </c>
      <c r="C161" s="3">
        <f>VLOOKUP($A161,'SegEnds_NonXtal_BW#'!$A:$Z,3,FALSE)+D161-50</f>
        <v>40</v>
      </c>
      <c r="D161" s="3">
        <v>60</v>
      </c>
      <c r="E161" s="3">
        <f>IF(ISERROR(VLOOKUP($A161,'SegEnds_NonXtal_BW#'!$A:$Z,4,FALSE)+VLOOKUP($A161,A:AL,4,FALSE)-50),"-",(VLOOKUP($A161,'SegEnds_NonXtal_BW#'!$A:$Z,4,FALSE)+VLOOKUP($A161,A:AL,4,FALSE)-50))</f>
        <v>70</v>
      </c>
      <c r="F161" s="3">
        <f>G161-2</f>
        <v>71</v>
      </c>
      <c r="G161" s="3">
        <v>73</v>
      </c>
      <c r="H161" s="3">
        <f>G161+1</f>
        <v>74</v>
      </c>
      <c r="I161" s="3">
        <f>H161+1</f>
        <v>75</v>
      </c>
      <c r="J161" s="3">
        <v>88</v>
      </c>
      <c r="K161" s="3">
        <f>VLOOKUP($A161,'SegEnds_NonXtal_BW#'!$A:$Z,8,FALSE)+VLOOKUP($A161,A:AL,10,FALSE)-50</f>
        <v>104</v>
      </c>
      <c r="L161" s="3">
        <f>M161-1</f>
        <v>107</v>
      </c>
      <c r="M161" s="3">
        <v>108</v>
      </c>
      <c r="N161" s="3">
        <f>M161+2</f>
        <v>110</v>
      </c>
      <c r="O161" s="3">
        <f>N161+1</f>
        <v>111</v>
      </c>
      <c r="P161" s="3">
        <v>140</v>
      </c>
      <c r="Q161" s="3">
        <f>VLOOKUP($A161,'SegEnds_NonXtal_BW#'!$A:$Z,12,FALSE)+VLOOKUP($A161,A:AL,16,FALSE)-50</f>
        <v>146</v>
      </c>
      <c r="R161" s="3">
        <f>IF(ISERROR(VLOOKUP($A161,'SegEnds_NonXtal_BW#'!$A:$Z,13,FALSE)+VLOOKUP($A161,A:AL,19,FALSE)-50),"-",VLOOKUP($A161,'SegEnds_NonXtal_BW#'!$A:$Z,13,FALSE)+VLOOKUP($A161,A:AL,19,FALSE)-50)</f>
        <v>147</v>
      </c>
      <c r="S161" s="3">
        <v>147</v>
      </c>
      <c r="T161" s="103">
        <f>IF(ISERROR(VLOOKUP($A161,'SegEnds_NonXtal_BW#'!$A:$Z,14,FALSE)+VLOOKUP($A161,A:AL,19,FALSE)-50),"-",(VLOOKUP($A161,'SegEnds_NonXtal_BW#'!$A:$Z,14,FALSE)+VLOOKUP($A161,A:AL,19,FALSE)-50))</f>
        <v>154</v>
      </c>
      <c r="U161" s="9">
        <f>IF(ISERROR(VLOOKUP($A161,'SegEnds_NonXtal_BW#'!$A:$Z,15,FALSE)+VLOOKUP($A161,A:AL,22,FALSE)-50),"-",VLOOKUP($A161,'SegEnds_NonXtal_BW#'!$A:$Z,15,FALSE)+VLOOKUP($A161,A:AL,22,FALSE)-50)</f>
        <v>155</v>
      </c>
      <c r="V161" s="3">
        <v>167</v>
      </c>
      <c r="W161" s="3">
        <f>IF(ISERROR(VLOOKUP($A161,'SegEnds_NonXtal_BW#'!$A:$Z,16,FALSE)+VLOOKUP($A161,A:AL,22,FALSE)-50),"-",(VLOOKUP($A161,'SegEnds_NonXtal_BW#'!$A:$Z,16,FALSE)+VLOOKUP($A161,A:AL,22,FALSE)-50))</f>
        <v>181</v>
      </c>
      <c r="X161" s="3">
        <f>IF(ISERROR(VLOOKUP($A161,'SegEnds_NonXtal_BW#'!$A:$Z,17,FALSE)+VLOOKUP($A161,A:AL,25,FALSE)-50),"-",(VLOOKUP($A161,'SegEnds_NonXtal_BW#'!$A:$Z,17,FALSE)+VLOOKUP($A161,A:AL,25,FALSE)-50))</f>
        <v>191</v>
      </c>
      <c r="Y161" s="3">
        <v>191</v>
      </c>
      <c r="Z161" s="3">
        <f>Y161+2</f>
        <v>193</v>
      </c>
      <c r="AA161" s="3">
        <f>IF(ISERROR(VLOOKUP($A161,'SegEnds_NonXtal_BW#'!$A:$Z,19,FALSE)+VLOOKUP($A161,A:AL,28,FALSE)-50),"-",(VLOOKUP($A161,'SegEnds_NonXtal_BW#'!$A:$Z,19,FALSE)+VLOOKUP($A161,A:AL,28,FALSE)-50))</f>
        <v>197</v>
      </c>
      <c r="AB161" s="3">
        <v>216</v>
      </c>
      <c r="AC161" s="3">
        <f>IF(ISERROR((VLOOKUP($A161,'SegEnds_NonXtal_BW#'!$A:$Z,20,FALSE)+VLOOKUP($A161,A:AL,28,FALSE)-50)),"-",(VLOOKUP($A161,'SegEnds_NonXtal_BW#'!$A:$Z,20,FALSE)+VLOOKUP($A161,A:AL,28,FALSE)-50))</f>
        <v>240</v>
      </c>
      <c r="AD161" s="3">
        <f>IF(ISERROR(VLOOKUP($A161,'SegEnds_NonXtal_BW#'!$A:$Z,21,FALSE)+VLOOKUP($A161,A:AL,31,FALSE)-50),"-",(VLOOKUP($A161,'SegEnds_NonXtal_BW#'!$A:$Z,21,FALSE)+VLOOKUP($A161,A:AL,31,FALSE)-50))</f>
        <v>249</v>
      </c>
      <c r="AE161" s="3">
        <v>278</v>
      </c>
      <c r="AF161" s="3">
        <f>IF(ISERROR((VLOOKUP($A161,'SegEnds_NonXtal_BW#'!$A:$Z,22,FALSE)+VLOOKUP($A161,A:AL,31,FALSE)-50)),"-",(VLOOKUP($A161,'SegEnds_NonXtal_BW#'!$A:$Z,22,FALSE)+VLOOKUP($A161,A:AL,31,FALSE)-50))</f>
        <v>289</v>
      </c>
      <c r="AG161" s="3">
        <f>IF(ISERROR(VLOOKUP($A161,'SegEnds_NonXtal_BW#'!$A:$Z,23,FALSE)+VLOOKUP($A161,A:AL,34,FALSE)-50),"-",(VLOOKUP($A161,'SegEnds_NonXtal_BW#'!$A:$Z,23,FALSE)+VLOOKUP($A161,A:AL,34,FALSE)-50))</f>
        <v>298</v>
      </c>
      <c r="AH161" s="3">
        <v>320</v>
      </c>
      <c r="AI161" s="3">
        <f>IF(ISERROR((VLOOKUP($A161,'SegEnds_NonXtal_BW#'!$A:$Z,24,FALSE)+VLOOKUP($A161,A:AL,34,FALSE)-50)),"-",(VLOOKUP($A161,'SegEnds_NonXtal_BW#'!$A:$Z,24,FALSE)+VLOOKUP($A161,A:AL,34,FALSE)-50))</f>
        <v>326</v>
      </c>
      <c r="AJ161" s="3">
        <f>IF(ISERROR(VLOOKUP($A161,'SegEnds_NonXtal_BW#'!$A:$Z,25,FALSE)+VLOOKUP($A161,A:AL,37,FALSE)-50),"-",(VLOOKUP($A161,'SegEnds_NonXtal_BW#'!$A:$Z,25,FALSE)+VLOOKUP($A161,A:AL,37,FALSE)-50))</f>
        <v>327</v>
      </c>
      <c r="AK161" s="3">
        <v>330</v>
      </c>
      <c r="AL161" s="3">
        <f>IF(ISERROR((VLOOKUP($A161,'SegEnds_NonXtal_BW#'!$A:$Z,26,FALSE)+VLOOKUP($A161,A:AL,37,FALSE)-50)),"-",(VLOOKUP($A161,'SegEnds_NonXtal_BW#'!$A:$Z,26,FALSE)+VLOOKUP($A161,A:AL,37,FALSE)-50))</f>
        <v>339</v>
      </c>
      <c r="AM161" s="28" t="str">
        <f>VLOOKUP(A161,Classification!A:B,2,FALSE)</f>
        <v>A</v>
      </c>
      <c r="AN161" s="28" t="b">
        <f>AND(IF(Y161="-",IF(AA161-W161&gt;3,TRUE,FALSE),TRUE),IF(M161="-",IF(O161-K161&gt;3,TRUE,FALSE),TRUE),C161&lt;E161,OR(E161&lt;F161,F161="-"),OR(F161&lt;H161,F161="-"),OR(H161&lt;I161,H161="-"),I161&lt;K161,OR(K161&lt;L161,L161="-"),OR(L161&lt;N161,L161="-"),OR(N161&lt;O161,N161="-"),O161&lt;Q161,OR(Q161&lt;R161,R161="-"),OR(R161&lt;T161,R161="-"),OR(T161&lt;U161,T161="-"),U161&lt;W161,OR(W161&lt;X161,X161="-"),OR(X161&lt;Z161,X161="-"),OR(Z161&lt;AA161,Z161="-"),AA161&lt;AC161,AC161&lt;AD161,AD161&lt;AF161,AF161&lt;AG161,AG161&lt;AI161,OR(AI161&lt;AJ161,AJ161="-"),OR(AJ161&lt;AL161,AJ161="-"))</f>
        <v>1</v>
      </c>
      <c r="AO161" s="3" t="str">
        <f>IF(ISERROR(MATCH(A161,'SegEnds_Xtal_Prot#'!B:B, 0)), "NoXtal", "Xtal")</f>
        <v>NoXtal</v>
      </c>
      <c r="AP161" s="3">
        <f>IF(ISERROR(F161-E161),"-",F161-E161)</f>
        <v>1</v>
      </c>
      <c r="AQ161" s="3">
        <f>IF(ISERROR(I161-H161),"-",I161-H161)</f>
        <v>1</v>
      </c>
      <c r="AR161" s="3">
        <f>IF(ISERROR(L161-K161),"-",L161-K161)</f>
        <v>3</v>
      </c>
      <c r="AS161" s="3">
        <f>IF(ISERROR(O161-N161),"-",O161-N161)</f>
        <v>1</v>
      </c>
      <c r="AT161" s="3">
        <f>IF(ISERROR(R161-Q161),"-",R161-Q161)</f>
        <v>1</v>
      </c>
      <c r="AU161" s="3">
        <f>IF(ISERROR(U161-T161),"-",U161-T161)</f>
        <v>1</v>
      </c>
      <c r="AV161" s="3">
        <f>IF(ISERROR(X161-W161),"-",X161-W161)</f>
        <v>10</v>
      </c>
      <c r="AW161" s="3">
        <f>IF(ISERROR(AA161-Z161),"-",AA161-Z161)</f>
        <v>4</v>
      </c>
      <c r="AX161" s="3">
        <f>IF(ISERROR(AD161-AC161),"-",AD161-AC161)</f>
        <v>9</v>
      </c>
      <c r="AY161" s="3">
        <f>IF(ISERROR(AG161-AF161),"-",AG161-AF161)</f>
        <v>9</v>
      </c>
      <c r="AZ161" s="3">
        <f>IF(ISERROR(AJ161-AI161),"-",AJ161-AI161)</f>
        <v>1</v>
      </c>
      <c r="BA161" s="3">
        <f>IF(ISERROR(LEN(VLOOKUP(A161,Seqs!A:E,2,FALSE))-AL161),"-",LEN(VLOOKUP(A161,Seqs!A:E,2,FALSE))-AL161)</f>
        <v>59</v>
      </c>
      <c r="BB161" s="16">
        <f>J161-D161</f>
        <v>28</v>
      </c>
      <c r="BC161" s="9">
        <f>IF(ISERROR(V161-S161),"-",V161-S161)</f>
        <v>20</v>
      </c>
      <c r="BD161" s="3">
        <f>J161-D161</f>
        <v>28</v>
      </c>
      <c r="BE161" s="3">
        <f>AE161-AB161</f>
        <v>62</v>
      </c>
    </row>
    <row r="162" spans="1:58" s="3" customFormat="1" x14ac:dyDescent="0.2">
      <c r="A162" s="3" t="s">
        <v>283</v>
      </c>
      <c r="B162" s="3" t="str">
        <f>LOWER(VLOOKUP(A162,Xtal_Templ!A:B,2,FALSE))</f>
        <v>agtr1_human</v>
      </c>
      <c r="C162" s="3">
        <f>VLOOKUP($A162,'SegEnds_NonXtal_BW#'!$A:$Z,3,FALSE)+D162-50</f>
        <v>536</v>
      </c>
      <c r="D162" s="3">
        <v>556</v>
      </c>
      <c r="E162" s="3">
        <f>IF(ISERROR(VLOOKUP($A162,'SegEnds_NonXtal_BW#'!$A:$Z,4,FALSE)+VLOOKUP($A162,A:AL,4,FALSE)-50),"-",(VLOOKUP($A162,'SegEnds_NonXtal_BW#'!$A:$Z,4,FALSE)+VLOOKUP($A162,A:AL,4,FALSE)-50))</f>
        <v>566</v>
      </c>
      <c r="F162" s="3" t="str">
        <f>IF(ISERROR(VLOOKUP($A162,'SegEnds_NonXtal_BW#'!$A:$Z,5,FALSE)+VLOOKUP($A162,A:AL,7,FALSE)-50),"-",(VLOOKUP($A162,'SegEnds_NonXtal_BW#'!$A:$Z,5,FALSE)+VLOOKUP($A162,A:AL,7,FALSE)-50))</f>
        <v>-</v>
      </c>
      <c r="G162" s="3" t="s">
        <v>23</v>
      </c>
      <c r="H162" s="3" t="str">
        <f>IF(ISERROR(VLOOKUP($A162,'SegEnds_NonXtal_BW#'!$A:$Z,6,FALSE)+VLOOKUP($A162,A:AL,7,FALSE)-50),"-",(VLOOKUP($A162,'SegEnds_NonXtal_BW#'!$A:$Z,6,FALSE)+VLOOKUP($A162,A:AL,7,FALSE)-50))</f>
        <v>-</v>
      </c>
      <c r="I162" s="3">
        <f>VLOOKUP($A162,'SegEnds_NonXtal_BW#'!$A:$Z,7,FALSE)+J162-50</f>
        <v>571</v>
      </c>
      <c r="J162" s="3">
        <v>584</v>
      </c>
      <c r="K162" s="3">
        <f>VLOOKUP($A162,'SegEnds_NonXtal_BW#'!$A:$Z,8,FALSE)+VLOOKUP($A162,A:AL,10,FALSE)-50</f>
        <v>601</v>
      </c>
      <c r="L162" s="3" t="str">
        <f>IF(ISERROR(VLOOKUP($A162,'SegEnds_NonXtal_BW#'!$A:$Z,9,FALSE)+VLOOKUP($A162,A:AL,13,FALSE)-50),"-",(VLOOKUP($A162,'SegEnds_NonXtal_BW#'!$A:$Z,9,FALSE)+VLOOKUP($A162,A:AL,13,FALSE)-50))</f>
        <v>-</v>
      </c>
      <c r="M162" s="3" t="s">
        <v>23</v>
      </c>
      <c r="N162" s="3" t="str">
        <f>IF(ISERROR(VLOOKUP($A162,'SegEnds_NonXtal_BW#'!$A:$Z,10,FALSE)+VLOOKUP($A162,A:AL,13,FALSE)-50),"-",(VLOOKUP($A162,'SegEnds_NonXtal_BW#'!$A:$Z,10,FALSE)+VLOOKUP($A162,A:AL,13,FALSE)-50))</f>
        <v>-</v>
      </c>
      <c r="O162" s="3">
        <f>VLOOKUP($A162,'SegEnds_NonXtal_BW#'!$A:$Z,11,FALSE)+VLOOKUP($A162,A:AL,16,FALSE)-50</f>
        <v>611</v>
      </c>
      <c r="P162" s="3">
        <v>643</v>
      </c>
      <c r="Q162" s="3">
        <f>VLOOKUP($A162,'SegEnds_NonXtal_BW#'!$A:$Z,12,FALSE)+VLOOKUP($A162,A:AL,16,FALSE)-50</f>
        <v>649</v>
      </c>
      <c r="R162" s="3">
        <f>IF(ISERROR(VLOOKUP($A162,'SegEnds_NonXtal_BW#'!$A:$Z,13,FALSE)+VLOOKUP($A162,A:AL,19,FALSE)-50),"-",VLOOKUP($A162,'SegEnds_NonXtal_BW#'!$A:$Z,13,FALSE)+VLOOKUP($A162,A:AL,19,FALSE)-50)</f>
        <v>650</v>
      </c>
      <c r="S162" s="3">
        <v>650</v>
      </c>
      <c r="T162" s="103">
        <f>IF(ISERROR(VLOOKUP($A162,'SegEnds_NonXtal_BW#'!$A:$Z,14,FALSE)+VLOOKUP($A162,A:AL,19,FALSE)-50),"-",(VLOOKUP($A162,'SegEnds_NonXtal_BW#'!$A:$Z,14,FALSE)+VLOOKUP($A162,A:AL,19,FALSE)-50))</f>
        <v>657</v>
      </c>
      <c r="U162" s="9">
        <f>IF(ISERROR(VLOOKUP($A162,'SegEnds_NonXtal_BW#'!$A:$Z,15,FALSE)+VLOOKUP($A162,A:AL,22,FALSE)-50),"-",VLOOKUP($A162,'SegEnds_NonXtal_BW#'!$A:$Z,15,FALSE)+VLOOKUP($A162,A:AL,22,FALSE)-50)</f>
        <v>658</v>
      </c>
      <c r="V162" s="3">
        <v>670</v>
      </c>
      <c r="W162" s="3">
        <f>IF(ISERROR(VLOOKUP($A162,'SegEnds_NonXtal_BW#'!$A:$Z,16,FALSE)+VLOOKUP($A162,A:AL,22,FALSE)-50),"-",(VLOOKUP($A162,'SegEnds_NonXtal_BW#'!$A:$Z,16,FALSE)+VLOOKUP($A162,A:AL,22,FALSE)-50))</f>
        <v>684</v>
      </c>
      <c r="X162" s="3">
        <f>IF(ISERROR(VLOOKUP($A162,'SegEnds_NonXtal_BW#'!$A:$Z,17,FALSE)+VLOOKUP($A162,A:AL,25,FALSE)-50),"-",(VLOOKUP($A162,'SegEnds_NonXtal_BW#'!$A:$Z,17,FALSE)+VLOOKUP($A162,A:AL,25,FALSE)-50))</f>
        <v>693</v>
      </c>
      <c r="Y162" s="3">
        <v>693</v>
      </c>
      <c r="Z162" s="3">
        <f>Y162+2</f>
        <v>695</v>
      </c>
      <c r="AA162" s="3">
        <f>IF(ISERROR(VLOOKUP($A162,'SegEnds_NonXtal_BW#'!$A:$Z,19,FALSE)+VLOOKUP($A162,A:AL,28,FALSE)-50),"-",(VLOOKUP($A162,'SegEnds_NonXtal_BW#'!$A:$Z,19,FALSE)+VLOOKUP($A162,A:AL,28,FALSE)-50))</f>
        <v>701</v>
      </c>
      <c r="AB162" s="3">
        <v>717</v>
      </c>
      <c r="AC162" s="3">
        <f>IF(ISERROR((VLOOKUP($A162,'SegEnds_NonXtal_BW#'!$A:$Z,20,FALSE)+VLOOKUP($A162,A:AL,28,FALSE)-50)),"-",(VLOOKUP($A162,'SegEnds_NonXtal_BW#'!$A:$Z,20,FALSE)+VLOOKUP($A162,A:AL,28,FALSE)-50))</f>
        <v>734</v>
      </c>
      <c r="AD162" s="3">
        <f>IF(ISERROR(VLOOKUP($A162,'SegEnds_NonXtal_BW#'!$A:$Z,21,FALSE)+VLOOKUP($A162,A:AL,31,FALSE)-50),"-",(VLOOKUP($A162,'SegEnds_NonXtal_BW#'!$A:$Z,21,FALSE)+VLOOKUP($A162,A:AL,31,FALSE)-50))</f>
        <v>740</v>
      </c>
      <c r="AE162" s="3">
        <v>762</v>
      </c>
      <c r="AF162" s="3">
        <f>IF(ISERROR((VLOOKUP($A162,'SegEnds_NonXtal_BW#'!$A:$Z,22,FALSE)+VLOOKUP($A162,A:AL,31,FALSE)-50)),"-",(VLOOKUP($A162,'SegEnds_NonXtal_BW#'!$A:$Z,22,FALSE)+VLOOKUP($A162,A:AL,31,FALSE)-50))</f>
        <v>773</v>
      </c>
      <c r="AG162" s="3">
        <f>IF(ISERROR(VLOOKUP($A162,'SegEnds_NonXtal_BW#'!$A:$Z,23,FALSE)+VLOOKUP($A162,A:AL,34,FALSE)-50),"-",(VLOOKUP($A162,'SegEnds_NonXtal_BW#'!$A:$Z,23,FALSE)+VLOOKUP($A162,A:AL,34,FALSE)-50))</f>
        <v>779</v>
      </c>
      <c r="AH162" s="3">
        <v>798</v>
      </c>
      <c r="AI162" s="3">
        <f>IF(ISERROR((VLOOKUP($A162,'SegEnds_NonXtal_BW#'!$A:$Z,24,FALSE)+VLOOKUP($A162,A:AL,34,FALSE)-50)),"-",(VLOOKUP($A162,'SegEnds_NonXtal_BW#'!$A:$Z,24,FALSE)+VLOOKUP($A162,A:AL,34,FALSE)-50))</f>
        <v>804</v>
      </c>
      <c r="AJ162" s="3">
        <f>IF(ISERROR(VLOOKUP($A162,'SegEnds_NonXtal_BW#'!$A:$Z,25,FALSE)+VLOOKUP($A162,A:AL,37,FALSE)-50),"-",(VLOOKUP($A162,'SegEnds_NonXtal_BW#'!$A:$Z,25,FALSE)+VLOOKUP($A162,A:AL,37,FALSE)-50))</f>
        <v>805</v>
      </c>
      <c r="AK162" s="3">
        <v>808</v>
      </c>
      <c r="AL162" s="3">
        <f>IF(ISERROR((VLOOKUP($A162,'SegEnds_NonXtal_BW#'!$A:$Z,26,FALSE)+VLOOKUP($A162,A:AL,37,FALSE)-50)),"-",(VLOOKUP($A162,'SegEnds_NonXtal_BW#'!$A:$Z,26,FALSE)+VLOOKUP($A162,A:AL,37,FALSE)-50))</f>
        <v>819</v>
      </c>
      <c r="AM162" s="28" t="str">
        <f>VLOOKUP(A162,Classification!A:B,2,FALSE)</f>
        <v>A</v>
      </c>
      <c r="AN162" s="28" t="b">
        <f>AND(IF(Y162="-",IF(AA162-W162&gt;3,TRUE,FALSE),TRUE),IF(M162="-",IF(O162-K162&gt;3,TRUE,FALSE),TRUE),C162&lt;E162,OR(E162&lt;F162,F162="-"),OR(F162&lt;H162,F162="-"),OR(H162&lt;I162,H162="-"),I162&lt;K162,OR(K162&lt;L162,L162="-"),OR(L162&lt;N162,L162="-"),OR(N162&lt;O162,N162="-"),O162&lt;Q162,OR(Q162&lt;R162,R162="-"),OR(R162&lt;T162,R162="-"),OR(T162&lt;U162,T162="-"),U162&lt;W162,OR(W162&lt;X162,X162="-"),OR(X162&lt;Z162,X162="-"),OR(Z162&lt;AA162,Z162="-"),AA162&lt;AC162,AC162&lt;AD162,AD162&lt;AF162,AF162&lt;AG162,AG162&lt;AI162,OR(AI162&lt;AJ162,AJ162="-"),OR(AJ162&lt;AL162,AJ162="-"))</f>
        <v>1</v>
      </c>
      <c r="AO162" s="3" t="str">
        <f>IF(ISERROR(MATCH(A162,'SegEnds_Xtal_Prot#'!B:B, 0)), "NoXtal", "Xtal")</f>
        <v>NoXtal</v>
      </c>
      <c r="AP162" s="3" t="str">
        <f>IF(ISERROR(F162-E162),"-",F162-E162)</f>
        <v>-</v>
      </c>
      <c r="AQ162" s="3" t="str">
        <f>IF(ISERROR(I162-H162),"-",I162-H162)</f>
        <v>-</v>
      </c>
      <c r="AR162" s="3" t="str">
        <f>IF(ISERROR(L162-K162),"-",L162-K162)</f>
        <v>-</v>
      </c>
      <c r="AS162" s="3" t="str">
        <f>IF(ISERROR(O162-N162),"-",O162-N162)</f>
        <v>-</v>
      </c>
      <c r="AT162" s="3">
        <f>IF(ISERROR(R162-Q162),"-",R162-Q162)</f>
        <v>1</v>
      </c>
      <c r="AU162" s="3">
        <f>IF(ISERROR(U162-T162),"-",U162-T162)</f>
        <v>1</v>
      </c>
      <c r="AV162" s="3">
        <f>IF(ISERROR(X162-W162),"-",X162-W162)</f>
        <v>9</v>
      </c>
      <c r="AW162" s="3">
        <f>IF(ISERROR(AA162-Z162),"-",AA162-Z162)</f>
        <v>6</v>
      </c>
      <c r="AX162" s="3">
        <f>IF(ISERROR(AD162-AC162),"-",AD162-AC162)</f>
        <v>6</v>
      </c>
      <c r="AY162" s="3">
        <f>IF(ISERROR(AG162-AF162),"-",AG162-AF162)</f>
        <v>6</v>
      </c>
      <c r="AZ162" s="3">
        <f>IF(ISERROR(AJ162-AI162),"-",AJ162-AI162)</f>
        <v>1</v>
      </c>
      <c r="BA162" s="3">
        <f>IF(ISERROR(LEN(VLOOKUP(A162,Seqs!A:E,2,FALSE))-AL162),"-",LEN(VLOOKUP(A162,Seqs!A:E,2,FALSE))-AL162)</f>
        <v>132</v>
      </c>
      <c r="BB162" s="16">
        <f>J162-D162</f>
        <v>28</v>
      </c>
      <c r="BC162" s="9">
        <f>IF(ISERROR(V162-S162),"-",V162-S162)</f>
        <v>20</v>
      </c>
      <c r="BD162" s="3">
        <f>J162-D162</f>
        <v>28</v>
      </c>
      <c r="BE162" s="3">
        <f>AE162-AB162</f>
        <v>45</v>
      </c>
    </row>
    <row r="163" spans="1:58" s="3" customFormat="1" x14ac:dyDescent="0.2">
      <c r="A163" s="3" t="s">
        <v>284</v>
      </c>
      <c r="B163" s="3" t="str">
        <f>LOWER(VLOOKUP(A163,Xtal_Templ!A:B,2,FALSE))</f>
        <v>aa2ar_human</v>
      </c>
      <c r="C163" s="3">
        <f>VLOOKUP($A163,'SegEnds_NonXtal_BW#'!$A:$Z,3,FALSE)+D163-50</f>
        <v>552</v>
      </c>
      <c r="D163" s="3">
        <v>575</v>
      </c>
      <c r="E163" s="3">
        <f>IF(ISERROR(VLOOKUP($A163,'SegEnds_NonXtal_BW#'!$A:$Z,4,FALSE)+VLOOKUP($A163,A:AL,4,FALSE)-50),"-",(VLOOKUP($A163,'SegEnds_NonXtal_BW#'!$A:$Z,4,FALSE)+VLOOKUP($A163,A:AL,4,FALSE)-50))</f>
        <v>585</v>
      </c>
      <c r="F163" s="3" t="str">
        <f>IF(ISERROR(VLOOKUP($A163,'SegEnds_NonXtal_BW#'!$A:$Z,5,FALSE)+VLOOKUP($A163,A:AL,7,FALSE)-50),"-",(VLOOKUP($A163,'SegEnds_NonXtal_BW#'!$A:$Z,5,FALSE)+VLOOKUP($A163,A:AL,7,FALSE)-50))</f>
        <v>-</v>
      </c>
      <c r="G163" s="3" t="s">
        <v>23</v>
      </c>
      <c r="H163" s="3" t="str">
        <f>IF(ISERROR(VLOOKUP($A163,'SegEnds_NonXtal_BW#'!$A:$Z,6,FALSE)+VLOOKUP($A163,A:AL,7,FALSE)-50),"-",(VLOOKUP($A163,'SegEnds_NonXtal_BW#'!$A:$Z,6,FALSE)+VLOOKUP($A163,A:AL,7,FALSE)-50))</f>
        <v>-</v>
      </c>
      <c r="I163" s="3">
        <f>VLOOKUP($A163,'SegEnds_NonXtal_BW#'!$A:$Z,7,FALSE)+J163-50</f>
        <v>590</v>
      </c>
      <c r="J163" s="3">
        <v>603</v>
      </c>
      <c r="K163" s="3">
        <f>VLOOKUP($A163,'SegEnds_NonXtal_BW#'!$A:$Z,8,FALSE)+VLOOKUP($A163,A:AL,10,FALSE)-50</f>
        <v>620</v>
      </c>
      <c r="L163" s="3" t="str">
        <f>IF(ISERROR(VLOOKUP($A163,'SegEnds_NonXtal_BW#'!$A:$Z,9,FALSE)+VLOOKUP($A163,A:AL,13,FALSE)-50),"-",(VLOOKUP($A163,'SegEnds_NonXtal_BW#'!$A:$Z,9,FALSE)+VLOOKUP($A163,A:AL,13,FALSE)-50))</f>
        <v>-</v>
      </c>
      <c r="M163" s="3" t="s">
        <v>23</v>
      </c>
      <c r="N163" s="3" t="str">
        <f>IF(ISERROR(VLOOKUP($A163,'SegEnds_NonXtal_BW#'!$A:$Z,10,FALSE)+VLOOKUP($A163,A:AL,13,FALSE)-50),"-",(VLOOKUP($A163,'SegEnds_NonXtal_BW#'!$A:$Z,10,FALSE)+VLOOKUP($A163,A:AL,13,FALSE)-50))</f>
        <v>-</v>
      </c>
      <c r="O163" s="3">
        <f>VLOOKUP($A163,'SegEnds_NonXtal_BW#'!$A:$Z,11,FALSE)+VLOOKUP($A163,A:AL,16,FALSE)-50</f>
        <v>630</v>
      </c>
      <c r="P163" s="3">
        <v>662</v>
      </c>
      <c r="Q163" s="3">
        <f>VLOOKUP($A163,'SegEnds_NonXtal_BW#'!$A:$Z,12,FALSE)+VLOOKUP($A163,A:AL,16,FALSE)-50</f>
        <v>668</v>
      </c>
      <c r="R163" s="3">
        <f>IF(ISERROR(VLOOKUP($A163,'SegEnds_NonXtal_BW#'!$A:$Z,13,FALSE)+VLOOKUP($A163,A:AL,19,FALSE)-50),"-",VLOOKUP($A163,'SegEnds_NonXtal_BW#'!$A:$Z,13,FALSE)+VLOOKUP($A163,A:AL,19,FALSE)-50)</f>
        <v>669</v>
      </c>
      <c r="S163" s="3">
        <v>669</v>
      </c>
      <c r="T163" s="103">
        <f>IF(ISERROR(VLOOKUP($A163,'SegEnds_NonXtal_BW#'!$A:$Z,14,FALSE)+VLOOKUP($A163,A:AL,19,FALSE)-50),"-",(VLOOKUP($A163,'SegEnds_NonXtal_BW#'!$A:$Z,14,FALSE)+VLOOKUP($A163,A:AL,19,FALSE)-50))</f>
        <v>676</v>
      </c>
      <c r="U163" s="9">
        <f>IF(ISERROR(VLOOKUP($A163,'SegEnds_NonXtal_BW#'!$A:$Z,15,FALSE)+VLOOKUP($A163,A:AL,22,FALSE)-50),"-",VLOOKUP($A163,'SegEnds_NonXtal_BW#'!$A:$Z,15,FALSE)+VLOOKUP($A163,A:AL,22,FALSE)-50)</f>
        <v>677</v>
      </c>
      <c r="V163" s="3">
        <v>689</v>
      </c>
      <c r="W163" s="3">
        <f>IF(ISERROR(VLOOKUP($A163,'SegEnds_NonXtal_BW#'!$A:$Z,16,FALSE)+VLOOKUP($A163,A:AL,22,FALSE)-50),"-",(VLOOKUP($A163,'SegEnds_NonXtal_BW#'!$A:$Z,16,FALSE)+VLOOKUP($A163,A:AL,22,FALSE)-50))</f>
        <v>702</v>
      </c>
      <c r="X163" s="3">
        <f>IF(ISERROR(VLOOKUP($A163,'SegEnds_NonXtal_BW#'!$A:$Z,17,FALSE)+VLOOKUP($A163,A:AL,25,FALSE)-50),"-",(VLOOKUP($A163,'SegEnds_NonXtal_BW#'!$A:$Z,17,FALSE)+VLOOKUP($A163,A:AL,25,FALSE)-50))</f>
        <v>712</v>
      </c>
      <c r="Y163" s="3">
        <v>712</v>
      </c>
      <c r="Z163" s="3">
        <f>Y163+2</f>
        <v>714</v>
      </c>
      <c r="AA163" s="3">
        <f>IF(ISERROR(VLOOKUP($A163,'SegEnds_NonXtal_BW#'!$A:$Z,19,FALSE)+VLOOKUP($A163,A:AL,28,FALSE)-50),"-",(VLOOKUP($A163,'SegEnds_NonXtal_BW#'!$A:$Z,19,FALSE)+VLOOKUP($A163,A:AL,28,FALSE)-50))</f>
        <v>720</v>
      </c>
      <c r="AB163" s="3">
        <v>736</v>
      </c>
      <c r="AC163" s="3">
        <f>IF(ISERROR((VLOOKUP($A163,'SegEnds_NonXtal_BW#'!$A:$Z,20,FALSE)+VLOOKUP($A163,A:AL,28,FALSE)-50)),"-",(VLOOKUP($A163,'SegEnds_NonXtal_BW#'!$A:$Z,20,FALSE)+VLOOKUP($A163,A:AL,28,FALSE)-50))</f>
        <v>753</v>
      </c>
      <c r="AD163" s="3">
        <f>IF(ISERROR(VLOOKUP($A163,'SegEnds_NonXtal_BW#'!$A:$Z,21,FALSE)+VLOOKUP($A163,A:AL,31,FALSE)-50),"-",(VLOOKUP($A163,'SegEnds_NonXtal_BW#'!$A:$Z,21,FALSE)+VLOOKUP($A163,A:AL,31,FALSE)-50))</f>
        <v>759</v>
      </c>
      <c r="AE163" s="3">
        <v>781</v>
      </c>
      <c r="AF163" s="3">
        <f>IF(ISERROR((VLOOKUP($A163,'SegEnds_NonXtal_BW#'!$A:$Z,22,FALSE)+VLOOKUP($A163,A:AL,31,FALSE)-50)),"-",(VLOOKUP($A163,'SegEnds_NonXtal_BW#'!$A:$Z,22,FALSE)+VLOOKUP($A163,A:AL,31,FALSE)-50))</f>
        <v>792</v>
      </c>
      <c r="AG163" s="3">
        <f>IF(ISERROR(VLOOKUP($A163,'SegEnds_NonXtal_BW#'!$A:$Z,23,FALSE)+VLOOKUP($A163,A:AL,34,FALSE)-50),"-",(VLOOKUP($A163,'SegEnds_NonXtal_BW#'!$A:$Z,23,FALSE)+VLOOKUP($A163,A:AL,34,FALSE)-50))</f>
        <v>798</v>
      </c>
      <c r="AH163" s="3">
        <v>817</v>
      </c>
      <c r="AI163" s="3">
        <f>IF(ISERROR((VLOOKUP($A163,'SegEnds_NonXtal_BW#'!$A:$Z,24,FALSE)+VLOOKUP($A163,A:AL,34,FALSE)-50)),"-",(VLOOKUP($A163,'SegEnds_NonXtal_BW#'!$A:$Z,24,FALSE)+VLOOKUP($A163,A:AL,34,FALSE)-50))</f>
        <v>823</v>
      </c>
      <c r="AJ163" s="3">
        <f>IF(ISERROR(VLOOKUP($A163,'SegEnds_NonXtal_BW#'!$A:$Z,25,FALSE)+VLOOKUP($A163,A:AL,37,FALSE)-50),"-",(VLOOKUP($A163,'SegEnds_NonXtal_BW#'!$A:$Z,25,FALSE)+VLOOKUP($A163,A:AL,37,FALSE)-50))</f>
        <v>824</v>
      </c>
      <c r="AK163" s="3">
        <v>827</v>
      </c>
      <c r="AL163" s="3">
        <f>IF(ISERROR((VLOOKUP($A163,'SegEnds_NonXtal_BW#'!$A:$Z,26,FALSE)+VLOOKUP($A163,A:AL,37,FALSE)-50)),"-",(VLOOKUP($A163,'SegEnds_NonXtal_BW#'!$A:$Z,26,FALSE)+VLOOKUP($A163,A:AL,37,FALSE)-50))</f>
        <v>846</v>
      </c>
      <c r="AM163" s="28" t="str">
        <f>VLOOKUP(A163,Classification!A:B,2,FALSE)</f>
        <v>A</v>
      </c>
      <c r="AN163" s="28" t="b">
        <f>AND(IF(Y163="-",IF(AA163-W163&gt;3,TRUE,FALSE),TRUE),IF(M163="-",IF(O163-K163&gt;3,TRUE,FALSE),TRUE),C163&lt;E163,OR(E163&lt;F163,F163="-"),OR(F163&lt;H163,F163="-"),OR(H163&lt;I163,H163="-"),I163&lt;K163,OR(K163&lt;L163,L163="-"),OR(L163&lt;N163,L163="-"),OR(N163&lt;O163,N163="-"),O163&lt;Q163,OR(Q163&lt;R163,R163="-"),OR(R163&lt;T163,R163="-"),OR(T163&lt;U163,T163="-"),U163&lt;W163,OR(W163&lt;X163,X163="-"),OR(X163&lt;Z163,X163="-"),OR(Z163&lt;AA163,Z163="-"),AA163&lt;AC163,AC163&lt;AD163,AD163&lt;AF163,AF163&lt;AG163,AG163&lt;AI163,OR(AI163&lt;AJ163,AJ163="-"),OR(AJ163&lt;AL163,AJ163="-"))</f>
        <v>1</v>
      </c>
      <c r="AO163" s="3" t="str">
        <f>IF(ISERROR(MATCH(A163,'SegEnds_Xtal_Prot#'!B:B, 0)), "NoXtal", "Xtal")</f>
        <v>NoXtal</v>
      </c>
      <c r="AP163" s="3" t="str">
        <f>IF(ISERROR(F163-E163),"-",F163-E163)</f>
        <v>-</v>
      </c>
      <c r="AQ163" s="3" t="str">
        <f>IF(ISERROR(I163-H163),"-",I163-H163)</f>
        <v>-</v>
      </c>
      <c r="AR163" s="3" t="str">
        <f>IF(ISERROR(L163-K163),"-",L163-K163)</f>
        <v>-</v>
      </c>
      <c r="AS163" s="3" t="str">
        <f>IF(ISERROR(O163-N163),"-",O163-N163)</f>
        <v>-</v>
      </c>
      <c r="AT163" s="3">
        <f>IF(ISERROR(R163-Q163),"-",R163-Q163)</f>
        <v>1</v>
      </c>
      <c r="AU163" s="3">
        <f>IF(ISERROR(U163-T163),"-",U163-T163)</f>
        <v>1</v>
      </c>
      <c r="AV163" s="3">
        <f>IF(ISERROR(X163-W163),"-",X163-W163)</f>
        <v>10</v>
      </c>
      <c r="AW163" s="3">
        <f>IF(ISERROR(AA163-Z163),"-",AA163-Z163)</f>
        <v>6</v>
      </c>
      <c r="AX163" s="3">
        <f>IF(ISERROR(AD163-AC163),"-",AD163-AC163)</f>
        <v>6</v>
      </c>
      <c r="AY163" s="3">
        <f>IF(ISERROR(AG163-AF163),"-",AG163-AF163)</f>
        <v>6</v>
      </c>
      <c r="AZ163" s="3">
        <f>IF(ISERROR(AJ163-AI163),"-",AJ163-AI163)</f>
        <v>1</v>
      </c>
      <c r="BA163" s="3">
        <f>IF(ISERROR(LEN(VLOOKUP(A163,Seqs!A:E,2,FALSE))-AL163),"-",LEN(VLOOKUP(A163,Seqs!A:E,2,FALSE))-AL163)</f>
        <v>61</v>
      </c>
      <c r="BB163" s="16">
        <f>J163-D163</f>
        <v>28</v>
      </c>
      <c r="BC163" s="9">
        <f>IF(ISERROR(V163-S163),"-",V163-S163)</f>
        <v>20</v>
      </c>
      <c r="BD163" s="3">
        <f>J163-D163</f>
        <v>28</v>
      </c>
      <c r="BE163" s="3">
        <f>AE163-AB163</f>
        <v>45</v>
      </c>
    </row>
    <row r="164" spans="1:58" s="3" customFormat="1" x14ac:dyDescent="0.2">
      <c r="A164" s="3" t="s">
        <v>285</v>
      </c>
      <c r="B164" s="3" t="str">
        <f>LOWER(VLOOKUP(A164,Xtal_Templ!A:B,2,FALSE))</f>
        <v>adrb2_human</v>
      </c>
      <c r="C164" s="3">
        <f>VLOOKUP($A164,'SegEnds_NonXtal_BW#'!$A:$Z,3,FALSE)+D164-50</f>
        <v>554</v>
      </c>
      <c r="D164" s="3">
        <v>579</v>
      </c>
      <c r="E164" s="3">
        <f>IF(ISERROR(VLOOKUP($A164,'SegEnds_NonXtal_BW#'!$A:$Z,4,FALSE)+VLOOKUP($A164,A:AL,4,FALSE)-50),"-",(VLOOKUP($A164,'SegEnds_NonXtal_BW#'!$A:$Z,4,FALSE)+VLOOKUP($A164,A:AL,4,FALSE)-50))</f>
        <v>589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595</v>
      </c>
      <c r="J164" s="3">
        <v>608</v>
      </c>
      <c r="K164" s="3">
        <f>VLOOKUP($A164,'SegEnds_NonXtal_BW#'!$A:$Z,8,FALSE)+VLOOKUP($A164,A:AL,10,FALSE)-50</f>
        <v>625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635</v>
      </c>
      <c r="P164" s="3">
        <v>667</v>
      </c>
      <c r="Q164" s="3">
        <f>VLOOKUP($A164,'SegEnds_NonXtal_BW#'!$A:$Z,12,FALSE)+VLOOKUP($A164,A:AL,16,FALSE)-50</f>
        <v>673</v>
      </c>
      <c r="R164" s="3">
        <f>IF(ISERROR(VLOOKUP($A164,'SegEnds_NonXtal_BW#'!$A:$Z,13,FALSE)+VLOOKUP($A164,A:AL,19,FALSE)-50),"-",VLOOKUP($A164,'SegEnds_NonXtal_BW#'!$A:$Z,13,FALSE)+VLOOKUP($A164,A:AL,19,FALSE)-50)</f>
        <v>674</v>
      </c>
      <c r="S164" s="3">
        <v>674</v>
      </c>
      <c r="T164" s="103">
        <f>IF(ISERROR(VLOOKUP($A164,'SegEnds_NonXtal_BW#'!$A:$Z,14,FALSE)+VLOOKUP($A164,A:AL,19,FALSE)-50),"-",(VLOOKUP($A164,'SegEnds_NonXtal_BW#'!$A:$Z,14,FALSE)+VLOOKUP($A164,A:AL,19,FALSE)-50))</f>
        <v>681</v>
      </c>
      <c r="U164" s="9">
        <f>IF(ISERROR(VLOOKUP($A164,'SegEnds_NonXtal_BW#'!$A:$Z,15,FALSE)+VLOOKUP($A164,A:AL,22,FALSE)-50),"-",VLOOKUP($A164,'SegEnds_NonXtal_BW#'!$A:$Z,15,FALSE)+VLOOKUP($A164,A:AL,22,FALSE)-50)</f>
        <v>682</v>
      </c>
      <c r="V164" s="3">
        <v>694</v>
      </c>
      <c r="W164" s="3">
        <f>IF(ISERROR(VLOOKUP($A164,'SegEnds_NonXtal_BW#'!$A:$Z,16,FALSE)+VLOOKUP($A164,A:AL,22,FALSE)-50),"-",(VLOOKUP($A164,'SegEnds_NonXtal_BW#'!$A:$Z,16,FALSE)+VLOOKUP($A164,A:AL,22,FALSE)-50))</f>
        <v>708</v>
      </c>
      <c r="X164" s="3">
        <f>IF(ISERROR(VLOOKUP($A164,'SegEnds_NonXtal_BW#'!$A:$Z,17,FALSE)+VLOOKUP($A164,A:AL,25,FALSE)-50),"-",(VLOOKUP($A164,'SegEnds_NonXtal_BW#'!$A:$Z,17,FALSE)+VLOOKUP($A164,A:AL,25,FALSE)-50))</f>
        <v>717</v>
      </c>
      <c r="Y164" s="3">
        <v>717</v>
      </c>
      <c r="Z164" s="3">
        <f>Y164+2</f>
        <v>719</v>
      </c>
      <c r="AA164" s="3">
        <f>IF(ISERROR(VLOOKUP($A164,'SegEnds_NonXtal_BW#'!$A:$Z,19,FALSE)+VLOOKUP($A164,A:AL,28,FALSE)-50),"-",(VLOOKUP($A164,'SegEnds_NonXtal_BW#'!$A:$Z,19,FALSE)+VLOOKUP($A164,A:AL,28,FALSE)-50))</f>
        <v>728</v>
      </c>
      <c r="AB164" s="3">
        <v>743</v>
      </c>
      <c r="AC164" s="3">
        <f>IF(ISERROR((VLOOKUP($A164,'SegEnds_NonXtal_BW#'!$A:$Z,20,FALSE)+VLOOKUP($A164,A:AL,28,FALSE)-50)),"-",(VLOOKUP($A164,'SegEnds_NonXtal_BW#'!$A:$Z,20,FALSE)+VLOOKUP($A164,A:AL,28,FALSE)-50))</f>
        <v>760</v>
      </c>
      <c r="AD164" s="3">
        <f>IF(ISERROR(VLOOKUP($A164,'SegEnds_NonXtal_BW#'!$A:$Z,21,FALSE)+VLOOKUP($A164,A:AL,31,FALSE)-50),"-",(VLOOKUP($A164,'SegEnds_NonXtal_BW#'!$A:$Z,21,FALSE)+VLOOKUP($A164,A:AL,31,FALSE)-50))</f>
        <v>766</v>
      </c>
      <c r="AE164" s="3">
        <v>788</v>
      </c>
      <c r="AF164" s="3">
        <f>IF(ISERROR((VLOOKUP($A164,'SegEnds_NonXtal_BW#'!$A:$Z,22,FALSE)+VLOOKUP($A164,A:AL,31,FALSE)-50)),"-",(VLOOKUP($A164,'SegEnds_NonXtal_BW#'!$A:$Z,22,FALSE)+VLOOKUP($A164,A:AL,31,FALSE)-50))</f>
        <v>799</v>
      </c>
      <c r="AG164" s="3">
        <f>IF(ISERROR(VLOOKUP($A164,'SegEnds_NonXtal_BW#'!$A:$Z,23,FALSE)+VLOOKUP($A164,A:AL,34,FALSE)-50),"-",(VLOOKUP($A164,'SegEnds_NonXtal_BW#'!$A:$Z,23,FALSE)+VLOOKUP($A164,A:AL,34,FALSE)-50))</f>
        <v>805</v>
      </c>
      <c r="AH164" s="3">
        <v>824</v>
      </c>
      <c r="AI164" s="3">
        <f>IF(ISERROR((VLOOKUP($A164,'SegEnds_NonXtal_BW#'!$A:$Z,24,FALSE)+VLOOKUP($A164,A:AL,34,FALSE)-50)),"-",(VLOOKUP($A164,'SegEnds_NonXtal_BW#'!$A:$Z,24,FALSE)+VLOOKUP($A164,A:AL,34,FALSE)-50))</f>
        <v>830</v>
      </c>
      <c r="AJ164" s="3">
        <f>IF(ISERROR(VLOOKUP($A164,'SegEnds_NonXtal_BW#'!$A:$Z,25,FALSE)+VLOOKUP($A164,A:AL,37,FALSE)-50),"-",(VLOOKUP($A164,'SegEnds_NonXtal_BW#'!$A:$Z,25,FALSE)+VLOOKUP($A164,A:AL,37,FALSE)-50))</f>
        <v>831</v>
      </c>
      <c r="AK164" s="3">
        <v>834</v>
      </c>
      <c r="AL164" s="3">
        <f>IF(ISERROR((VLOOKUP($A164,'SegEnds_NonXtal_BW#'!$A:$Z,26,FALSE)+VLOOKUP($A164,A:AL,37,FALSE)-50)),"-",(VLOOKUP($A164,'SegEnds_NonXtal_BW#'!$A:$Z,26,FALSE)+VLOOKUP($A164,A:AL,37,FALSE)-50))</f>
        <v>843</v>
      </c>
      <c r="AM164" s="28" t="str">
        <f>VLOOKUP(A164,Classification!A:B,2,FALSE)</f>
        <v>A</v>
      </c>
      <c r="AN164" s="28" t="b">
        <f>AND(IF(Y164="-",IF(AA164-W164&gt;3,TRUE,FALSE),TRUE),IF(M164="-",IF(O164-K164&gt;3,TRUE,FALSE),TRUE),C164&lt;E164,OR(E164&lt;F164,F164="-"),OR(F164&lt;H164,F164="-"),OR(H164&lt;I164,H164="-"),I164&lt;K164,OR(K164&lt;L164,L164="-"),OR(L164&lt;N164,L164="-"),OR(N164&lt;O164,N164="-"),O164&lt;Q164,OR(Q164&lt;R164,R164="-"),OR(R164&lt;T164,R164="-"),OR(T164&lt;U164,T164="-"),U164&lt;W164,OR(W164&lt;X164,X164="-"),OR(X164&lt;Z164,X164="-"),OR(Z164&lt;AA164,Z164="-"),AA164&lt;AC164,AC164&lt;AD164,AD164&lt;AF164,AF164&lt;AG164,AG164&lt;AI164,OR(AI164&lt;AJ164,AJ164="-"),OR(AJ164&lt;AL164,AJ164="-"))</f>
        <v>1</v>
      </c>
      <c r="AO164" s="3" t="str">
        <f>IF(ISERROR(MATCH(A164,'SegEnds_Xtal_Prot#'!B:B, 0)), "NoXtal", "Xtal")</f>
        <v>NoXtal</v>
      </c>
      <c r="AP164" s="3" t="str">
        <f>IF(ISERROR(F164-E164),"-",F164-E164)</f>
        <v>-</v>
      </c>
      <c r="AQ164" s="3" t="str">
        <f>IF(ISERROR(I164-H164),"-",I164-H164)</f>
        <v>-</v>
      </c>
      <c r="AR164" s="3" t="str">
        <f>IF(ISERROR(L164-K164),"-",L164-K164)</f>
        <v>-</v>
      </c>
      <c r="AS164" s="3" t="str">
        <f>IF(ISERROR(O164-N164),"-",O164-N164)</f>
        <v>-</v>
      </c>
      <c r="AT164" s="3">
        <f>IF(ISERROR(R164-Q164),"-",R164-Q164)</f>
        <v>1</v>
      </c>
      <c r="AU164" s="3">
        <f>IF(ISERROR(U164-T164),"-",U164-T164)</f>
        <v>1</v>
      </c>
      <c r="AV164" s="3">
        <f>IF(ISERROR(X164-W164),"-",X164-W164)</f>
        <v>9</v>
      </c>
      <c r="AW164" s="3">
        <f>IF(ISERROR(AA164-Z164),"-",AA164-Z164)</f>
        <v>9</v>
      </c>
      <c r="AX164" s="3">
        <f>IF(ISERROR(AD164-AC164),"-",AD164-AC164)</f>
        <v>6</v>
      </c>
      <c r="AY164" s="3">
        <f>IF(ISERROR(AG164-AF164),"-",AG164-AF164)</f>
        <v>6</v>
      </c>
      <c r="AZ164" s="3">
        <f>IF(ISERROR(AJ164-AI164),"-",AJ164-AI164)</f>
        <v>1</v>
      </c>
      <c r="BA164" s="3">
        <f>IF(ISERROR(LEN(VLOOKUP(A164,Seqs!A:E,2,FALSE))-AL164),"-",LEN(VLOOKUP(A164,Seqs!A:E,2,FALSE))-AL164)</f>
        <v>124</v>
      </c>
      <c r="BB164" s="16">
        <f>J164-D164</f>
        <v>29</v>
      </c>
      <c r="BC164" s="9">
        <f>IF(ISERROR(V164-S164),"-",V164-S164)</f>
        <v>20</v>
      </c>
      <c r="BD164" s="3">
        <f>J164-D164</f>
        <v>29</v>
      </c>
      <c r="BE164" s="3">
        <f>AE164-AB164</f>
        <v>45</v>
      </c>
    </row>
    <row r="165" spans="1:58" s="3" customFormat="1" x14ac:dyDescent="0.2">
      <c r="A165" s="3" t="s">
        <v>288</v>
      </c>
      <c r="B165" s="3" t="str">
        <f>LOWER(VLOOKUP(A165,Xtal_Templ!A:B,2,FALSE))</f>
        <v>oprk_human</v>
      </c>
      <c r="C165" s="3">
        <f>VLOOKUP($A165,'SegEnds_NonXtal_BW#'!$A:$Z,3,FALSE)+D165-50</f>
        <v>37</v>
      </c>
      <c r="D165" s="3">
        <v>57</v>
      </c>
      <c r="E165" s="3">
        <f>IF(ISERROR(VLOOKUP($A165,'SegEnds_NonXtal_BW#'!$A:$Z,4,FALSE)+VLOOKUP($A165,A:AL,4,FALSE)-50),"-",(VLOOKUP($A165,'SegEnds_NonXtal_BW#'!$A:$Z,4,FALSE)+VLOOKUP($A165,A:AL,4,FALSE)-50))</f>
        <v>67</v>
      </c>
      <c r="F165" s="3">
        <f>G165-2</f>
        <v>68</v>
      </c>
      <c r="G165" s="3">
        <v>70</v>
      </c>
      <c r="H165" s="3">
        <f>G165+1</f>
        <v>71</v>
      </c>
      <c r="I165" s="3">
        <f>H165+1</f>
        <v>72</v>
      </c>
      <c r="J165" s="3">
        <v>85</v>
      </c>
      <c r="K165" s="3">
        <f>VLOOKUP($A165,'SegEnds_NonXtal_BW#'!$A:$Z,8,FALSE)+VLOOKUP($A165,A:AL,10,FALSE)-50</f>
        <v>101</v>
      </c>
      <c r="L165" s="3">
        <f>M165-1</f>
        <v>103</v>
      </c>
      <c r="M165" s="3">
        <v>104</v>
      </c>
      <c r="N165" s="3">
        <f>M165+2</f>
        <v>106</v>
      </c>
      <c r="O165" s="3">
        <f>N165+1</f>
        <v>107</v>
      </c>
      <c r="P165" s="3">
        <v>136</v>
      </c>
      <c r="Q165" s="3">
        <f>VLOOKUP($A165,'SegEnds_NonXtal_BW#'!$A:$Z,12,FALSE)+VLOOKUP($A165,A:AL,16,FALSE)-50</f>
        <v>142</v>
      </c>
      <c r="R165" s="3">
        <f>IF(ISERROR(VLOOKUP($A165,'SegEnds_NonXtal_BW#'!$A:$Z,13,FALSE)+VLOOKUP($A165,A:AL,19,FALSE)-50),"-",VLOOKUP($A165,'SegEnds_NonXtal_BW#'!$A:$Z,13,FALSE)+VLOOKUP($A165,A:AL,19,FALSE)-50)</f>
        <v>143</v>
      </c>
      <c r="S165" s="3">
        <v>143</v>
      </c>
      <c r="T165" s="103">
        <f>IF(ISERROR(VLOOKUP($A165,'SegEnds_NonXtal_BW#'!$A:$Z,14,FALSE)+VLOOKUP($A165,A:AL,19,FALSE)-50),"-",(VLOOKUP($A165,'SegEnds_NonXtal_BW#'!$A:$Z,14,FALSE)+VLOOKUP($A165,A:AL,19,FALSE)-50))</f>
        <v>150</v>
      </c>
      <c r="U165" s="9">
        <f>IF(ISERROR(VLOOKUP($A165,'SegEnds_NonXtal_BW#'!$A:$Z,15,FALSE)+VLOOKUP($A165,A:AL,22,FALSE)-50),"-",VLOOKUP($A165,'SegEnds_NonXtal_BW#'!$A:$Z,15,FALSE)+VLOOKUP($A165,A:AL,22,FALSE)-50)</f>
        <v>151</v>
      </c>
      <c r="V165" s="3">
        <v>163</v>
      </c>
      <c r="W165" s="3">
        <f>IF(ISERROR(VLOOKUP($A165,'SegEnds_NonXtal_BW#'!$A:$Z,16,FALSE)+VLOOKUP($A165,A:AL,22,FALSE)-50),"-",(VLOOKUP($A165,'SegEnds_NonXtal_BW#'!$A:$Z,16,FALSE)+VLOOKUP($A165,A:AL,22,FALSE)-50))</f>
        <v>177</v>
      </c>
      <c r="X165" s="3">
        <f>IF(ISERROR(VLOOKUP($A165,'SegEnds_NonXtal_BW#'!$A:$Z,17,FALSE)+VLOOKUP($A165,A:AL,25,FALSE)-50),"-",(VLOOKUP($A165,'SegEnds_NonXtal_BW#'!$A:$Z,17,FALSE)+VLOOKUP($A165,A:AL,25,FALSE)-50))</f>
        <v>188</v>
      </c>
      <c r="Y165" s="3">
        <v>188</v>
      </c>
      <c r="Z165" s="3">
        <f>Y165+2</f>
        <v>190</v>
      </c>
      <c r="AA165" s="3">
        <f>IF(ISERROR(VLOOKUP($A165,'SegEnds_NonXtal_BW#'!$A:$Z,19,FALSE)+VLOOKUP($A165,A:AL,28,FALSE)-50),"-",(VLOOKUP($A165,'SegEnds_NonXtal_BW#'!$A:$Z,19,FALSE)+VLOOKUP($A165,A:AL,28,FALSE)-50))</f>
        <v>197</v>
      </c>
      <c r="AB165" s="3">
        <v>216</v>
      </c>
      <c r="AC165" s="3">
        <f>IF(ISERROR((VLOOKUP($A165,'SegEnds_NonXtal_BW#'!$A:$Z,20,FALSE)+VLOOKUP($A165,A:AL,28,FALSE)-50)),"-",(VLOOKUP($A165,'SegEnds_NonXtal_BW#'!$A:$Z,20,FALSE)+VLOOKUP($A165,A:AL,28,FALSE)-50))</f>
        <v>234</v>
      </c>
      <c r="AD165" s="3">
        <f>IF(ISERROR(VLOOKUP($A165,'SegEnds_NonXtal_BW#'!$A:$Z,21,FALSE)+VLOOKUP($A165,A:AL,31,FALSE)-50),"-",(VLOOKUP($A165,'SegEnds_NonXtal_BW#'!$A:$Z,21,FALSE)+VLOOKUP($A165,A:AL,31,FALSE)-50))</f>
        <v>238</v>
      </c>
      <c r="AE165" s="3">
        <v>264</v>
      </c>
      <c r="AF165" s="3">
        <f>IF(ISERROR((VLOOKUP($A165,'SegEnds_NonXtal_BW#'!$A:$Z,22,FALSE)+VLOOKUP($A165,A:AL,31,FALSE)-50)),"-",(VLOOKUP($A165,'SegEnds_NonXtal_BW#'!$A:$Z,22,FALSE)+VLOOKUP($A165,A:AL,31,FALSE)-50))</f>
        <v>278</v>
      </c>
      <c r="AG165" s="3">
        <f>IF(ISERROR(VLOOKUP($A165,'SegEnds_NonXtal_BW#'!$A:$Z,23,FALSE)+VLOOKUP($A165,A:AL,34,FALSE)-50),"-",(VLOOKUP($A165,'SegEnds_NonXtal_BW#'!$A:$Z,23,FALSE)+VLOOKUP($A165,A:AL,34,FALSE)-50))</f>
        <v>282</v>
      </c>
      <c r="AH165" s="3">
        <v>308</v>
      </c>
      <c r="AI165" s="3">
        <f>IF(ISERROR((VLOOKUP($A165,'SegEnds_NonXtal_BW#'!$A:$Z,24,FALSE)+VLOOKUP($A165,A:AL,34,FALSE)-50)),"-",(VLOOKUP($A165,'SegEnds_NonXtal_BW#'!$A:$Z,24,FALSE)+VLOOKUP($A165,A:AL,34,FALSE)-50))</f>
        <v>314</v>
      </c>
      <c r="AJ165" s="3">
        <f>IF(ISERROR(VLOOKUP($A165,'SegEnds_NonXtal_BW#'!$A:$Z,25,FALSE)+VLOOKUP($A165,A:AL,37,FALSE)-50),"-",(VLOOKUP($A165,'SegEnds_NonXtal_BW#'!$A:$Z,25,FALSE)+VLOOKUP($A165,A:AL,37,FALSE)-50))</f>
        <v>315</v>
      </c>
      <c r="AK165" s="3">
        <v>318</v>
      </c>
      <c r="AL165" s="3">
        <f>IF(ISERROR((VLOOKUP($A165,'SegEnds_NonXtal_BW#'!$A:$Z,26,FALSE)+VLOOKUP($A165,A:AL,37,FALSE)-50)),"-",(VLOOKUP($A165,'SegEnds_NonXtal_BW#'!$A:$Z,26,FALSE)+VLOOKUP($A165,A:AL,37,FALSE)-50))</f>
        <v>327</v>
      </c>
      <c r="AM165" s="28" t="str">
        <f>VLOOKUP(A165,Classification!A:B,2,FALSE)</f>
        <v>A</v>
      </c>
      <c r="AN165" s="28" t="b">
        <f>AND(IF(Y165="-",IF(AA165-W165&gt;3,TRUE,FALSE),TRUE),IF(M165="-",IF(O165-K165&gt;3,TRUE,FALSE),TRUE),C165&lt;E165,OR(E165&lt;F165,F165="-"),OR(F165&lt;H165,F165="-"),OR(H165&lt;I165,H165="-"),I165&lt;K165,OR(K165&lt;L165,L165="-"),OR(L165&lt;N165,L165="-"),OR(N165&lt;O165,N165="-"),O165&lt;Q165,OR(Q165&lt;R165,R165="-"),OR(R165&lt;T165,R165="-"),OR(T165&lt;U165,T165="-"),U165&lt;W165,OR(W165&lt;X165,X165="-"),OR(X165&lt;Z165,X165="-"),OR(Z165&lt;AA165,Z165="-"),AA165&lt;AC165,AC165&lt;AD165,AD165&lt;AF165,AF165&lt;AG165,AG165&lt;AI165,OR(AI165&lt;AJ165,AJ165="-"),OR(AJ165&lt;AL165,AJ165="-"))</f>
        <v>1</v>
      </c>
      <c r="AO165" s="3" t="str">
        <f>IF(ISERROR(MATCH(A165,'SegEnds_Xtal_Prot#'!B:B, 0)), "NoXtal", "Xtal")</f>
        <v>NoXtal</v>
      </c>
      <c r="AP165" s="3">
        <f>IF(ISERROR(F165-E165),"-",F165-E165)</f>
        <v>1</v>
      </c>
      <c r="AQ165" s="3">
        <f>IF(ISERROR(I165-H165),"-",I165-H165)</f>
        <v>1</v>
      </c>
      <c r="AR165" s="3">
        <f>IF(ISERROR(L165-K165),"-",L165-K165)</f>
        <v>2</v>
      </c>
      <c r="AS165" s="3">
        <f>IF(ISERROR(O165-N165),"-",O165-N165)</f>
        <v>1</v>
      </c>
      <c r="AT165" s="3">
        <f>IF(ISERROR(R165-Q165),"-",R165-Q165)</f>
        <v>1</v>
      </c>
      <c r="AU165" s="3">
        <f>IF(ISERROR(U165-T165),"-",U165-T165)</f>
        <v>1</v>
      </c>
      <c r="AV165" s="3">
        <f>IF(ISERROR(X165-W165),"-",X165-W165)</f>
        <v>11</v>
      </c>
      <c r="AW165" s="3">
        <f>IF(ISERROR(AA165-Z165),"-",AA165-Z165)</f>
        <v>7</v>
      </c>
      <c r="AX165" s="3">
        <f>IF(ISERROR(AD165-AC165),"-",AD165-AC165)</f>
        <v>4</v>
      </c>
      <c r="AY165" s="3">
        <f>IF(ISERROR(AG165-AF165),"-",AG165-AF165)</f>
        <v>4</v>
      </c>
      <c r="AZ165" s="3">
        <f>IF(ISERROR(AJ165-AI165),"-",AJ165-AI165)</f>
        <v>1</v>
      </c>
      <c r="BA165" s="3">
        <f>IF(ISERROR(LEN(VLOOKUP(A165,Seqs!A:E,2,FALSE))-AL165),"-",LEN(VLOOKUP(A165,Seqs!A:E,2,FALSE))-AL165)</f>
        <v>43</v>
      </c>
      <c r="BB165" s="16">
        <f>J165-D165</f>
        <v>28</v>
      </c>
      <c r="BC165" s="9">
        <f>IF(ISERROR(V165-S165),"-",V165-S165)</f>
        <v>20</v>
      </c>
      <c r="BD165" s="3">
        <f>J165-D165</f>
        <v>28</v>
      </c>
      <c r="BE165" s="3">
        <f>AE165-AB165</f>
        <v>48</v>
      </c>
    </row>
    <row r="166" spans="1:58" s="3" customFormat="1" x14ac:dyDescent="0.2">
      <c r="A166" s="3" t="s">
        <v>289</v>
      </c>
      <c r="B166" s="3" t="str">
        <f>LOWER(VLOOKUP(A166,Xtal_Templ!A:B,2,FALSE))</f>
        <v>par2_human</v>
      </c>
      <c r="C166" s="3">
        <f>VLOOKUP($A166,'SegEnds_NonXtal_BW#'!$A:$Z,3,FALSE)+D166-50</f>
        <v>18</v>
      </c>
      <c r="D166" s="3">
        <v>40</v>
      </c>
      <c r="E166" s="3">
        <f>IF(ISERROR(VLOOKUP($A166,'SegEnds_NonXtal_BW#'!$A:$Z,4,FALSE)+VLOOKUP($A166,A:AL,4,FALSE)-50),"-",(VLOOKUP($A166,'SegEnds_NonXtal_BW#'!$A:$Z,4,FALSE)+VLOOKUP($A166,A:AL,4,FALSE)-50))</f>
        <v>50</v>
      </c>
      <c r="F166" s="3">
        <f>G166-2</f>
        <v>51</v>
      </c>
      <c r="G166" s="3">
        <v>53</v>
      </c>
      <c r="H166" s="3">
        <f>G166+1</f>
        <v>54</v>
      </c>
      <c r="I166" s="3">
        <f>H166+1</f>
        <v>55</v>
      </c>
      <c r="J166" s="3">
        <v>68</v>
      </c>
      <c r="K166" s="3">
        <f>VLOOKUP($A166,'SegEnds_NonXtal_BW#'!$A:$Z,8,FALSE)+VLOOKUP($A166,A:AL,10,FALSE)-50</f>
        <v>84</v>
      </c>
      <c r="L166" s="3">
        <f>M166-1</f>
        <v>86</v>
      </c>
      <c r="M166" s="3">
        <v>87</v>
      </c>
      <c r="N166" s="3">
        <f>M166+2</f>
        <v>89</v>
      </c>
      <c r="O166" s="3">
        <f>N166+1</f>
        <v>90</v>
      </c>
      <c r="P166" s="3">
        <v>119</v>
      </c>
      <c r="Q166" s="3">
        <f>VLOOKUP($A166,'SegEnds_NonXtal_BW#'!$A:$Z,12,FALSE)+VLOOKUP($A166,A:AL,16,FALSE)-50</f>
        <v>125</v>
      </c>
      <c r="R166" s="3">
        <f>IF(ISERROR(VLOOKUP($A166,'SegEnds_NonXtal_BW#'!$A:$Z,13,FALSE)+VLOOKUP($A166,A:AL,19,FALSE)-50),"-",VLOOKUP($A166,'SegEnds_NonXtal_BW#'!$A:$Z,13,FALSE)+VLOOKUP($A166,A:AL,19,FALSE)-50)</f>
        <v>126</v>
      </c>
      <c r="S166" s="3">
        <v>126</v>
      </c>
      <c r="T166" s="103">
        <f>IF(ISERROR(VLOOKUP($A166,'SegEnds_NonXtal_BW#'!$A:$Z,14,FALSE)+VLOOKUP($A166,A:AL,19,FALSE)-50),"-",(VLOOKUP($A166,'SegEnds_NonXtal_BW#'!$A:$Z,14,FALSE)+VLOOKUP($A166,A:AL,19,FALSE)-50))</f>
        <v>133</v>
      </c>
      <c r="U166" s="9">
        <f>IF(ISERROR(VLOOKUP($A166,'SegEnds_NonXtal_BW#'!$A:$Z,15,FALSE)+VLOOKUP($A166,A:AL,22,FALSE)-50),"-",VLOOKUP($A166,'SegEnds_NonXtal_BW#'!$A:$Z,15,FALSE)+VLOOKUP($A166,A:AL,22,FALSE)-50)</f>
        <v>134</v>
      </c>
      <c r="V166" s="3">
        <v>146</v>
      </c>
      <c r="W166" s="3">
        <f>IF(ISERROR(VLOOKUP($A166,'SegEnds_NonXtal_BW#'!$A:$Z,16,FALSE)+VLOOKUP($A166,A:AL,22,FALSE)-50),"-",(VLOOKUP($A166,'SegEnds_NonXtal_BW#'!$A:$Z,16,FALSE)+VLOOKUP($A166,A:AL,22,FALSE)-50))</f>
        <v>158</v>
      </c>
      <c r="X166" s="3">
        <f>IF(ISERROR(VLOOKUP($A166,'SegEnds_NonXtal_BW#'!$A:$Z,17,FALSE)+VLOOKUP($A166,A:AL,25,FALSE)-50),"-",(VLOOKUP($A166,'SegEnds_NonXtal_BW#'!$A:$Z,17,FALSE)+VLOOKUP($A166,A:AL,25,FALSE)-50))</f>
        <v>175</v>
      </c>
      <c r="Y166" s="3">
        <v>175</v>
      </c>
      <c r="Z166" s="3">
        <f>Y166+2</f>
        <v>177</v>
      </c>
      <c r="AA166" s="3">
        <f>IF(ISERROR(VLOOKUP($A166,'SegEnds_NonXtal_BW#'!$A:$Z,19,FALSE)+VLOOKUP($A166,A:AL,28,FALSE)-50),"-",(VLOOKUP($A166,'SegEnds_NonXtal_BW#'!$A:$Z,19,FALSE)+VLOOKUP($A166,A:AL,28,FALSE)-50))</f>
        <v>184</v>
      </c>
      <c r="AB166" s="3">
        <v>203</v>
      </c>
      <c r="AC166" s="3">
        <f>IF(ISERROR((VLOOKUP($A166,'SegEnds_NonXtal_BW#'!$A:$Z,20,FALSE)+VLOOKUP($A166,A:AL,28,FALSE)-50)),"-",(VLOOKUP($A166,'SegEnds_NonXtal_BW#'!$A:$Z,20,FALSE)+VLOOKUP($A166,A:AL,28,FALSE)-50))</f>
        <v>220</v>
      </c>
      <c r="AD166" s="3">
        <f>IF(ISERROR(VLOOKUP($A166,'SegEnds_NonXtal_BW#'!$A:$Z,21,FALSE)+VLOOKUP($A166,A:AL,31,FALSE)-50),"-",(VLOOKUP($A166,'SegEnds_NonXtal_BW#'!$A:$Z,21,FALSE)+VLOOKUP($A166,A:AL,31,FALSE)-50))</f>
        <v>225</v>
      </c>
      <c r="AE166" s="3">
        <v>249</v>
      </c>
      <c r="AF166" s="3">
        <f>IF(ISERROR((VLOOKUP($A166,'SegEnds_NonXtal_BW#'!$A:$Z,22,FALSE)+VLOOKUP($A166,A:AL,31,FALSE)-50)),"-",(VLOOKUP($A166,'SegEnds_NonXtal_BW#'!$A:$Z,22,FALSE)+VLOOKUP($A166,A:AL,31,FALSE)-50))</f>
        <v>263</v>
      </c>
      <c r="AG166" s="3">
        <f>IF(ISERROR(VLOOKUP($A166,'SegEnds_NonXtal_BW#'!$A:$Z,23,FALSE)+VLOOKUP($A166,A:AL,34,FALSE)-50),"-",(VLOOKUP($A166,'SegEnds_NonXtal_BW#'!$A:$Z,23,FALSE)+VLOOKUP($A166,A:AL,34,FALSE)-50))</f>
        <v>268</v>
      </c>
      <c r="AH166" s="3">
        <v>294</v>
      </c>
      <c r="AI166" s="3">
        <f>IF(ISERROR((VLOOKUP($A166,'SegEnds_NonXtal_BW#'!$A:$Z,24,FALSE)+VLOOKUP($A166,A:AL,34,FALSE)-50)),"-",(VLOOKUP($A166,'SegEnds_NonXtal_BW#'!$A:$Z,24,FALSE)+VLOOKUP($A166,A:AL,34,FALSE)-50))</f>
        <v>300</v>
      </c>
      <c r="AJ166" s="3">
        <f>IF(ISERROR(VLOOKUP($A166,'SegEnds_NonXtal_BW#'!$A:$Z,25,FALSE)+VLOOKUP($A166,A:AL,37,FALSE)-50),"-",(VLOOKUP($A166,'SegEnds_NonXtal_BW#'!$A:$Z,25,FALSE)+VLOOKUP($A166,A:AL,37,FALSE)-50))</f>
        <v>301</v>
      </c>
      <c r="AK166" s="3">
        <v>304</v>
      </c>
      <c r="AL166" s="3">
        <f>IF(ISERROR((VLOOKUP($A166,'SegEnds_NonXtal_BW#'!$A:$Z,26,FALSE)+VLOOKUP($A166,A:AL,37,FALSE)-50)),"-",(VLOOKUP($A166,'SegEnds_NonXtal_BW#'!$A:$Z,26,FALSE)+VLOOKUP($A166,A:AL,37,FALSE)-50))</f>
        <v>315</v>
      </c>
      <c r="AM166" s="28" t="str">
        <f>VLOOKUP(A166,Classification!A:B,2,FALSE)</f>
        <v>A</v>
      </c>
      <c r="AN166" s="28" t="b">
        <f>AND(IF(Y166="-",IF(AA166-W166&gt;3,TRUE,FALSE),TRUE),IF(M166="-",IF(O166-K166&gt;3,TRUE,FALSE),TRUE),C166&lt;E166,OR(E166&lt;F166,F166="-"),OR(F166&lt;H166,F166="-"),OR(H166&lt;I166,H166="-"),I166&lt;K166,OR(K166&lt;L166,L166="-"),OR(L166&lt;N166,L166="-"),OR(N166&lt;O166,N166="-"),O166&lt;Q166,OR(Q166&lt;R166,R166="-"),OR(R166&lt;T166,R166="-"),OR(T166&lt;U166,T166="-"),U166&lt;W166,OR(W166&lt;X166,X166="-"),OR(X166&lt;Z166,X166="-"),OR(Z166&lt;AA166,Z166="-"),AA166&lt;AC166,AC166&lt;AD166,AD166&lt;AF166,AF166&lt;AG166,AG166&lt;AI166,OR(AI166&lt;AJ166,AJ166="-"),OR(AJ166&lt;AL166,AJ166="-"))</f>
        <v>1</v>
      </c>
      <c r="AO166" s="3" t="str">
        <f>IF(ISERROR(MATCH(A166,'SegEnds_Xtal_Prot#'!B:B, 0)), "NoXtal", "Xtal")</f>
        <v>NoXtal</v>
      </c>
      <c r="AP166" s="3">
        <f>IF(ISERROR(F166-E166),"-",F166-E166)</f>
        <v>1</v>
      </c>
      <c r="AQ166" s="3">
        <f>IF(ISERROR(I166-H166),"-",I166-H166)</f>
        <v>1</v>
      </c>
      <c r="AR166" s="3">
        <f>IF(ISERROR(L166-K166),"-",L166-K166)</f>
        <v>2</v>
      </c>
      <c r="AS166" s="3">
        <f>IF(ISERROR(O166-N166),"-",O166-N166)</f>
        <v>1</v>
      </c>
      <c r="AT166" s="3">
        <f>IF(ISERROR(R166-Q166),"-",R166-Q166)</f>
        <v>1</v>
      </c>
      <c r="AU166" s="3">
        <f>IF(ISERROR(U166-T166),"-",U166-T166)</f>
        <v>1</v>
      </c>
      <c r="AV166" s="3">
        <f>IF(ISERROR(X166-W166),"-",X166-W166)</f>
        <v>17</v>
      </c>
      <c r="AW166" s="3">
        <f>IF(ISERROR(AA166-Z166),"-",AA166-Z166)</f>
        <v>7</v>
      </c>
      <c r="AX166" s="3">
        <f>IF(ISERROR(AD166-AC166),"-",AD166-AC166)</f>
        <v>5</v>
      </c>
      <c r="AY166" s="3">
        <f>IF(ISERROR(AG166-AF166),"-",AG166-AF166)</f>
        <v>5</v>
      </c>
      <c r="AZ166" s="3">
        <f>IF(ISERROR(AJ166-AI166),"-",AJ166-AI166)</f>
        <v>1</v>
      </c>
      <c r="BA166" s="3">
        <f>IF(ISERROR(LEN(VLOOKUP(A166,Seqs!A:E,2,FALSE))-AL166),"-",LEN(VLOOKUP(A166,Seqs!A:E,2,FALSE))-AL166)</f>
        <v>57</v>
      </c>
      <c r="BB166" s="16">
        <f>J166-D166</f>
        <v>28</v>
      </c>
      <c r="BC166" s="9">
        <f>IF(ISERROR(V166-S166),"-",V166-S166)</f>
        <v>20</v>
      </c>
      <c r="BD166" s="3">
        <f>J166-D166</f>
        <v>28</v>
      </c>
      <c r="BE166" s="3">
        <f>AE166-AB166</f>
        <v>46</v>
      </c>
    </row>
    <row r="167" spans="1:58" s="3" customFormat="1" x14ac:dyDescent="0.2">
      <c r="A167" s="3" t="s">
        <v>290</v>
      </c>
      <c r="B167" s="3" t="str">
        <f>LOWER(VLOOKUP(A167,Xtal_Templ!A:B,2,FALSE))</f>
        <v>agtr1_human</v>
      </c>
      <c r="C167" s="3">
        <f>VLOOKUP($A167,'SegEnds_NonXtal_BW#'!$A:$Z,3,FALSE)+D167-50</f>
        <v>15</v>
      </c>
      <c r="D167" s="3">
        <v>35</v>
      </c>
      <c r="E167" s="3">
        <f>IF(ISERROR(VLOOKUP($A167,'SegEnds_NonXtal_BW#'!$A:$Z,4,FALSE)+VLOOKUP($A167,A:AL,4,FALSE)-50),"-",(VLOOKUP($A167,'SegEnds_NonXtal_BW#'!$A:$Z,4,FALSE)+VLOOKUP($A167,A:AL,4,FALSE)-50))</f>
        <v>45</v>
      </c>
      <c r="F167" s="3">
        <f>G167-2</f>
        <v>46</v>
      </c>
      <c r="G167" s="3">
        <v>48</v>
      </c>
      <c r="H167" s="3">
        <f>G167+1</f>
        <v>49</v>
      </c>
      <c r="I167" s="3">
        <f>H167+1</f>
        <v>50</v>
      </c>
      <c r="J167" s="3">
        <v>63</v>
      </c>
      <c r="K167" s="3">
        <f>VLOOKUP($A167,'SegEnds_NonXtal_BW#'!$A:$Z,8,FALSE)+VLOOKUP($A167,A:AL,10,FALSE)-50</f>
        <v>79</v>
      </c>
      <c r="L167" s="3">
        <f>M167-1</f>
        <v>81</v>
      </c>
      <c r="M167" s="3">
        <v>82</v>
      </c>
      <c r="N167" s="3">
        <f>M167+2</f>
        <v>84</v>
      </c>
      <c r="O167" s="3">
        <f>N167+1</f>
        <v>85</v>
      </c>
      <c r="P167" s="3">
        <v>114</v>
      </c>
      <c r="Q167" s="3">
        <f>VLOOKUP($A167,'SegEnds_NonXtal_BW#'!$A:$Z,12,FALSE)+VLOOKUP($A167,A:AL,16,FALSE)-50</f>
        <v>120</v>
      </c>
      <c r="R167" s="3">
        <f>IF(ISERROR(VLOOKUP($A167,'SegEnds_NonXtal_BW#'!$A:$Z,13,FALSE)+VLOOKUP($A167,A:AL,19,FALSE)-50),"-",VLOOKUP($A167,'SegEnds_NonXtal_BW#'!$A:$Z,13,FALSE)+VLOOKUP($A167,A:AL,19,FALSE)-50)</f>
        <v>121</v>
      </c>
      <c r="S167" s="3">
        <v>121</v>
      </c>
      <c r="T167" s="103">
        <f>IF(ISERROR(VLOOKUP($A167,'SegEnds_NonXtal_BW#'!$A:$Z,14,FALSE)+VLOOKUP($A167,A:AL,19,FALSE)-50),"-",(VLOOKUP($A167,'SegEnds_NonXtal_BW#'!$A:$Z,14,FALSE)+VLOOKUP($A167,A:AL,19,FALSE)-50))</f>
        <v>128</v>
      </c>
      <c r="U167" s="9">
        <f>IF(ISERROR(VLOOKUP($A167,'SegEnds_NonXtal_BW#'!$A:$Z,15,FALSE)+VLOOKUP($A167,A:AL,22,FALSE)-50),"-",VLOOKUP($A167,'SegEnds_NonXtal_BW#'!$A:$Z,15,FALSE)+VLOOKUP($A167,A:AL,22,FALSE)-50)</f>
        <v>129</v>
      </c>
      <c r="V167" s="3">
        <v>141</v>
      </c>
      <c r="W167" s="3">
        <f>IF(ISERROR(VLOOKUP($A167,'SegEnds_NonXtal_BW#'!$A:$Z,16,FALSE)+VLOOKUP($A167,A:AL,22,FALSE)-50),"-",(VLOOKUP($A167,'SegEnds_NonXtal_BW#'!$A:$Z,16,FALSE)+VLOOKUP($A167,A:AL,22,FALSE)-50))</f>
        <v>155</v>
      </c>
      <c r="X167" s="3">
        <f>IF(ISERROR(VLOOKUP($A167,'SegEnds_NonXtal_BW#'!$A:$Z,17,FALSE)+VLOOKUP($A167,A:AL,25,FALSE)-50),"-",(VLOOKUP($A167,'SegEnds_NonXtal_BW#'!$A:$Z,17,FALSE)+VLOOKUP($A167,A:AL,25,FALSE)-50))</f>
        <v>168</v>
      </c>
      <c r="Y167" s="3">
        <v>168</v>
      </c>
      <c r="Z167" s="3">
        <f>Y167+2</f>
        <v>170</v>
      </c>
      <c r="AA167" s="3">
        <f>IF(ISERROR(VLOOKUP($A167,'SegEnds_NonXtal_BW#'!$A:$Z,19,FALSE)+VLOOKUP($A167,A:AL,28,FALSE)-50),"-",(VLOOKUP($A167,'SegEnds_NonXtal_BW#'!$A:$Z,19,FALSE)+VLOOKUP($A167,A:AL,28,FALSE)-50))</f>
        <v>180</v>
      </c>
      <c r="AB167" s="3">
        <v>196</v>
      </c>
      <c r="AC167" s="3">
        <f>IF(ISERROR((VLOOKUP($A167,'SegEnds_NonXtal_BW#'!$A:$Z,20,FALSE)+VLOOKUP($A167,A:AL,28,FALSE)-50)),"-",(VLOOKUP($A167,'SegEnds_NonXtal_BW#'!$A:$Z,20,FALSE)+VLOOKUP($A167,A:AL,28,FALSE)-50))</f>
        <v>214</v>
      </c>
      <c r="AD167" s="3">
        <f>IF(ISERROR(VLOOKUP($A167,'SegEnds_NonXtal_BW#'!$A:$Z,21,FALSE)+VLOOKUP($A167,A:AL,31,FALSE)-50),"-",(VLOOKUP($A167,'SegEnds_NonXtal_BW#'!$A:$Z,21,FALSE)+VLOOKUP($A167,A:AL,31,FALSE)-50))</f>
        <v>218</v>
      </c>
      <c r="AE167" s="3">
        <v>244</v>
      </c>
      <c r="AF167" s="3">
        <f>IF(ISERROR((VLOOKUP($A167,'SegEnds_NonXtal_BW#'!$A:$Z,22,FALSE)+VLOOKUP($A167,A:AL,31,FALSE)-50)),"-",(VLOOKUP($A167,'SegEnds_NonXtal_BW#'!$A:$Z,22,FALSE)+VLOOKUP($A167,A:AL,31,FALSE)-50))</f>
        <v>258</v>
      </c>
      <c r="AG167" s="3">
        <f>IF(ISERROR(VLOOKUP($A167,'SegEnds_NonXtal_BW#'!$A:$Z,23,FALSE)+VLOOKUP($A167,A:AL,34,FALSE)-50),"-",(VLOOKUP($A167,'SegEnds_NonXtal_BW#'!$A:$Z,23,FALSE)+VLOOKUP($A167,A:AL,34,FALSE)-50))</f>
        <v>262</v>
      </c>
      <c r="AH167" s="3">
        <v>288</v>
      </c>
      <c r="AI167" s="3">
        <f>IF(ISERROR((VLOOKUP($A167,'SegEnds_NonXtal_BW#'!$A:$Z,24,FALSE)+VLOOKUP($A167,A:AL,34,FALSE)-50)),"-",(VLOOKUP($A167,'SegEnds_NonXtal_BW#'!$A:$Z,24,FALSE)+VLOOKUP($A167,A:AL,34,FALSE)-50))</f>
        <v>294</v>
      </c>
      <c r="AJ167" s="3">
        <f>IF(ISERROR(VLOOKUP($A167,'SegEnds_NonXtal_BW#'!$A:$Z,25,FALSE)+VLOOKUP($A167,A:AL,37,FALSE)-50),"-",(VLOOKUP($A167,'SegEnds_NonXtal_BW#'!$A:$Z,25,FALSE)+VLOOKUP($A167,A:AL,37,FALSE)-50))</f>
        <v>295</v>
      </c>
      <c r="AK167" s="3">
        <v>298</v>
      </c>
      <c r="AL167" s="3">
        <f>IF(ISERROR((VLOOKUP($A167,'SegEnds_NonXtal_BW#'!$A:$Z,26,FALSE)+VLOOKUP($A167,A:AL,37,FALSE)-50)),"-",(VLOOKUP($A167,'SegEnds_NonXtal_BW#'!$A:$Z,26,FALSE)+VLOOKUP($A167,A:AL,37,FALSE)-50))</f>
        <v>309</v>
      </c>
      <c r="AM167" s="28" t="str">
        <f>VLOOKUP(A167,Classification!A:B,2,FALSE)</f>
        <v>A</v>
      </c>
      <c r="AN167" s="28" t="b">
        <f>AND(IF(Y167="-",IF(AA167-W167&gt;3,TRUE,FALSE),TRUE),IF(M167="-",IF(O167-K167&gt;3,TRUE,FALSE),TRUE),C167&lt;E167,OR(E167&lt;F167,F167="-"),OR(F167&lt;H167,F167="-"),OR(H167&lt;I167,H167="-"),I167&lt;K167,OR(K167&lt;L167,L167="-"),OR(L167&lt;N167,L167="-"),OR(N167&lt;O167,N167="-"),O167&lt;Q167,OR(Q167&lt;R167,R167="-"),OR(R167&lt;T167,R167="-"),OR(T167&lt;U167,T167="-"),U167&lt;W167,OR(W167&lt;X167,X167="-"),OR(X167&lt;Z167,X167="-"),OR(Z167&lt;AA167,Z167="-"),AA167&lt;AC167,AC167&lt;AD167,AD167&lt;AF167,AF167&lt;AG167,AG167&lt;AI167,OR(AI167&lt;AJ167,AJ167="-"),OR(AJ167&lt;AL167,AJ167="-"))</f>
        <v>1</v>
      </c>
      <c r="AO167" s="3" t="str">
        <f>IF(ISERROR(MATCH(A167,'SegEnds_Xtal_Prot#'!B:B, 0)), "NoXtal", "Xtal")</f>
        <v>NoXtal</v>
      </c>
      <c r="AP167" s="3">
        <f>IF(ISERROR(F167-E167),"-",F167-E167)</f>
        <v>1</v>
      </c>
      <c r="AQ167" s="3">
        <f>IF(ISERROR(I167-H167),"-",I167-H167)</f>
        <v>1</v>
      </c>
      <c r="AR167" s="3">
        <f>IF(ISERROR(L167-K167),"-",L167-K167)</f>
        <v>2</v>
      </c>
      <c r="AS167" s="3">
        <f>IF(ISERROR(O167-N167),"-",O167-N167)</f>
        <v>1</v>
      </c>
      <c r="AT167" s="3">
        <f>IF(ISERROR(R167-Q167),"-",R167-Q167)</f>
        <v>1</v>
      </c>
      <c r="AU167" s="3">
        <f>IF(ISERROR(U167-T167),"-",U167-T167)</f>
        <v>1</v>
      </c>
      <c r="AV167" s="3">
        <f>IF(ISERROR(X167-W167),"-",X167-W167)</f>
        <v>13</v>
      </c>
      <c r="AW167" s="3">
        <f>IF(ISERROR(AA167-Z167),"-",AA167-Z167)</f>
        <v>10</v>
      </c>
      <c r="AX167" s="3">
        <f>IF(ISERROR(AD167-AC167),"-",AD167-AC167)</f>
        <v>4</v>
      </c>
      <c r="AY167" s="3">
        <f>IF(ISERROR(AG167-AF167),"-",AG167-AF167)</f>
        <v>4</v>
      </c>
      <c r="AZ167" s="3">
        <f>IF(ISERROR(AJ167-AI167),"-",AJ167-AI167)</f>
        <v>1</v>
      </c>
      <c r="BA167" s="3">
        <f>IF(ISERROR(LEN(VLOOKUP(A167,Seqs!A:E,2,FALSE))-AL167),"-",LEN(VLOOKUP(A167,Seqs!A:E,2,FALSE))-AL167)</f>
        <v>35</v>
      </c>
      <c r="BB167" s="16">
        <f>J167-D167</f>
        <v>28</v>
      </c>
      <c r="BC167" s="9">
        <f>IF(ISERROR(V167-S167),"-",V167-S167)</f>
        <v>20</v>
      </c>
      <c r="BD167" s="3">
        <f>J167-D167</f>
        <v>28</v>
      </c>
      <c r="BE167" s="3">
        <f>AE167-AB167</f>
        <v>48</v>
      </c>
    </row>
    <row r="168" spans="1:58" s="3" customFormat="1" x14ac:dyDescent="0.2">
      <c r="A168" s="3" t="s">
        <v>291</v>
      </c>
      <c r="B168" s="3" t="str">
        <f>LOWER(VLOOKUP(A168,Xtal_Templ!A:B,2,FALSE))</f>
        <v>hrh1_human</v>
      </c>
      <c r="C168" s="3">
        <f>VLOOKUP($A168,'SegEnds_NonXtal_BW#'!$A:$Z,3,FALSE)+D168-50</f>
        <v>361</v>
      </c>
      <c r="D168" s="3">
        <v>377</v>
      </c>
      <c r="E168" s="3">
        <f>IF(ISERROR(VLOOKUP($A168,'SegEnds_NonXtal_BW#'!$A:$Z,4,FALSE)+VLOOKUP($A168,A:AL,4,FALSE)-50),"-",(VLOOKUP($A168,'SegEnds_NonXtal_BW#'!$A:$Z,4,FALSE)+VLOOKUP($A168,A:AL,4,FALSE)-50))</f>
        <v>387</v>
      </c>
      <c r="F168" s="3">
        <f>G168-2</f>
        <v>389</v>
      </c>
      <c r="G168" s="3">
        <v>391</v>
      </c>
      <c r="H168" s="3">
        <f>G168+1</f>
        <v>392</v>
      </c>
      <c r="I168" s="3">
        <f>H168+1</f>
        <v>393</v>
      </c>
      <c r="J168" s="3">
        <v>405</v>
      </c>
      <c r="K168" s="3">
        <f>VLOOKUP($A168,'SegEnds_NonXtal_BW#'!$A:$Z,8,FALSE)+VLOOKUP($A168,A:AL,10,FALSE)-50</f>
        <v>422</v>
      </c>
      <c r="L168" s="3">
        <f>M168-1</f>
        <v>432</v>
      </c>
      <c r="M168" s="3">
        <v>433</v>
      </c>
      <c r="N168" s="3">
        <f>M168+2</f>
        <v>435</v>
      </c>
      <c r="O168" s="3">
        <f>N168+1</f>
        <v>436</v>
      </c>
      <c r="P168" s="3">
        <v>464</v>
      </c>
      <c r="Q168" s="3">
        <f>VLOOKUP($A168,'SegEnds_NonXtal_BW#'!$A:$Z,12,FALSE)+VLOOKUP($A168,A:AL,16,FALSE)-50</f>
        <v>470</v>
      </c>
      <c r="R168" s="3">
        <f>IF(ISERROR(VLOOKUP($A168,'SegEnds_NonXtal_BW#'!$A:$Z,13,FALSE)+VLOOKUP($A168,A:AL,19,FALSE)-50),"-",VLOOKUP($A168,'SegEnds_NonXtal_BW#'!$A:$Z,13,FALSE)+VLOOKUP($A168,A:AL,19,FALSE)-50)</f>
        <v>471</v>
      </c>
      <c r="S168" s="3">
        <v>471</v>
      </c>
      <c r="T168" s="103">
        <f>IF(ISERROR(VLOOKUP($A168,'SegEnds_NonXtal_BW#'!$A:$Z,14,FALSE)+VLOOKUP($A168,A:AL,19,FALSE)-50),"-",(VLOOKUP($A168,'SegEnds_NonXtal_BW#'!$A:$Z,14,FALSE)+VLOOKUP($A168,A:AL,19,FALSE)-50))</f>
        <v>478</v>
      </c>
      <c r="U168" s="9">
        <f>IF(ISERROR(VLOOKUP($A168,'SegEnds_NonXtal_BW#'!$A:$Z,15,FALSE)+VLOOKUP($A168,A:AL,22,FALSE)-50),"-",VLOOKUP($A168,'SegEnds_NonXtal_BW#'!$A:$Z,15,FALSE)+VLOOKUP($A168,A:AL,22,FALSE)-50)</f>
        <v>479</v>
      </c>
      <c r="V168" s="3">
        <v>491</v>
      </c>
      <c r="W168" s="3">
        <f>IF(ISERROR(VLOOKUP($A168,'SegEnds_NonXtal_BW#'!$A:$Z,16,FALSE)+VLOOKUP($A168,A:AL,22,FALSE)-50),"-",(VLOOKUP($A168,'SegEnds_NonXtal_BW#'!$A:$Z,16,FALSE)+VLOOKUP($A168,A:AL,22,FALSE)-50))</f>
        <v>503</v>
      </c>
      <c r="X168" s="3">
        <f>IF(ISERROR(VLOOKUP($A168,'SegEnds_NonXtal_BW#'!$A:$Z,17,FALSE)+VLOOKUP($A168,A:AL,25,FALSE)-50),"-",(VLOOKUP($A168,'SegEnds_NonXtal_BW#'!$A:$Z,17,FALSE)+VLOOKUP($A168,A:AL,25,FALSE)-50))</f>
        <v>514</v>
      </c>
      <c r="Y168" s="3">
        <v>514</v>
      </c>
      <c r="Z168" s="3">
        <f>Y168+2</f>
        <v>516</v>
      </c>
      <c r="AA168" s="3">
        <f>IF(ISERROR(VLOOKUP($A168,'SegEnds_NonXtal_BW#'!$A:$Z,19,FALSE)+VLOOKUP($A168,A:AL,28,FALSE)-50),"-",(VLOOKUP($A168,'SegEnds_NonXtal_BW#'!$A:$Z,19,FALSE)+VLOOKUP($A168,A:AL,28,FALSE)-50))</f>
        <v>523</v>
      </c>
      <c r="AB168" s="3">
        <v>538</v>
      </c>
      <c r="AC168" s="3">
        <f>IF(ISERROR((VLOOKUP($A168,'SegEnds_NonXtal_BW#'!$A:$Z,20,FALSE)+VLOOKUP($A168,A:AL,28,FALSE)-50)),"-",(VLOOKUP($A168,'SegEnds_NonXtal_BW#'!$A:$Z,20,FALSE)+VLOOKUP($A168,A:AL,28,FALSE)-50))</f>
        <v>555</v>
      </c>
      <c r="AD168" s="3">
        <f>IF(ISERROR(VLOOKUP($A168,'SegEnds_NonXtal_BW#'!$A:$Z,21,FALSE)+VLOOKUP($A168,A:AL,31,FALSE)-50),"-",(VLOOKUP($A168,'SegEnds_NonXtal_BW#'!$A:$Z,21,FALSE)+VLOOKUP($A168,A:AL,31,FALSE)-50))</f>
        <v>560</v>
      </c>
      <c r="AE168" s="3">
        <v>584</v>
      </c>
      <c r="AF168" s="3">
        <f>IF(ISERROR((VLOOKUP($A168,'SegEnds_NonXtal_BW#'!$A:$Z,22,FALSE)+VLOOKUP($A168,A:AL,31,FALSE)-50)),"-",(VLOOKUP($A168,'SegEnds_NonXtal_BW#'!$A:$Z,22,FALSE)+VLOOKUP($A168,A:AL,31,FALSE)-50))</f>
        <v>595</v>
      </c>
      <c r="AG168" s="3">
        <f>IF(ISERROR(VLOOKUP($A168,'SegEnds_NonXtal_BW#'!$A:$Z,23,FALSE)+VLOOKUP($A168,A:AL,34,FALSE)-50),"-",(VLOOKUP($A168,'SegEnds_NonXtal_BW#'!$A:$Z,23,FALSE)+VLOOKUP($A168,A:AL,34,FALSE)-50))</f>
        <v>601</v>
      </c>
      <c r="AH168" s="3">
        <v>620</v>
      </c>
      <c r="AI168" s="3">
        <f>IF(ISERROR((VLOOKUP($A168,'SegEnds_NonXtal_BW#'!$A:$Z,24,FALSE)+VLOOKUP($A168,A:AL,34,FALSE)-50)),"-",(VLOOKUP($A168,'SegEnds_NonXtal_BW#'!$A:$Z,24,FALSE)+VLOOKUP($A168,A:AL,34,FALSE)-50))</f>
        <v>626</v>
      </c>
      <c r="AJ168" s="3">
        <f>IF(ISERROR(VLOOKUP($A168,'SegEnds_NonXtal_BW#'!$A:$Z,25,FALSE)+VLOOKUP($A168,A:AL,37,FALSE)-50),"-",(VLOOKUP($A168,'SegEnds_NonXtal_BW#'!$A:$Z,25,FALSE)+VLOOKUP($A168,A:AL,37,FALSE)-50))</f>
        <v>627</v>
      </c>
      <c r="AK168" s="3">
        <v>630</v>
      </c>
      <c r="AL168" s="3">
        <f>IF(ISERROR((VLOOKUP($A168,'SegEnds_NonXtal_BW#'!$A:$Z,26,FALSE)+VLOOKUP($A168,A:AL,37,FALSE)-50)),"-",(VLOOKUP($A168,'SegEnds_NonXtal_BW#'!$A:$Z,26,FALSE)+VLOOKUP($A168,A:AL,37,FALSE)-50))</f>
        <v>639</v>
      </c>
      <c r="AM168" s="28" t="str">
        <f>VLOOKUP(A168,Classification!A:B,2,FALSE)</f>
        <v>A</v>
      </c>
      <c r="AN168" s="28" t="b">
        <f>AND(IF(Y168="-",IF(AA168-W168&gt;3,TRUE,FALSE),TRUE),IF(M168="-",IF(O168-K168&gt;3,TRUE,FALSE),TRUE),C168&lt;E168,OR(E168&lt;F168,F168="-"),OR(F168&lt;H168,F168="-"),OR(H168&lt;I168,H168="-"),I168&lt;K168,OR(K168&lt;L168,L168="-"),OR(L168&lt;N168,L168="-"),OR(N168&lt;O168,N168="-"),O168&lt;Q168,OR(Q168&lt;R168,R168="-"),OR(R168&lt;T168,R168="-"),OR(T168&lt;U168,T168="-"),U168&lt;W168,OR(W168&lt;X168,X168="-"),OR(X168&lt;Z168,X168="-"),OR(Z168&lt;AA168,Z168="-"),AA168&lt;AC168,AC168&lt;AD168,AD168&lt;AF168,AF168&lt;AG168,AG168&lt;AI168,OR(AI168&lt;AJ168,AJ168="-"),OR(AJ168&lt;AL168,AJ168="-"))</f>
        <v>1</v>
      </c>
      <c r="AO168" s="3" t="str">
        <f>IF(ISERROR(MATCH(A168,'SegEnds_Xtal_Prot#'!B:B, 0)), "NoXtal", "Xtal")</f>
        <v>NoXtal</v>
      </c>
      <c r="AP168" s="3">
        <f>IF(ISERROR(F168-E168),"-",F168-E168)</f>
        <v>2</v>
      </c>
      <c r="AQ168" s="3">
        <f>IF(ISERROR(I168-H168),"-",I168-H168)</f>
        <v>1</v>
      </c>
      <c r="AR168" s="3">
        <f>IF(ISERROR(L168-K168),"-",L168-K168)</f>
        <v>10</v>
      </c>
      <c r="AS168" s="3">
        <f>IF(ISERROR(O168-N168),"-",O168-N168)</f>
        <v>1</v>
      </c>
      <c r="AT168" s="3">
        <f>IF(ISERROR(R168-Q168),"-",R168-Q168)</f>
        <v>1</v>
      </c>
      <c r="AU168" s="3">
        <f>IF(ISERROR(U168-T168),"-",U168-T168)</f>
        <v>1</v>
      </c>
      <c r="AV168" s="3">
        <f>IF(ISERROR(X168-W168),"-",X168-W168)</f>
        <v>11</v>
      </c>
      <c r="AW168" s="3">
        <f>IF(ISERROR(AA168-Z168),"-",AA168-Z168)</f>
        <v>7</v>
      </c>
      <c r="AX168" s="3">
        <f>IF(ISERROR(AD168-AC168),"-",AD168-AC168)</f>
        <v>5</v>
      </c>
      <c r="AY168" s="3">
        <f>IF(ISERROR(AG168-AF168),"-",AG168-AF168)</f>
        <v>6</v>
      </c>
      <c r="AZ168" s="3">
        <f>IF(ISERROR(AJ168-AI168),"-",AJ168-AI168)</f>
        <v>1</v>
      </c>
      <c r="BA168" s="3">
        <f>IF(ISERROR(LEN(VLOOKUP(A168,Seqs!A:E,2,FALSE))-AL168),"-",LEN(VLOOKUP(A168,Seqs!A:E,2,FALSE))-AL168)</f>
        <v>60</v>
      </c>
      <c r="BB168" s="16">
        <f>J168-D168</f>
        <v>28</v>
      </c>
      <c r="BC168" s="9">
        <f>IF(ISERROR(V168-S168),"-",V168-S168)</f>
        <v>20</v>
      </c>
      <c r="BD168" s="3">
        <f>J168-D168</f>
        <v>28</v>
      </c>
      <c r="BE168" s="3">
        <f>AE168-AB168</f>
        <v>46</v>
      </c>
    </row>
    <row r="169" spans="1:58" s="3" customFormat="1" x14ac:dyDescent="0.2">
      <c r="A169" s="3" t="s">
        <v>292</v>
      </c>
      <c r="B169" s="3" t="str">
        <f>LOWER(VLOOKUP(A169,Xtal_Templ!A:B,2,FALSE))</f>
        <v>agtr1_human</v>
      </c>
      <c r="C169" s="3">
        <f>VLOOKUP($A169,'SegEnds_NonXtal_BW#'!$A:$Z,3,FALSE)+D169-50</f>
        <v>16</v>
      </c>
      <c r="D169" s="3">
        <v>36</v>
      </c>
      <c r="E169" s="3">
        <f>IF(ISERROR(VLOOKUP($A169,'SegEnds_NonXtal_BW#'!$A:$Z,4,FALSE)+VLOOKUP($A169,A:AL,4,FALSE)-50),"-",(VLOOKUP($A169,'SegEnds_NonXtal_BW#'!$A:$Z,4,FALSE)+VLOOKUP($A169,A:AL,4,FALSE)-50))</f>
        <v>46</v>
      </c>
      <c r="F169" s="3">
        <f>G169-2</f>
        <v>47</v>
      </c>
      <c r="G169" s="3">
        <v>49</v>
      </c>
      <c r="H169" s="3">
        <f>G169+1</f>
        <v>50</v>
      </c>
      <c r="I169" s="3">
        <f>H169+1</f>
        <v>51</v>
      </c>
      <c r="J169" s="3">
        <v>64</v>
      </c>
      <c r="K169" s="3">
        <f>VLOOKUP($A169,'SegEnds_NonXtal_BW#'!$A:$Z,8,FALSE)+VLOOKUP($A169,A:AL,10,FALSE)-50</f>
        <v>80</v>
      </c>
      <c r="L169" s="3">
        <f>M169-1</f>
        <v>82</v>
      </c>
      <c r="M169" s="3">
        <v>83</v>
      </c>
      <c r="N169" s="3">
        <f>M169+2</f>
        <v>85</v>
      </c>
      <c r="O169" s="3">
        <f>N169+1</f>
        <v>86</v>
      </c>
      <c r="P169" s="3">
        <v>115</v>
      </c>
      <c r="Q169" s="3">
        <f>VLOOKUP($A169,'SegEnds_NonXtal_BW#'!$A:$Z,12,FALSE)+VLOOKUP($A169,A:AL,16,FALSE)-50</f>
        <v>121</v>
      </c>
      <c r="R169" s="3">
        <f>IF(ISERROR(VLOOKUP($A169,'SegEnds_NonXtal_BW#'!$A:$Z,13,FALSE)+VLOOKUP($A169,A:AL,19,FALSE)-50),"-",VLOOKUP($A169,'SegEnds_NonXtal_BW#'!$A:$Z,13,FALSE)+VLOOKUP($A169,A:AL,19,FALSE)-50)</f>
        <v>122</v>
      </c>
      <c r="S169" s="3">
        <v>122</v>
      </c>
      <c r="T169" s="103">
        <f>IF(ISERROR(VLOOKUP($A169,'SegEnds_NonXtal_BW#'!$A:$Z,14,FALSE)+VLOOKUP($A169,A:AL,19,FALSE)-50),"-",(VLOOKUP($A169,'SegEnds_NonXtal_BW#'!$A:$Z,14,FALSE)+VLOOKUP($A169,A:AL,19,FALSE)-50))</f>
        <v>129</v>
      </c>
      <c r="U169" s="9">
        <f>IF(ISERROR(VLOOKUP($A169,'SegEnds_NonXtal_BW#'!$A:$Z,15,FALSE)+VLOOKUP($A169,A:AL,22,FALSE)-50),"-",VLOOKUP($A169,'SegEnds_NonXtal_BW#'!$A:$Z,15,FALSE)+VLOOKUP($A169,A:AL,22,FALSE)-50)</f>
        <v>130</v>
      </c>
      <c r="V169" s="3">
        <v>142</v>
      </c>
      <c r="W169" s="3">
        <f>IF(ISERROR(VLOOKUP($A169,'SegEnds_NonXtal_BW#'!$A:$Z,16,FALSE)+VLOOKUP($A169,A:AL,22,FALSE)-50),"-",(VLOOKUP($A169,'SegEnds_NonXtal_BW#'!$A:$Z,16,FALSE)+VLOOKUP($A169,A:AL,22,FALSE)-50))</f>
        <v>156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>Y169+2</f>
        <v>170</v>
      </c>
      <c r="AA169" s="3">
        <f>IF(ISERROR(VLOOKUP($A169,'SegEnds_NonXtal_BW#'!$A:$Z,19,FALSE)+VLOOKUP($A169,A:AL,28,FALSE)-50),"-",(VLOOKUP($A169,'SegEnds_NonXtal_BW#'!$A:$Z,19,FALSE)+VLOOKUP($A169,A:AL,28,FALSE)-50))</f>
        <v>177</v>
      </c>
      <c r="AB169" s="3">
        <v>193</v>
      </c>
      <c r="AC169" s="3">
        <f>IF(ISERROR((VLOOKUP($A169,'SegEnds_NonXtal_BW#'!$A:$Z,20,FALSE)+VLOOKUP($A169,A:AL,28,FALSE)-50)),"-",(VLOOKUP($A169,'SegEnds_NonXtal_BW#'!$A:$Z,20,FALSE)+VLOOKUP($A169,A:AL,28,FALSE)-50))</f>
        <v>211</v>
      </c>
      <c r="AD169" s="3">
        <f>IF(ISERROR(VLOOKUP($A169,'SegEnds_NonXtal_BW#'!$A:$Z,21,FALSE)+VLOOKUP($A169,A:AL,31,FALSE)-50),"-",(VLOOKUP($A169,'SegEnds_NonXtal_BW#'!$A:$Z,21,FALSE)+VLOOKUP($A169,A:AL,31,FALSE)-50))</f>
        <v>216</v>
      </c>
      <c r="AE169" s="3">
        <v>236</v>
      </c>
      <c r="AF169" s="3">
        <f>IF(ISERROR((VLOOKUP($A169,'SegEnds_NonXtal_BW#'!$A:$Z,22,FALSE)+VLOOKUP($A169,A:AL,31,FALSE)-50)),"-",(VLOOKUP($A169,'SegEnds_NonXtal_BW#'!$A:$Z,22,FALSE)+VLOOKUP($A169,A:AL,31,FALSE)-50))</f>
        <v>250</v>
      </c>
      <c r="AG169" s="3">
        <f>IF(ISERROR(VLOOKUP($A169,'SegEnds_NonXtal_BW#'!$A:$Z,23,FALSE)+VLOOKUP($A169,A:AL,34,FALSE)-50),"-",(VLOOKUP($A169,'SegEnds_NonXtal_BW#'!$A:$Z,23,FALSE)+VLOOKUP($A169,A:AL,34,FALSE)-50))</f>
        <v>256</v>
      </c>
      <c r="AH169" s="3">
        <v>282</v>
      </c>
      <c r="AI169" s="3">
        <f>IF(ISERROR((VLOOKUP($A169,'SegEnds_NonXtal_BW#'!$A:$Z,24,FALSE)+VLOOKUP($A169,A:AL,34,FALSE)-50)),"-",(VLOOKUP($A169,'SegEnds_NonXtal_BW#'!$A:$Z,24,FALSE)+VLOOKUP($A169,A:AL,34,FALSE)-50))</f>
        <v>288</v>
      </c>
      <c r="AJ169" s="3">
        <f>IF(ISERROR(VLOOKUP($A169,'SegEnds_NonXtal_BW#'!$A:$Z,25,FALSE)+VLOOKUP($A169,A:AL,37,FALSE)-50),"-",(VLOOKUP($A169,'SegEnds_NonXtal_BW#'!$A:$Z,25,FALSE)+VLOOKUP($A169,A:AL,37,FALSE)-50))</f>
        <v>289</v>
      </c>
      <c r="AK169" s="3">
        <v>292</v>
      </c>
      <c r="AL169" s="3">
        <f>IF(ISERROR((VLOOKUP($A169,'SegEnds_NonXtal_BW#'!$A:$Z,26,FALSE)+VLOOKUP($A169,A:AL,37,FALSE)-50)),"-",(VLOOKUP($A169,'SegEnds_NonXtal_BW#'!$A:$Z,26,FALSE)+VLOOKUP($A169,A:AL,37,FALSE)-50))</f>
        <v>303</v>
      </c>
      <c r="AM169" s="28" t="str">
        <f>VLOOKUP(A169,Classification!A:B,2,FALSE)</f>
        <v>A</v>
      </c>
      <c r="AN169" s="28" t="b">
        <f>AND(IF(Y169="-",IF(AA169-W169&gt;3,TRUE,FALSE),TRUE),IF(M169="-",IF(O169-K169&gt;3,TRUE,FALSE),TRUE),C169&lt;E169,OR(E169&lt;F169,F169="-"),OR(F169&lt;H169,F169="-"),OR(H169&lt;I169,H169="-"),I169&lt;K169,OR(K169&lt;L169,L169="-"),OR(L169&lt;N169,L169="-"),OR(N169&lt;O169,N169="-"),O169&lt;Q169,OR(Q169&lt;R169,R169="-"),OR(R169&lt;T169,R169="-"),OR(T169&lt;U169,T169="-"),U169&lt;W169,OR(W169&lt;X169,X169="-"),OR(X169&lt;Z169,X169="-"),OR(Z169&lt;AA169,Z169="-"),AA169&lt;AC169,AC169&lt;AD169,AD169&lt;AF169,AF169&lt;AG169,AG169&lt;AI169,OR(AI169&lt;AJ169,AJ169="-"),OR(AJ169&lt;AL169,AJ169="-"))</f>
        <v>1</v>
      </c>
      <c r="AO169" s="3" t="str">
        <f>IF(ISERROR(MATCH(A169,'SegEnds_Xtal_Prot#'!B:B, 0)), "NoXtal", "Xtal")</f>
        <v>NoXtal</v>
      </c>
      <c r="AP169" s="3">
        <f>IF(ISERROR(F169-E169),"-",F169-E169)</f>
        <v>1</v>
      </c>
      <c r="AQ169" s="3">
        <f>IF(ISERROR(I169-H169),"-",I169-H169)</f>
        <v>1</v>
      </c>
      <c r="AR169" s="3">
        <f>IF(ISERROR(L169-K169),"-",L169-K169)</f>
        <v>2</v>
      </c>
      <c r="AS169" s="3">
        <f>IF(ISERROR(O169-N169),"-",O169-N169)</f>
        <v>1</v>
      </c>
      <c r="AT169" s="3">
        <f>IF(ISERROR(R169-Q169),"-",R169-Q169)</f>
        <v>1</v>
      </c>
      <c r="AU169" s="3">
        <f>IF(ISERROR(U169-T169),"-",U169-T169)</f>
        <v>1</v>
      </c>
      <c r="AV169" s="3">
        <f>IF(ISERROR(X169-W169),"-",X169-W169)</f>
        <v>12</v>
      </c>
      <c r="AW169" s="3">
        <f>IF(ISERROR(AA169-Z169),"-",AA169-Z169)</f>
        <v>7</v>
      </c>
      <c r="AX169" s="3">
        <f>IF(ISERROR(AD169-AC169),"-",AD169-AC169)</f>
        <v>5</v>
      </c>
      <c r="AY169" s="3">
        <f>IF(ISERROR(AG169-AF169),"-",AG169-AF169)</f>
        <v>6</v>
      </c>
      <c r="AZ169" s="3">
        <f>IF(ISERROR(AJ169-AI169),"-",AJ169-AI169)</f>
        <v>1</v>
      </c>
      <c r="BA169" s="3">
        <f>IF(ISERROR(LEN(VLOOKUP(A169,Seqs!A:E,2,FALSE))-AL169),"-",LEN(VLOOKUP(A169,Seqs!A:E,2,FALSE))-AL169)</f>
        <v>49</v>
      </c>
      <c r="BB169" s="16">
        <f>J169-D169</f>
        <v>28</v>
      </c>
      <c r="BC169" s="9">
        <f>IF(ISERROR(V169-S169),"-",V169-S169)</f>
        <v>20</v>
      </c>
      <c r="BD169" s="3">
        <f>J169-D169</f>
        <v>28</v>
      </c>
      <c r="BE169" s="3">
        <f>AE169-AB169</f>
        <v>43</v>
      </c>
    </row>
    <row r="170" spans="1:58" s="3" customFormat="1" x14ac:dyDescent="0.2">
      <c r="A170" s="3" t="s">
        <v>293</v>
      </c>
      <c r="B170" s="3" t="str">
        <f>LOWER(VLOOKUP(A170,Xtal_Templ!A:B,2,FALSE))</f>
        <v>ntr1_rat</v>
      </c>
      <c r="C170" s="3">
        <f>VLOOKUP($A170,'SegEnds_NonXtal_BW#'!$A:$Z,3,FALSE)+D170-50</f>
        <v>48</v>
      </c>
      <c r="D170" s="3">
        <v>69</v>
      </c>
      <c r="E170" s="3">
        <f>IF(ISERROR(VLOOKUP($A170,'SegEnds_NonXtal_BW#'!$A:$Z,4,FALSE)+VLOOKUP($A170,A:AL,4,FALSE)-50),"-",(VLOOKUP($A170,'SegEnds_NonXtal_BW#'!$A:$Z,4,FALSE)+VLOOKUP($A170,A:AL,4,FALSE)-50))</f>
        <v>79</v>
      </c>
      <c r="F170" s="3">
        <f>G170-2</f>
        <v>80</v>
      </c>
      <c r="G170" s="3">
        <v>82</v>
      </c>
      <c r="H170" s="3">
        <f>G170+1</f>
        <v>83</v>
      </c>
      <c r="I170" s="3">
        <f>H170+1</f>
        <v>84</v>
      </c>
      <c r="J170" s="3">
        <v>99</v>
      </c>
      <c r="K170" s="3">
        <f>VLOOKUP($A170,'SegEnds_NonXtal_BW#'!$A:$Z,8,FALSE)+VLOOKUP($A170,A:AL,10,FALSE)-50</f>
        <v>115</v>
      </c>
      <c r="L170" s="3">
        <f>M170-1</f>
        <v>117</v>
      </c>
      <c r="M170" s="3">
        <v>118</v>
      </c>
      <c r="N170" s="3">
        <f>M170+2</f>
        <v>120</v>
      </c>
      <c r="O170" s="3">
        <f>N170+1</f>
        <v>121</v>
      </c>
      <c r="P170" s="3">
        <v>150</v>
      </c>
      <c r="Q170" s="3">
        <f>VLOOKUP($A170,'SegEnds_NonXtal_BW#'!$A:$Z,12,FALSE)+VLOOKUP($A170,A:AL,16,FALSE)-50</f>
        <v>156</v>
      </c>
      <c r="R170" s="3">
        <f>IF(ISERROR(VLOOKUP($A170,'SegEnds_NonXtal_BW#'!$A:$Z,13,FALSE)+VLOOKUP($A170,A:AL,19,FALSE)-50),"-",VLOOKUP($A170,'SegEnds_NonXtal_BW#'!$A:$Z,13,FALSE)+VLOOKUP($A170,A:AL,19,FALSE)-50)</f>
        <v>157</v>
      </c>
      <c r="S170" s="3">
        <v>157</v>
      </c>
      <c r="T170" s="103">
        <f>IF(ISERROR(VLOOKUP($A170,'SegEnds_NonXtal_BW#'!$A:$Z,14,FALSE)+VLOOKUP($A170,A:AL,19,FALSE)-50),"-",(VLOOKUP($A170,'SegEnds_NonXtal_BW#'!$A:$Z,14,FALSE)+VLOOKUP($A170,A:AL,19,FALSE)-50))</f>
        <v>164</v>
      </c>
      <c r="U170" s="9">
        <f>IF(ISERROR(VLOOKUP($A170,'SegEnds_NonXtal_BW#'!$A:$Z,15,FALSE)+VLOOKUP($A170,A:AL,22,FALSE)-50),"-",VLOOKUP($A170,'SegEnds_NonXtal_BW#'!$A:$Z,15,FALSE)+VLOOKUP($A170,A:AL,22,FALSE)-50)</f>
        <v>165</v>
      </c>
      <c r="V170" s="3">
        <v>177</v>
      </c>
      <c r="W170" s="3">
        <f>IF(ISERROR(VLOOKUP($A170,'SegEnds_NonXtal_BW#'!$A:$Z,16,FALSE)+VLOOKUP($A170,A:AL,22,FALSE)-50),"-",(VLOOKUP($A170,'SegEnds_NonXtal_BW#'!$A:$Z,16,FALSE)+VLOOKUP($A170,A:AL,22,FALSE)-50))</f>
        <v>191</v>
      </c>
      <c r="X170" s="3">
        <f>IF(ISERROR(VLOOKUP($A170,'SegEnds_NonXtal_BW#'!$A:$Z,17,FALSE)+VLOOKUP($A170,A:AL,25,FALSE)-50),"-",(VLOOKUP($A170,'SegEnds_NonXtal_BW#'!$A:$Z,17,FALSE)+VLOOKUP($A170,A:AL,25,FALSE)-50))</f>
        <v>202</v>
      </c>
      <c r="Y170" s="3">
        <v>202</v>
      </c>
      <c r="Z170" s="3">
        <f>Y170+2</f>
        <v>204</v>
      </c>
      <c r="AA170" s="3">
        <f>IF(ISERROR(VLOOKUP($A170,'SegEnds_NonXtal_BW#'!$A:$Z,19,FALSE)+VLOOKUP($A170,A:AL,28,FALSE)-50),"-",(VLOOKUP($A170,'SegEnds_NonXtal_BW#'!$A:$Z,19,FALSE)+VLOOKUP($A170,A:AL,28,FALSE)-50))</f>
        <v>209</v>
      </c>
      <c r="AB170" s="3">
        <v>224</v>
      </c>
      <c r="AC170" s="3">
        <f>IF(ISERROR((VLOOKUP($A170,'SegEnds_NonXtal_BW#'!$A:$Z,20,FALSE)+VLOOKUP($A170,A:AL,28,FALSE)-50)),"-",(VLOOKUP($A170,'SegEnds_NonXtal_BW#'!$A:$Z,20,FALSE)+VLOOKUP($A170,A:AL,28,FALSE)-50))</f>
        <v>241</v>
      </c>
      <c r="AD170" s="3">
        <f>IF(ISERROR(VLOOKUP($A170,'SegEnds_NonXtal_BW#'!$A:$Z,21,FALSE)+VLOOKUP($A170,A:AL,31,FALSE)-50),"-",(VLOOKUP($A170,'SegEnds_NonXtal_BW#'!$A:$Z,21,FALSE)+VLOOKUP($A170,A:AL,31,FALSE)-50))</f>
        <v>246</v>
      </c>
      <c r="AE170" s="3">
        <v>270</v>
      </c>
      <c r="AF170" s="3">
        <f>IF(ISERROR((VLOOKUP($A170,'SegEnds_NonXtal_BW#'!$A:$Z,22,FALSE)+VLOOKUP($A170,A:AL,31,FALSE)-50)),"-",(VLOOKUP($A170,'SegEnds_NonXtal_BW#'!$A:$Z,22,FALSE)+VLOOKUP($A170,A:AL,31,FALSE)-50))</f>
        <v>284</v>
      </c>
      <c r="AG170" s="3">
        <f>IF(ISERROR(VLOOKUP($A170,'SegEnds_NonXtal_BW#'!$A:$Z,23,FALSE)+VLOOKUP($A170,A:AL,34,FALSE)-50),"-",(VLOOKUP($A170,'SegEnds_NonXtal_BW#'!$A:$Z,23,FALSE)+VLOOKUP($A170,A:AL,34,FALSE)-50))</f>
        <v>290</v>
      </c>
      <c r="AH170" s="3">
        <v>316</v>
      </c>
      <c r="AI170" s="3">
        <f>IF(ISERROR((VLOOKUP($A170,'SegEnds_NonXtal_BW#'!$A:$Z,24,FALSE)+VLOOKUP($A170,A:AL,34,FALSE)-50)),"-",(VLOOKUP($A170,'SegEnds_NonXtal_BW#'!$A:$Z,24,FALSE)+VLOOKUP($A170,A:AL,34,FALSE)-50))</f>
        <v>322</v>
      </c>
      <c r="AJ170" s="3">
        <f>IF(ISERROR(VLOOKUP($A170,'SegEnds_NonXtal_BW#'!$A:$Z,25,FALSE)+VLOOKUP($A170,A:AL,37,FALSE)-50),"-",(VLOOKUP($A170,'SegEnds_NonXtal_BW#'!$A:$Z,25,FALSE)+VLOOKUP($A170,A:AL,37,FALSE)-50))</f>
        <v>323</v>
      </c>
      <c r="AK170" s="3">
        <v>326</v>
      </c>
      <c r="AL170" s="3">
        <f>IF(ISERROR((VLOOKUP($A170,'SegEnds_NonXtal_BW#'!$A:$Z,26,FALSE)+VLOOKUP($A170,A:AL,37,FALSE)-50)),"-",(VLOOKUP($A170,'SegEnds_NonXtal_BW#'!$A:$Z,26,FALSE)+VLOOKUP($A170,A:AL,37,FALSE)-50))</f>
        <v>334</v>
      </c>
      <c r="AM170" s="28" t="str">
        <f>VLOOKUP(A170,Classification!A:B,2,FALSE)</f>
        <v>A</v>
      </c>
      <c r="AN170" s="28" t="b">
        <f>AND(IF(Y170="-",IF(AA170-W170&gt;3,TRUE,FALSE),TRUE),IF(M170="-",IF(O170-K170&gt;3,TRUE,FALSE),TRUE),C170&lt;E170,OR(E170&lt;F170,F170="-"),OR(F170&lt;H170,F170="-"),OR(H170&lt;I170,H170="-"),I170&lt;K170,OR(K170&lt;L170,L170="-"),OR(L170&lt;N170,L170="-"),OR(N170&lt;O170,N170="-"),O170&lt;Q170,OR(Q170&lt;R170,R170="-"),OR(R170&lt;T170,R170="-"),OR(T170&lt;U170,T170="-"),U170&lt;W170,OR(W170&lt;X170,X170="-"),OR(X170&lt;Z170,X170="-"),OR(Z170&lt;AA170,Z170="-"),AA170&lt;AC170,AC170&lt;AD170,AD170&lt;AF170,AF170&lt;AG170,AG170&lt;AI170,OR(AI170&lt;AJ170,AJ170="-"),OR(AJ170&lt;AL170,AJ170="-"))</f>
        <v>1</v>
      </c>
      <c r="AO170" s="3" t="str">
        <f>IF(ISERROR(MATCH(A170,'SegEnds_Xtal_Prot#'!B:B, 0)), "NoXtal", "Xtal")</f>
        <v>NoXtal</v>
      </c>
      <c r="AP170" s="3">
        <f>IF(ISERROR(F170-E170),"-",F170-E170)</f>
        <v>1</v>
      </c>
      <c r="AQ170" s="3">
        <f>IF(ISERROR(I170-H170),"-",I170-H170)</f>
        <v>1</v>
      </c>
      <c r="AR170" s="3">
        <f>IF(ISERROR(L170-K170),"-",L170-K170)</f>
        <v>2</v>
      </c>
      <c r="AS170" s="3">
        <f>IF(ISERROR(O170-N170),"-",O170-N170)</f>
        <v>1</v>
      </c>
      <c r="AT170" s="3">
        <f>IF(ISERROR(R170-Q170),"-",R170-Q170)</f>
        <v>1</v>
      </c>
      <c r="AU170" s="3">
        <f>IF(ISERROR(U170-T170),"-",U170-T170)</f>
        <v>1</v>
      </c>
      <c r="AV170" s="3">
        <f>IF(ISERROR(X170-W170),"-",X170-W170)</f>
        <v>11</v>
      </c>
      <c r="AW170" s="3">
        <f>IF(ISERROR(AA170-Z170),"-",AA170-Z170)</f>
        <v>5</v>
      </c>
      <c r="AX170" s="3">
        <f>IF(ISERROR(AD170-AC170),"-",AD170-AC170)</f>
        <v>5</v>
      </c>
      <c r="AY170" s="3">
        <f>IF(ISERROR(AG170-AF170),"-",AG170-AF170)</f>
        <v>6</v>
      </c>
      <c r="AZ170" s="3">
        <f>IF(ISERROR(AJ170-AI170),"-",AJ170-AI170)</f>
        <v>1</v>
      </c>
      <c r="BA170" s="3">
        <f>IF(ISERROR(LEN(VLOOKUP(A170,Seqs!A:E,2,FALSE))-AL170),"-",LEN(VLOOKUP(A170,Seqs!A:E,2,FALSE))-AL170)</f>
        <v>55</v>
      </c>
      <c r="BB170" s="16">
        <f>J170-D170</f>
        <v>30</v>
      </c>
      <c r="BC170" s="9">
        <f>IF(ISERROR(V170-S170),"-",V170-S170)</f>
        <v>20</v>
      </c>
      <c r="BD170" s="3">
        <f>J170-D170</f>
        <v>30</v>
      </c>
      <c r="BE170" s="3">
        <f>AE170-AB170</f>
        <v>46</v>
      </c>
    </row>
    <row r="171" spans="1:58" s="3" customFormat="1" x14ac:dyDescent="0.2">
      <c r="A171" s="3" t="s">
        <v>294</v>
      </c>
      <c r="B171" s="3" t="str">
        <f>LOWER(VLOOKUP(A171,Xtal_Templ!A:B,2,FALSE))</f>
        <v>agtr1_human</v>
      </c>
      <c r="C171" s="3">
        <f>VLOOKUP($A171,'SegEnds_NonXtal_BW#'!$A:$Z,3,FALSE)+D171-50</f>
        <v>30</v>
      </c>
      <c r="D171" s="3">
        <v>50</v>
      </c>
      <c r="E171" s="3">
        <f>IF(ISERROR(VLOOKUP($A171,'SegEnds_NonXtal_BW#'!$A:$Z,4,FALSE)+VLOOKUP($A171,A:AL,4,FALSE)-50),"-",(VLOOKUP($A171,'SegEnds_NonXtal_BW#'!$A:$Z,4,FALSE)+VLOOKUP($A171,A:AL,4,FALSE)-50))</f>
        <v>60</v>
      </c>
      <c r="F171" s="3" t="str">
        <f>IF(ISERROR(VLOOKUP($A171,'SegEnds_NonXtal_BW#'!$A:$Z,5,FALSE)+VLOOKUP($A171,A:AL,7,FALSE)-50),"-",(VLOOKUP($A171,'SegEnds_NonXtal_BW#'!$A:$Z,5,FALSE)+VLOOKUP($A171,A:AL,7,FALSE)-50))</f>
        <v>-</v>
      </c>
      <c r="G171" s="3" t="s">
        <v>23</v>
      </c>
      <c r="H171" s="3" t="str">
        <f>IF(ISERROR(VLOOKUP($A171,'SegEnds_NonXtal_BW#'!$A:$Z,6,FALSE)+VLOOKUP($A171,A:AL,7,FALSE)-50),"-",(VLOOKUP($A171,'SegEnds_NonXtal_BW#'!$A:$Z,6,FALSE)+VLOOKUP($A171,A:AL,7,FALSE)-50))</f>
        <v>-</v>
      </c>
      <c r="I171" s="3">
        <f>VLOOKUP($A171,'SegEnds_NonXtal_BW#'!$A:$Z,7,FALSE)+J171-50</f>
        <v>64</v>
      </c>
      <c r="J171" s="3">
        <v>77</v>
      </c>
      <c r="K171" s="3">
        <f>VLOOKUP($A171,'SegEnds_NonXtal_BW#'!$A:$Z,8,FALSE)+VLOOKUP($A171,A:AL,10,FALSE)-50</f>
        <v>94</v>
      </c>
      <c r="L171" s="3" t="s">
        <v>23</v>
      </c>
      <c r="M171" s="3" t="s">
        <v>23</v>
      </c>
      <c r="N171" s="3" t="s">
        <v>23</v>
      </c>
      <c r="O171" s="3">
        <f>VLOOKUP($A171,'SegEnds_NonXtal_BW#'!$A:$Z,11,FALSE)+VLOOKUP($A171,A:AL,16,FALSE)-50</f>
        <v>98</v>
      </c>
      <c r="P171" s="3">
        <v>130</v>
      </c>
      <c r="Q171" s="3">
        <f>VLOOKUP($A171,'SegEnds_NonXtal_BW#'!$A:$Z,12,FALSE)+VLOOKUP($A171,A:AL,16,FALSE)-50</f>
        <v>136</v>
      </c>
      <c r="R171" s="3">
        <f>IF(ISERROR(VLOOKUP($A171,'SegEnds_NonXtal_BW#'!$A:$Z,13,FALSE)+VLOOKUP($A171,A:AL,19,FALSE)-50),"-",VLOOKUP($A171,'SegEnds_NonXtal_BW#'!$A:$Z,13,FALSE)+VLOOKUP($A171,A:AL,19,FALSE)-50)</f>
        <v>137</v>
      </c>
      <c r="S171" s="3">
        <v>137</v>
      </c>
      <c r="T171" s="103">
        <f>IF(ISERROR(VLOOKUP($A171,'SegEnds_NonXtal_BW#'!$A:$Z,14,FALSE)+VLOOKUP($A171,A:AL,19,FALSE)-50),"-",(VLOOKUP($A171,'SegEnds_NonXtal_BW#'!$A:$Z,14,FALSE)+VLOOKUP($A171,A:AL,19,FALSE)-50))</f>
        <v>144</v>
      </c>
      <c r="U171" s="9">
        <f>IF(ISERROR(VLOOKUP($A171,'SegEnds_NonXtal_BW#'!$A:$Z,15,FALSE)+VLOOKUP($A171,A:AL,22,FALSE)-50),"-",VLOOKUP($A171,'SegEnds_NonXtal_BW#'!$A:$Z,15,FALSE)+VLOOKUP($A171,A:AL,22,FALSE)-50)</f>
        <v>145</v>
      </c>
      <c r="V171" s="3">
        <v>157</v>
      </c>
      <c r="W171" s="3">
        <f>IF(ISERROR(VLOOKUP($A171,'SegEnds_NonXtal_BW#'!$A:$Z,16,FALSE)+VLOOKUP($A171,A:AL,22,FALSE)-50),"-",(VLOOKUP($A171,'SegEnds_NonXtal_BW#'!$A:$Z,16,FALSE)+VLOOKUP($A171,A:AL,22,FALSE)-50))</f>
        <v>171</v>
      </c>
      <c r="X171" s="3" t="str">
        <f>IF(ISERROR(VLOOKUP($A171,'SegEnds_NonXtal_BW#'!$A:$Z,17,FALSE)+VLOOKUP($A171,A:AL,25,FALSE)-50),"-",(VLOOKUP($A171,'SegEnds_NonXtal_BW#'!$A:$Z,17,FALSE)+VLOOKUP($A171,A:AL,25,FALSE)-50))</f>
        <v>-</v>
      </c>
      <c r="Y171" s="3" t="s">
        <v>23</v>
      </c>
      <c r="Z171" s="3" t="str">
        <f>IF(ISERROR(VLOOKUP($A171,'SegEnds_NonXtal_BW#'!$A:$Z,18,FALSE)+VLOOKUP($A171,A:AL,25,FALSE)-50),"-",(VLOOKUP($A171,'SegEnds_NonXtal_BW#'!$A:$Z,18,FALSE)+VLOOKUP($A171,A:AL,25,FALSE)-50))</f>
        <v>-</v>
      </c>
      <c r="AA171" s="3">
        <f>IF(ISERROR(VLOOKUP($A171,'SegEnds_NonXtal_BW#'!$A:$Z,19,FALSE)+VLOOKUP($A171,A:AL,28,FALSE)-50),"-",(VLOOKUP($A171,'SegEnds_NonXtal_BW#'!$A:$Z,19,FALSE)+VLOOKUP($A171,A:AL,28,FALSE)-50))</f>
        <v>185</v>
      </c>
      <c r="AB171" s="3">
        <v>201</v>
      </c>
      <c r="AC171" s="3">
        <f>IF(ISERROR((VLOOKUP($A171,'SegEnds_NonXtal_BW#'!$A:$Z,20,FALSE)+VLOOKUP($A171,A:AL,28,FALSE)-50)),"-",(VLOOKUP($A171,'SegEnds_NonXtal_BW#'!$A:$Z,20,FALSE)+VLOOKUP($A171,A:AL,28,FALSE)-50))</f>
        <v>219</v>
      </c>
      <c r="AD171" s="3">
        <f>IF(ISERROR(VLOOKUP($A171,'SegEnds_NonXtal_BW#'!$A:$Z,21,FALSE)+VLOOKUP($A171,A:AL,31,FALSE)-50),"-",(VLOOKUP($A171,'SegEnds_NonXtal_BW#'!$A:$Z,21,FALSE)+VLOOKUP($A171,A:AL,31,FALSE)-50))</f>
        <v>223</v>
      </c>
      <c r="AE171" s="3">
        <v>243</v>
      </c>
      <c r="AF171" s="3">
        <f>IF(ISERROR((VLOOKUP($A171,'SegEnds_NonXtal_BW#'!$A:$Z,22,FALSE)+VLOOKUP($A171,A:AL,31,FALSE)-50)),"-",(VLOOKUP($A171,'SegEnds_NonXtal_BW#'!$A:$Z,22,FALSE)+VLOOKUP($A171,A:AL,31,FALSE)-50))</f>
        <v>254</v>
      </c>
      <c r="AG171" s="3">
        <f>IF(ISERROR(VLOOKUP($A171,'SegEnds_NonXtal_BW#'!$A:$Z,23,FALSE)+VLOOKUP($A171,A:AL,34,FALSE)-50),"-",(VLOOKUP($A171,'SegEnds_NonXtal_BW#'!$A:$Z,23,FALSE)+VLOOKUP($A171,A:AL,34,FALSE)-50))</f>
        <v>259</v>
      </c>
      <c r="AH171" s="3">
        <v>277</v>
      </c>
      <c r="AI171" s="3">
        <f>IF(ISERROR((VLOOKUP($A171,'SegEnds_NonXtal_BW#'!$A:$Z,24,FALSE)+VLOOKUP($A171,A:AL,34,FALSE)-50)),"-",(VLOOKUP($A171,'SegEnds_NonXtal_BW#'!$A:$Z,24,FALSE)+VLOOKUP($A171,A:AL,34,FALSE)-50))</f>
        <v>283</v>
      </c>
      <c r="AJ171" s="3">
        <f>IF(ISERROR(VLOOKUP($A171,'SegEnds_NonXtal_BW#'!$A:$Z,25,FALSE)+VLOOKUP($A171,A:AL,37,FALSE)-50),"-",(VLOOKUP($A171,'SegEnds_NonXtal_BW#'!$A:$Z,25,FALSE)+VLOOKUP($A171,A:AL,37,FALSE)-50))</f>
        <v>284</v>
      </c>
      <c r="AK171" s="3">
        <v>287</v>
      </c>
      <c r="AL171" s="3">
        <f>IF(ISERROR((VLOOKUP($A171,'SegEnds_NonXtal_BW#'!$A:$Z,26,FALSE)+VLOOKUP($A171,A:AL,37,FALSE)-50)),"-",(VLOOKUP($A171,'SegEnds_NonXtal_BW#'!$A:$Z,26,FALSE)+VLOOKUP($A171,A:AL,37,FALSE)-50))</f>
        <v>298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 t="str">
        <f>IF(ISERROR(F171-E171),"-",F171-E171)</f>
        <v>-</v>
      </c>
      <c r="AQ171" s="3" t="str">
        <f>IF(ISERROR(I171-H171),"-",I171-H171)</f>
        <v>-</v>
      </c>
      <c r="AR171" s="3" t="str">
        <f>IF(ISERROR(L171-K171),"-",L171-K171)</f>
        <v>-</v>
      </c>
      <c r="AS171" s="3" t="str">
        <f>IF(ISERROR(O171-N171),"-",O171-N171)</f>
        <v>-</v>
      </c>
      <c r="AT171" s="3">
        <f>IF(ISERROR(R171-Q171),"-",R171-Q171)</f>
        <v>1</v>
      </c>
      <c r="AU171" s="3">
        <f>IF(ISERROR(U171-T171),"-",U171-T171)</f>
        <v>1</v>
      </c>
      <c r="AV171" s="3" t="str">
        <f>IF(ISERROR(X171-W171),"-",X171-W171)</f>
        <v>-</v>
      </c>
      <c r="AW171" s="3" t="str">
        <f>IF(ISERROR(AA171-Z171),"-",AA171-Z171)</f>
        <v>-</v>
      </c>
      <c r="AX171" s="3">
        <f>IF(ISERROR(AD171-AC171),"-",AD171-AC171)</f>
        <v>4</v>
      </c>
      <c r="AY171" s="3">
        <f>IF(ISERROR(AG171-AF171),"-",AG171-AF171)</f>
        <v>5</v>
      </c>
      <c r="AZ171" s="3">
        <f>IF(ISERROR(AJ171-AI171),"-",AJ171-AI171)</f>
        <v>1</v>
      </c>
      <c r="BA171" s="3">
        <f>IF(ISERROR(LEN(VLOOKUP(A171,Seqs!A:E,2,FALSE))-AL171),"-",LEN(VLOOKUP(A171,Seqs!A:E,2,FALSE))-AL171)</f>
        <v>27</v>
      </c>
      <c r="BB171" s="16">
        <f>J171-D171</f>
        <v>27</v>
      </c>
      <c r="BC171" s="9">
        <f>IF(ISERROR(V171-S171),"-",V171-S171)</f>
        <v>20</v>
      </c>
      <c r="BD171" s="3">
        <f>J171-D171</f>
        <v>27</v>
      </c>
      <c r="BE171" s="3">
        <f>AE171-AB171</f>
        <v>42</v>
      </c>
      <c r="BF171" s="3">
        <f>AH171-AE171</f>
        <v>34</v>
      </c>
    </row>
    <row r="172" spans="1:58" s="3" customFormat="1" x14ac:dyDescent="0.2">
      <c r="A172" s="3" t="s">
        <v>295</v>
      </c>
      <c r="B172" s="3" t="str">
        <f>LOWER(VLOOKUP(A172,Xtal_Templ!A:B,2,FALSE))</f>
        <v>ccr9_human</v>
      </c>
      <c r="C172" s="3">
        <f>VLOOKUP($A172,'SegEnds_NonXtal_BW#'!$A:$Z,3,FALSE)+D172-50</f>
        <v>70</v>
      </c>
      <c r="D172" s="3">
        <v>93</v>
      </c>
      <c r="E172" s="3">
        <f>IF(ISERROR(VLOOKUP($A172,'SegEnds_NonXtal_BW#'!$A:$Z,4,FALSE)+VLOOKUP($A172,A:AL,4,FALSE)-50),"-",(VLOOKUP($A172,'SegEnds_NonXtal_BW#'!$A:$Z,4,FALSE)+VLOOKUP($A172,A:AL,4,FALSE)-50))</f>
        <v>103</v>
      </c>
      <c r="F172" s="3" t="str">
        <f>IF(ISERROR(VLOOKUP($A172,'SegEnds_NonXtal_BW#'!$A:$Z,5,FALSE)+VLOOKUP($A172,A:AL,7,FALSE)-50),"-",(VLOOKUP($A172,'SegEnds_NonXtal_BW#'!$A:$Z,5,FALSE)+VLOOKUP($A172,A:AL,7,FALSE)-50))</f>
        <v>-</v>
      </c>
      <c r="G172" s="3" t="s">
        <v>23</v>
      </c>
      <c r="H172" s="3" t="str">
        <f>IF(ISERROR(VLOOKUP($A172,'SegEnds_NonXtal_BW#'!$A:$Z,6,FALSE)+VLOOKUP($A172,A:AL,7,FALSE)-50),"-",(VLOOKUP($A172,'SegEnds_NonXtal_BW#'!$A:$Z,6,FALSE)+VLOOKUP($A172,A:AL,7,FALSE)-50))</f>
        <v>-</v>
      </c>
      <c r="I172" s="3">
        <f>VLOOKUP($A172,'SegEnds_NonXtal_BW#'!$A:$Z,7,FALSE)+J172-50</f>
        <v>106</v>
      </c>
      <c r="J172" s="3">
        <v>119</v>
      </c>
      <c r="K172" s="3">
        <f>VLOOKUP($A172,'SegEnds_NonXtal_BW#'!$A:$Z,8,FALSE)+VLOOKUP($A172,A:AL,10,FALSE)-50</f>
        <v>135</v>
      </c>
      <c r="L172" s="3" t="str">
        <f>IF(ISERROR(VLOOKUP($A172,'SegEnds_NonXtal_BW#'!$A:$Z,9,FALSE)+VLOOKUP($A172,A:AL,13,FALSE)-50),"-",(VLOOKUP($A172,'SegEnds_NonXtal_BW#'!$A:$Z,9,FALSE)+VLOOKUP($A172,A:AL,13,FALSE)-50))</f>
        <v>-</v>
      </c>
      <c r="M172" s="3" t="s">
        <v>23</v>
      </c>
      <c r="N172" s="3" t="str">
        <f>IF(ISERROR(VLOOKUP($A172,'SegEnds_NonXtal_BW#'!$A:$Z,10,FALSE)+VLOOKUP($A172,A:AL,13,FALSE)-50),"-",(VLOOKUP($A172,'SegEnds_NonXtal_BW#'!$A:$Z,10,FALSE)+VLOOKUP($A172,A:AL,13,FALSE)-50))</f>
        <v>-</v>
      </c>
      <c r="O172" s="3">
        <f>VLOOKUP($A172,'SegEnds_NonXtal_BW#'!$A:$Z,11,FALSE)+VLOOKUP($A172,A:AL,16,FALSE)-50</f>
        <v>139</v>
      </c>
      <c r="P172" s="3">
        <v>171</v>
      </c>
      <c r="Q172" s="3">
        <f>VLOOKUP($A172,'SegEnds_NonXtal_BW#'!$A:$Z,12,FALSE)+VLOOKUP($A172,A:AL,16,FALSE)-50</f>
        <v>177</v>
      </c>
      <c r="R172" s="3">
        <f>IF(ISERROR(VLOOKUP($A172,'SegEnds_NonXtal_BW#'!$A:$Z,13,FALSE)+VLOOKUP($A172,A:AL,19,FALSE)-50),"-",VLOOKUP($A172,'SegEnds_NonXtal_BW#'!$A:$Z,13,FALSE)+VLOOKUP($A172,A:AL,19,FALSE)-50)</f>
        <v>178</v>
      </c>
      <c r="S172" s="3">
        <v>178</v>
      </c>
      <c r="T172" s="103">
        <f>IF(ISERROR(VLOOKUP($A172,'SegEnds_NonXtal_BW#'!$A:$Z,14,FALSE)+VLOOKUP($A172,A:AL,19,FALSE)-50),"-",(VLOOKUP($A172,'SegEnds_NonXtal_BW#'!$A:$Z,14,FALSE)+VLOOKUP($A172,A:AL,19,FALSE)-50))</f>
        <v>185</v>
      </c>
      <c r="U172" s="9">
        <f>IF(ISERROR(VLOOKUP($A172,'SegEnds_NonXtal_BW#'!$A:$Z,15,FALSE)+VLOOKUP($A172,A:AL,22,FALSE)-50),"-",VLOOKUP($A172,'SegEnds_NonXtal_BW#'!$A:$Z,15,FALSE)+VLOOKUP($A172,A:AL,22,FALSE)-50)</f>
        <v>186</v>
      </c>
      <c r="V172" s="3">
        <v>198</v>
      </c>
      <c r="W172" s="3">
        <f>IF(ISERROR(VLOOKUP($A172,'SegEnds_NonXtal_BW#'!$A:$Z,16,FALSE)+VLOOKUP($A172,A:AL,22,FALSE)-50),"-",(VLOOKUP($A172,'SegEnds_NonXtal_BW#'!$A:$Z,16,FALSE)+VLOOKUP($A172,A:AL,22,FALSE)-50))</f>
        <v>212</v>
      </c>
      <c r="X172" s="3" t="str">
        <f>IF(ISERROR(VLOOKUP($A172,'SegEnds_NonXtal_BW#'!$A:$Z,17,FALSE)+VLOOKUP($A172,A:AL,25,FALSE)-50),"-",(VLOOKUP($A172,'SegEnds_NonXtal_BW#'!$A:$Z,17,FALSE)+VLOOKUP($A172,A:AL,25,FALSE)-50))</f>
        <v>-</v>
      </c>
      <c r="Y172" s="3" t="s">
        <v>23</v>
      </c>
      <c r="Z172" s="3" t="str">
        <f>IF(ISERROR(VLOOKUP($A172,'SegEnds_NonXtal_BW#'!$A:$Z,18,FALSE)+VLOOKUP($A172,A:AL,25,FALSE)-50),"-",(VLOOKUP($A172,'SegEnds_NonXtal_BW#'!$A:$Z,18,FALSE)+VLOOKUP($A172,A:AL,25,FALSE)-50))</f>
        <v>-</v>
      </c>
      <c r="AA172" s="3">
        <f>IF(ISERROR(VLOOKUP($A172,'SegEnds_NonXtal_BW#'!$A:$Z,19,FALSE)+VLOOKUP($A172,A:AL,28,FALSE)-50),"-",(VLOOKUP($A172,'SegEnds_NonXtal_BW#'!$A:$Z,19,FALSE)+VLOOKUP($A172,A:AL,28,FALSE)-50))</f>
        <v>220</v>
      </c>
      <c r="AB172" s="3">
        <v>237</v>
      </c>
      <c r="AC172" s="3">
        <f>IF(ISERROR((VLOOKUP($A172,'SegEnds_NonXtal_BW#'!$A:$Z,20,FALSE)+VLOOKUP($A172,A:AL,28,FALSE)-50)),"-",(VLOOKUP($A172,'SegEnds_NonXtal_BW#'!$A:$Z,20,FALSE)+VLOOKUP($A172,A:AL,28,FALSE)-50))</f>
        <v>255</v>
      </c>
      <c r="AD172" s="3">
        <f>IF(ISERROR(VLOOKUP($A172,'SegEnds_NonXtal_BW#'!$A:$Z,21,FALSE)+VLOOKUP($A172,A:AL,31,FALSE)-50),"-",(VLOOKUP($A172,'SegEnds_NonXtal_BW#'!$A:$Z,21,FALSE)+VLOOKUP($A172,A:AL,31,FALSE)-50))</f>
        <v>259</v>
      </c>
      <c r="AE172" s="3">
        <v>279</v>
      </c>
      <c r="AF172" s="3">
        <f>IF(ISERROR((VLOOKUP($A172,'SegEnds_NonXtal_BW#'!$A:$Z,22,FALSE)+VLOOKUP($A172,A:AL,31,FALSE)-50)),"-",(VLOOKUP($A172,'SegEnds_NonXtal_BW#'!$A:$Z,22,FALSE)+VLOOKUP($A172,A:AL,31,FALSE)-50))</f>
        <v>290</v>
      </c>
      <c r="AG172" s="3">
        <f>IF(ISERROR(VLOOKUP($A172,'SegEnds_NonXtal_BW#'!$A:$Z,23,FALSE)+VLOOKUP($A172,A:AL,34,FALSE)-50),"-",(VLOOKUP($A172,'SegEnds_NonXtal_BW#'!$A:$Z,23,FALSE)+VLOOKUP($A172,A:AL,34,FALSE)-50))</f>
        <v>295</v>
      </c>
      <c r="AH172" s="3">
        <v>311</v>
      </c>
      <c r="AI172" s="3">
        <f>IF(ISERROR((VLOOKUP($A172,'SegEnds_NonXtal_BW#'!$A:$Z,24,FALSE)+VLOOKUP($A172,A:AL,34,FALSE)-50)),"-",(VLOOKUP($A172,'SegEnds_NonXtal_BW#'!$A:$Z,24,FALSE)+VLOOKUP($A172,A:AL,34,FALSE)-50))</f>
        <v>317</v>
      </c>
      <c r="AJ172" s="3">
        <f>IF(ISERROR(VLOOKUP($A172,'SegEnds_NonXtal_BW#'!$A:$Z,25,FALSE)+VLOOKUP($A172,A:AL,37,FALSE)-50),"-",(VLOOKUP($A172,'SegEnds_NonXtal_BW#'!$A:$Z,25,FALSE)+VLOOKUP($A172,A:AL,37,FALSE)-50))</f>
        <v>318</v>
      </c>
      <c r="AK172" s="3">
        <v>321</v>
      </c>
      <c r="AL172" s="3">
        <f>IF(ISERROR((VLOOKUP($A172,'SegEnds_NonXtal_BW#'!$A:$Z,26,FALSE)+VLOOKUP($A172,A:AL,37,FALSE)-50)),"-",(VLOOKUP($A172,'SegEnds_NonXtal_BW#'!$A:$Z,26,FALSE)+VLOOKUP($A172,A:AL,37,FALSE)-50))</f>
        <v>338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 t="str">
        <f>IF(ISERROR(F172-E172),"-",F172-E172)</f>
        <v>-</v>
      </c>
      <c r="AQ172" s="3" t="str">
        <f>IF(ISERROR(I172-H172),"-",I172-H172)</f>
        <v>-</v>
      </c>
      <c r="AR172" s="3" t="str">
        <f>IF(ISERROR(L172-K172),"-",L172-K172)</f>
        <v>-</v>
      </c>
      <c r="AS172" s="3" t="str">
        <f>IF(ISERROR(O172-N172),"-",O172-N172)</f>
        <v>-</v>
      </c>
      <c r="AT172" s="3">
        <f>IF(ISERROR(R172-Q172),"-",R172-Q172)</f>
        <v>1</v>
      </c>
      <c r="AU172" s="3">
        <f>IF(ISERROR(U172-T172),"-",U172-T172)</f>
        <v>1</v>
      </c>
      <c r="AV172" s="3" t="str">
        <f>IF(ISERROR(X172-W172),"-",X172-W172)</f>
        <v>-</v>
      </c>
      <c r="AW172" s="3" t="str">
        <f>IF(ISERROR(AA172-Z172),"-",AA172-Z172)</f>
        <v>-</v>
      </c>
      <c r="AX172" s="3">
        <f>IF(ISERROR(AD172-AC172),"-",AD172-AC172)</f>
        <v>4</v>
      </c>
      <c r="AY172" s="3">
        <f>IF(ISERROR(AG172-AF172),"-",AG172-AF172)</f>
        <v>5</v>
      </c>
      <c r="AZ172" s="3">
        <f>IF(ISERROR(AJ172-AI172),"-",AJ172-AI172)</f>
        <v>1</v>
      </c>
      <c r="BA172" s="3">
        <f>IF(ISERROR(LEN(VLOOKUP(A172,Seqs!A:E,2,FALSE))-AL172),"-",LEN(VLOOKUP(A172,Seqs!A:E,2,FALSE))-AL172)</f>
        <v>40</v>
      </c>
      <c r="BB172" s="16">
        <f>J172-D172</f>
        <v>26</v>
      </c>
      <c r="BC172" s="9">
        <f>IF(ISERROR(V172-S172),"-",V172-S172)</f>
        <v>20</v>
      </c>
      <c r="BD172" s="3">
        <f>J172-D172</f>
        <v>26</v>
      </c>
      <c r="BE172" s="3">
        <f>AE172-AB172</f>
        <v>42</v>
      </c>
    </row>
    <row r="173" spans="1:58" s="3" customFormat="1" x14ac:dyDescent="0.2">
      <c r="A173" s="3" t="s">
        <v>296</v>
      </c>
      <c r="B173" s="3" t="str">
        <f>LOWER(VLOOKUP(A173,Xtal_Templ!A:B,2,FALSE))</f>
        <v>lpar1_human</v>
      </c>
      <c r="C173" s="3">
        <f>VLOOKUP($A173,'SegEnds_NonXtal_BW#'!$A:$Z,3,FALSE)+D173-50</f>
        <v>36</v>
      </c>
      <c r="D173" s="3">
        <v>56</v>
      </c>
      <c r="E173" s="3">
        <f>IF(ISERROR(VLOOKUP($A173,'SegEnds_NonXtal_BW#'!$A:$Z,4,FALSE)+VLOOKUP($A173,A:AL,4,FALSE)-50),"-",(VLOOKUP($A173,'SegEnds_NonXtal_BW#'!$A:$Z,4,FALSE)+VLOOKUP($A173,A:AL,4,FALSE)-50))</f>
        <v>66</v>
      </c>
      <c r="F173" s="3">
        <f>G173-2</f>
        <v>67</v>
      </c>
      <c r="G173" s="3">
        <v>69</v>
      </c>
      <c r="H173" s="3">
        <f>G173+1</f>
        <v>70</v>
      </c>
      <c r="I173" s="3">
        <f>H173+1</f>
        <v>71</v>
      </c>
      <c r="J173" s="3">
        <v>84</v>
      </c>
      <c r="K173" s="3">
        <f>VLOOKUP($A173,'SegEnds_NonXtal_BW#'!$A:$Z,8,FALSE)+VLOOKUP($A173,A:AL,10,FALSE)-50</f>
        <v>101</v>
      </c>
      <c r="L173" s="3" t="str">
        <f>IF(ISERROR(VLOOKUP($A173,'SegEnds_NonXtal_BW#'!$A:$Z,9,FALSE)+VLOOKUP($A173,A:AL,13,FALSE)-50),"-",(VLOOKUP($A173,'SegEnds_NonXtal_BW#'!$A:$Z,9,FALSE)+VLOOKUP($A173,A:AL,13,FALSE)-50))</f>
        <v>-</v>
      </c>
      <c r="M173" s="3" t="s">
        <v>23</v>
      </c>
      <c r="N173" s="3" t="str">
        <f>IF(ISERROR(VLOOKUP($A173,'SegEnds_NonXtal_BW#'!$A:$Z,10,FALSE)+VLOOKUP($A173,A:AL,13,FALSE)-50),"-",(VLOOKUP($A173,'SegEnds_NonXtal_BW#'!$A:$Z,10,FALSE)+VLOOKUP($A173,A:AL,13,FALSE)-50))</f>
        <v>-</v>
      </c>
      <c r="O173" s="3">
        <f>VLOOKUP($A173,'SegEnds_NonXtal_BW#'!$A:$Z,11,FALSE)+VLOOKUP($A173,A:AL,16,FALSE)-50</f>
        <v>110</v>
      </c>
      <c r="P173" s="3">
        <v>142</v>
      </c>
      <c r="Q173" s="3">
        <f>VLOOKUP($A173,'SegEnds_NonXtal_BW#'!$A:$Z,12,FALSE)+VLOOKUP($A173,A:AL,16,FALSE)-50</f>
        <v>148</v>
      </c>
      <c r="R173" s="3">
        <f>S173</f>
        <v>149</v>
      </c>
      <c r="S173" s="3">
        <v>149</v>
      </c>
      <c r="T173" s="103">
        <f>S173+7</f>
        <v>156</v>
      </c>
      <c r="U173" s="9">
        <f>IF(ISERROR(VLOOKUP($A173,'SegEnds_NonXtal_BW#'!$A:$Z,15,FALSE)+VLOOKUP($A173,A:AL,22,FALSE)-50),"-",VLOOKUP($A173,'SegEnds_NonXtal_BW#'!$A:$Z,15,FALSE)+VLOOKUP($A173,A:AL,22,FALSE)-50)</f>
        <v>157</v>
      </c>
      <c r="V173" s="3">
        <v>169</v>
      </c>
      <c r="W173" s="3">
        <f>IF(ISERROR(VLOOKUP($A173,'SegEnds_NonXtal_BW#'!$A:$Z,16,FALSE)+VLOOKUP($A173,A:AL,22,FALSE)-50),"-",(VLOOKUP($A173,'SegEnds_NonXtal_BW#'!$A:$Z,16,FALSE)+VLOOKUP($A173,A:AL,22,FALSE)-50))</f>
        <v>182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192</v>
      </c>
      <c r="AB173" s="9">
        <v>209</v>
      </c>
      <c r="AC173" s="3">
        <f>IF(ISERROR((VLOOKUP($A173,'SegEnds_NonXtal_BW#'!$A:$Z,20,FALSE)+VLOOKUP($A173,A:AL,28,FALSE)-50)),"-",(VLOOKUP($A173,'SegEnds_NonXtal_BW#'!$A:$Z,20,FALSE)+VLOOKUP($A173,A:AL,28,FALSE)-50))</f>
        <v>227</v>
      </c>
      <c r="AD173" s="3">
        <f>IF(ISERROR(VLOOKUP($A173,'SegEnds_NonXtal_BW#'!$A:$Z,21,FALSE)+VLOOKUP($A173,A:AL,31,FALSE)-50),"-",(VLOOKUP($A173,'SegEnds_NonXtal_BW#'!$A:$Z,21,FALSE)+VLOOKUP($A173,A:AL,31,FALSE)-50))</f>
        <v>234</v>
      </c>
      <c r="AE173" s="3">
        <v>257</v>
      </c>
      <c r="AF173" s="3">
        <f>IF(ISERROR((VLOOKUP($A173,'SegEnds_NonXtal_BW#'!$A:$Z,22,FALSE)+VLOOKUP($A173,A:AL,31,FALSE)-50)),"-",(VLOOKUP($A173,'SegEnds_NonXtal_BW#'!$A:$Z,22,FALSE)+VLOOKUP($A173,A:AL,31,FALSE)-50))</f>
        <v>268</v>
      </c>
      <c r="AG173" s="3">
        <f>IF(ISERROR(VLOOKUP($A173,'SegEnds_NonXtal_BW#'!$A:$Z,23,FALSE)+VLOOKUP($A173,A:AL,34,FALSE)-50),"-",(VLOOKUP($A173,'SegEnds_NonXtal_BW#'!$A:$Z,23,FALSE)+VLOOKUP($A173,A:AL,34,FALSE)-50))</f>
        <v>274</v>
      </c>
      <c r="AH173" s="3">
        <v>296</v>
      </c>
      <c r="AI173" s="3">
        <f>IF(ISERROR((VLOOKUP($A173,'SegEnds_NonXtal_BW#'!$A:$Z,24,FALSE)+VLOOKUP($A173,A:AL,34,FALSE)-50)),"-",(VLOOKUP($A173,'SegEnds_NonXtal_BW#'!$A:$Z,24,FALSE)+VLOOKUP($A173,A:AL,34,FALSE)-50))</f>
        <v>302</v>
      </c>
      <c r="AJ173" s="3">
        <f>IF(ISERROR(VLOOKUP($A173,'SegEnds_NonXtal_BW#'!$A:$Z,25,FALSE)+VLOOKUP($A173,A:AL,37,FALSE)-50),"-",(VLOOKUP($A173,'SegEnds_NonXtal_BW#'!$A:$Z,25,FALSE)+VLOOKUP($A173,A:AL,37,FALSE)-50))</f>
        <v>303</v>
      </c>
      <c r="AK173" s="3">
        <v>306</v>
      </c>
      <c r="AL173" s="3">
        <f>IF(ISERROR((VLOOKUP($A173,'SegEnds_NonXtal_BW#'!$A:$Z,26,FALSE)+VLOOKUP($A173,A:AL,37,FALSE)-50)),"-",(VLOOKUP($A173,'SegEnds_NonXtal_BW#'!$A:$Z,26,FALSE)+VLOOKUP($A173,A:AL,37,FALSE)-50))</f>
        <v>315</v>
      </c>
      <c r="AM173" s="28" t="str">
        <f>VLOOKUP(A173,Classification!A:B,2,FALSE)</f>
        <v>A</v>
      </c>
      <c r="AN173" s="28" t="b">
        <f>AND(IF(Y173="-",IF(AA173-W173&gt;3,TRUE,FALSE),TRUE),IF(M173="-",IF(O173-K173&gt;3,TRUE,FALSE),TRUE),C173&lt;E173,OR(E173&lt;F173,F173="-"),OR(F173&lt;H173,F173="-"),OR(H173&lt;I173,H173="-"),I173&lt;K173,OR(K173&lt;L173,L173="-"),OR(L173&lt;N173,L173="-"),OR(N173&lt;O173,N173="-"),O173&lt;Q173,OR(Q173&lt;R173,R173="-"),OR(R173&lt;T173,R173="-"),OR(T173&lt;U173,T173="-"),U173&lt;W173,OR(W173&lt;X173,X173="-"),OR(X173&lt;Z173,X173="-"),OR(Z173&lt;AA173,Z173="-"),AA173&lt;AC173,AC173&lt;AD173,AD173&lt;AF173,AF173&lt;AG173,AG173&lt;AI173,OR(AI173&lt;AJ173,AJ173="-"),OR(AJ173&lt;AL173,AJ173="-"))</f>
        <v>1</v>
      </c>
      <c r="AO173" s="3" t="str">
        <f>IF(ISERROR(MATCH(A173,'SegEnds_Xtal_Prot#'!B:B, 0)), "NoXtal", "Xtal")</f>
        <v>NoXtal</v>
      </c>
      <c r="AP173" s="3">
        <f>IF(ISERROR(F173-E173),"-",F173-E173)</f>
        <v>1</v>
      </c>
      <c r="AQ173" s="3">
        <f>IF(ISERROR(I173-H173),"-",I173-H173)</f>
        <v>1</v>
      </c>
      <c r="AR173" s="3" t="str">
        <f>IF(ISERROR(L173-K173),"-",L173-K173)</f>
        <v>-</v>
      </c>
      <c r="AS173" s="3" t="str">
        <f>IF(ISERROR(O173-N173),"-",O173-N173)</f>
        <v>-</v>
      </c>
      <c r="AT173" s="3">
        <f>IF(ISERROR(R173-Q173),"-",R173-Q173)</f>
        <v>1</v>
      </c>
      <c r="AU173" s="3">
        <f>IF(ISERROR(U173-T173),"-",U173-T173)</f>
        <v>1</v>
      </c>
      <c r="AV173" s="3" t="str">
        <f>IF(ISERROR(X173-W173),"-",X173-W173)</f>
        <v>-</v>
      </c>
      <c r="AW173" s="3" t="str">
        <f>IF(ISERROR(AA173-Z173),"-",AA173-Z173)</f>
        <v>-</v>
      </c>
      <c r="AX173" s="3">
        <f>IF(ISERROR(AD173-AC173),"-",AD173-AC173)</f>
        <v>7</v>
      </c>
      <c r="AY173" s="3">
        <f>IF(ISERROR(AG173-AF173),"-",AG173-AF173)</f>
        <v>6</v>
      </c>
      <c r="AZ173" s="3">
        <f>IF(ISERROR(AJ173-AI173),"-",AJ173-AI173)</f>
        <v>1</v>
      </c>
      <c r="BA173" s="3">
        <f>IF(ISERROR(LEN(VLOOKUP(A173,Seqs!A:E,2,FALSE))-AL173),"-",LEN(VLOOKUP(A173,Seqs!A:E,2,FALSE))-AL173)</f>
        <v>8</v>
      </c>
      <c r="BB173" s="16">
        <f>J173-D173</f>
        <v>28</v>
      </c>
      <c r="BC173" s="9">
        <f>IF(ISERROR(V173-S173),"-",V173-S173)</f>
        <v>20</v>
      </c>
      <c r="BD173" s="3">
        <f>J173-D173</f>
        <v>28</v>
      </c>
      <c r="BE173" s="3">
        <f>AE173-AB173</f>
        <v>48</v>
      </c>
      <c r="BF173" s="3">
        <f>AH173-AE173</f>
        <v>39</v>
      </c>
    </row>
    <row r="174" spans="1:58" s="3" customFormat="1" x14ac:dyDescent="0.2">
      <c r="A174" s="3" t="s">
        <v>297</v>
      </c>
      <c r="B174" s="3" t="str">
        <f>LOWER(VLOOKUP(A174,Xtal_Templ!A:B,2,FALSE))</f>
        <v>s1pr1_human</v>
      </c>
      <c r="C174" s="3">
        <f>VLOOKUP($A174,'SegEnds_NonXtal_BW#'!$A:$Z,3,FALSE)+D174-50</f>
        <v>41</v>
      </c>
      <c r="D174" s="3">
        <v>62</v>
      </c>
      <c r="E174" s="3">
        <f>IF(ISERROR(VLOOKUP($A174,'SegEnds_NonXtal_BW#'!$A:$Z,4,FALSE)+VLOOKUP($A174,A:AL,4,FALSE)-50),"-",(VLOOKUP($A174,'SegEnds_NonXtal_BW#'!$A:$Z,4,FALSE)+VLOOKUP($A174,A:AL,4,FALSE)-50))</f>
        <v>72</v>
      </c>
      <c r="F174" s="3">
        <f>G174-2</f>
        <v>73</v>
      </c>
      <c r="G174" s="3">
        <v>75</v>
      </c>
      <c r="H174" s="3">
        <f>G174+1</f>
        <v>76</v>
      </c>
      <c r="I174" s="3">
        <f>H174+1</f>
        <v>77</v>
      </c>
      <c r="J174" s="3">
        <v>90</v>
      </c>
      <c r="K174" s="3">
        <f>VLOOKUP($A174,'SegEnds_NonXtal_BW#'!$A:$Z,8,FALSE)+VLOOKUP($A174,A:AL,10,FALSE)-50</f>
        <v>107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115</v>
      </c>
      <c r="P174" s="3">
        <v>147</v>
      </c>
      <c r="Q174" s="3">
        <f>VLOOKUP($A174,'SegEnds_NonXtal_BW#'!$A:$Z,12,FALSE)+VLOOKUP($A174,A:AL,16,FALSE)-50</f>
        <v>153</v>
      </c>
      <c r="R174" s="3">
        <f>S174</f>
        <v>154</v>
      </c>
      <c r="S174" s="3">
        <v>154</v>
      </c>
      <c r="T174" s="103">
        <f>S174+7</f>
        <v>161</v>
      </c>
      <c r="U174" s="9">
        <f>IF(ISERROR(VLOOKUP($A174,'SegEnds_NonXtal_BW#'!$A:$Z,15,FALSE)+VLOOKUP($A174,A:AL,22,FALSE)-50),"-",VLOOKUP($A174,'SegEnds_NonXtal_BW#'!$A:$Z,15,FALSE)+VLOOKUP($A174,A:AL,22,FALSE)-50)</f>
        <v>162</v>
      </c>
      <c r="V174" s="3">
        <v>174</v>
      </c>
      <c r="W174" s="3">
        <f>IF(ISERROR(VLOOKUP($A174,'SegEnds_NonXtal_BW#'!$A:$Z,16,FALSE)+VLOOKUP($A174,A:AL,22,FALSE)-50),"-",(VLOOKUP($A174,'SegEnds_NonXtal_BW#'!$A:$Z,16,FALSE)+VLOOKUP($A174,A:AL,22,FALSE)-50))</f>
        <v>187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197</v>
      </c>
      <c r="AB174" s="9">
        <v>214</v>
      </c>
      <c r="AC174" s="3">
        <f>IF(ISERROR((VLOOKUP($A174,'SegEnds_NonXtal_BW#'!$A:$Z,20,FALSE)+VLOOKUP($A174,A:AL,28,FALSE)-50)),"-",(VLOOKUP($A174,'SegEnds_NonXtal_BW#'!$A:$Z,20,FALSE)+VLOOKUP($A174,A:AL,28,FALSE)-50))</f>
        <v>231</v>
      </c>
      <c r="AD174" s="3">
        <f>IF(ISERROR(VLOOKUP($A174,'SegEnds_NonXtal_BW#'!$A:$Z,21,FALSE)+VLOOKUP($A174,A:AL,31,FALSE)-50),"-",(VLOOKUP($A174,'SegEnds_NonXtal_BW#'!$A:$Z,21,FALSE)+VLOOKUP($A174,A:AL,31,FALSE)-50))</f>
        <v>237</v>
      </c>
      <c r="AE174" s="3">
        <v>260</v>
      </c>
      <c r="AF174" s="3">
        <f>IF(ISERROR((VLOOKUP($A174,'SegEnds_NonXtal_BW#'!$A:$Z,22,FALSE)+VLOOKUP($A174,A:AL,31,FALSE)-50)),"-",(VLOOKUP($A174,'SegEnds_NonXtal_BW#'!$A:$Z,22,FALSE)+VLOOKUP($A174,A:AL,31,FALSE)-50))</f>
        <v>271</v>
      </c>
      <c r="AG174" s="3">
        <f>IF(ISERROR(VLOOKUP($A174,'SegEnds_NonXtal_BW#'!$A:$Z,23,FALSE)+VLOOKUP($A174,A:AL,34,FALSE)-50),"-",(VLOOKUP($A174,'SegEnds_NonXtal_BW#'!$A:$Z,23,FALSE)+VLOOKUP($A174,A:AL,34,FALSE)-50))</f>
        <v>277</v>
      </c>
      <c r="AH174" s="3">
        <v>299</v>
      </c>
      <c r="AI174" s="3">
        <f>IF(ISERROR((VLOOKUP($A174,'SegEnds_NonXtal_BW#'!$A:$Z,24,FALSE)+VLOOKUP($A174,A:AL,34,FALSE)-50)),"-",(VLOOKUP($A174,'SegEnds_NonXtal_BW#'!$A:$Z,24,FALSE)+VLOOKUP($A174,A:AL,34,FALSE)-50))</f>
        <v>305</v>
      </c>
      <c r="AJ174" s="3">
        <f>IF(ISERROR(VLOOKUP($A174,'SegEnds_NonXtal_BW#'!$A:$Z,25,FALSE)+VLOOKUP($A174,A:AL,37,FALSE)-50),"-",(VLOOKUP($A174,'SegEnds_NonXtal_BW#'!$A:$Z,25,FALSE)+VLOOKUP($A174,A:AL,37,FALSE)-50))</f>
        <v>306</v>
      </c>
      <c r="AK174" s="3">
        <v>309</v>
      </c>
      <c r="AL174" s="3">
        <f>IF(ISERROR((VLOOKUP($A174,'SegEnds_NonXtal_BW#'!$A:$Z,26,FALSE)+VLOOKUP($A174,A:AL,37,FALSE)-50)),"-",(VLOOKUP($A174,'SegEnds_NonXtal_BW#'!$A:$Z,26,FALSE)+VLOOKUP($A174,A:AL,37,FALSE)-50))</f>
        <v>318</v>
      </c>
      <c r="AM174" s="28" t="str">
        <f>VLOOKUP(A174,Classification!A:B,2,FALSE)</f>
        <v>A</v>
      </c>
      <c r="AN174" s="28" t="b">
        <f>AND(IF(Y174="-",IF(AA174-W174&gt;3,TRUE,FALSE),TRUE),IF(M174="-",IF(O174-K174&gt;3,TRUE,FALSE),TRUE),C174&lt;E174,OR(E174&lt;F174,F174="-"),OR(F174&lt;H174,F174="-"),OR(H174&lt;I174,H174="-"),I174&lt;K174,OR(K174&lt;L174,L174="-"),OR(L174&lt;N174,L174="-"),OR(N174&lt;O174,N174="-"),O174&lt;Q174,OR(Q174&lt;R174,R174="-"),OR(R174&lt;T174,R174="-"),OR(T174&lt;U174,T174="-"),U174&lt;W174,OR(W174&lt;X174,X174="-"),OR(X174&lt;Z174,X174="-"),OR(Z174&lt;AA174,Z174="-"),AA174&lt;AC174,AC174&lt;AD174,AD174&lt;AF174,AF174&lt;AG174,AG174&lt;AI174,OR(AI174&lt;AJ174,AJ174="-"),OR(AJ174&lt;AL174,AJ174="-"))</f>
        <v>1</v>
      </c>
      <c r="AO174" s="3" t="str">
        <f>IF(ISERROR(MATCH(A174,'SegEnds_Xtal_Prot#'!B:B, 0)), "NoXtal", "Xtal")</f>
        <v>NoXtal</v>
      </c>
      <c r="AP174" s="3">
        <f>IF(ISERROR(F174-E174),"-",F174-E174)</f>
        <v>1</v>
      </c>
      <c r="AQ174" s="3">
        <f>IF(ISERROR(I174-H174),"-",I174-H174)</f>
        <v>1</v>
      </c>
      <c r="AR174" s="3" t="str">
        <f>IF(ISERROR(L174-K174),"-",L174-K174)</f>
        <v>-</v>
      </c>
      <c r="AS174" s="3" t="str">
        <f>IF(ISERROR(O174-N174),"-",O174-N174)</f>
        <v>-</v>
      </c>
      <c r="AT174" s="3">
        <f>IF(ISERROR(R174-Q174),"-",R174-Q174)</f>
        <v>1</v>
      </c>
      <c r="AU174" s="3">
        <f>IF(ISERROR(U174-T174),"-",U174-T174)</f>
        <v>1</v>
      </c>
      <c r="AV174" s="3" t="str">
        <f>IF(ISERROR(X174-W174),"-",X174-W174)</f>
        <v>-</v>
      </c>
      <c r="AW174" s="3" t="str">
        <f>IF(ISERROR(AA174-Z174),"-",AA174-Z174)</f>
        <v>-</v>
      </c>
      <c r="AX174" s="3">
        <f>IF(ISERROR(AD174-AC174),"-",AD174-AC174)</f>
        <v>6</v>
      </c>
      <c r="AY174" s="3">
        <f>IF(ISERROR(AG174-AF174),"-",AG174-AF174)</f>
        <v>6</v>
      </c>
      <c r="AZ174" s="3">
        <f>IF(ISERROR(AJ174-AI174),"-",AJ174-AI174)</f>
        <v>1</v>
      </c>
      <c r="BA174" s="3">
        <f>IF(ISERROR(LEN(VLOOKUP(A174,Seqs!A:E,2,FALSE))-AL174),"-",LEN(VLOOKUP(A174,Seqs!A:E,2,FALSE))-AL174)</f>
        <v>14</v>
      </c>
      <c r="BB174" s="16">
        <f>J174-D174</f>
        <v>28</v>
      </c>
      <c r="BC174" s="9">
        <f>IF(ISERROR(V174-S174),"-",V174-S174)</f>
        <v>20</v>
      </c>
      <c r="BD174" s="3">
        <f>J174-D174</f>
        <v>28</v>
      </c>
      <c r="BE174" s="3">
        <f>AE174-AB174</f>
        <v>46</v>
      </c>
      <c r="BF174" s="3">
        <f>AH174-AE174</f>
        <v>39</v>
      </c>
    </row>
    <row r="175" spans="1:58" s="3" customFormat="1" x14ac:dyDescent="0.2">
      <c r="A175" s="3" t="s">
        <v>298</v>
      </c>
      <c r="B175" s="3" t="str">
        <f>LOWER(VLOOKUP(A175,Xtal_Templ!A:B,2,FALSE))</f>
        <v>lpar1_human</v>
      </c>
      <c r="C175" s="3">
        <f>VLOOKUP($A175,'SegEnds_NonXtal_BW#'!$A:$Z,3,FALSE)+D175-50</f>
        <v>34</v>
      </c>
      <c r="D175" s="3">
        <v>54</v>
      </c>
      <c r="E175" s="3">
        <f>IF(ISERROR(VLOOKUP($A175,'SegEnds_NonXtal_BW#'!$A:$Z,4,FALSE)+VLOOKUP($A175,A:AL,4,FALSE)-50),"-",(VLOOKUP($A175,'SegEnds_NonXtal_BW#'!$A:$Z,4,FALSE)+VLOOKUP($A175,A:AL,4,FALSE)-50))</f>
        <v>64</v>
      </c>
      <c r="F175" s="3">
        <f>G175-2</f>
        <v>65</v>
      </c>
      <c r="G175" s="3">
        <v>67</v>
      </c>
      <c r="H175" s="3">
        <f>G175+1</f>
        <v>68</v>
      </c>
      <c r="I175" s="3">
        <f>H175+1</f>
        <v>69</v>
      </c>
      <c r="J175" s="3">
        <v>82</v>
      </c>
      <c r="K175" s="3">
        <f>VLOOKUP($A175,'SegEnds_NonXtal_BW#'!$A:$Z,8,FALSE)+VLOOKUP($A175,A:AL,10,FALSE)-50</f>
        <v>95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108</v>
      </c>
      <c r="P175" s="3">
        <v>140</v>
      </c>
      <c r="Q175" s="3">
        <f>VLOOKUP($A175,'SegEnds_NonXtal_BW#'!$A:$Z,12,FALSE)+VLOOKUP($A175,A:AL,16,FALSE)-50</f>
        <v>146</v>
      </c>
      <c r="R175" s="3">
        <f>IF(ISERROR(VLOOKUP($A175,'SegEnds_NonXtal_BW#'!$A:$Z,13,FALSE)+VLOOKUP($A175,A:AL,19,FALSE)-50),"-",VLOOKUP($A175,'SegEnds_NonXtal_BW#'!$A:$Z,13,FALSE)+VLOOKUP($A175,A:AL,19,FALSE)-50)</f>
        <v>147</v>
      </c>
      <c r="S175" s="3">
        <v>147</v>
      </c>
      <c r="T175" s="103">
        <f>IF(ISERROR(VLOOKUP($A175,'SegEnds_NonXtal_BW#'!$A:$Z,14,FALSE)+VLOOKUP($A175,A:AL,19,FALSE)-50),"-",(VLOOKUP($A175,'SegEnds_NonXtal_BW#'!$A:$Z,14,FALSE)+VLOOKUP($A175,A:AL,19,FALSE)-50))</f>
        <v>154</v>
      </c>
      <c r="U175" s="9">
        <f>IF(ISERROR(VLOOKUP($A175,'SegEnds_NonXtal_BW#'!$A:$Z,15,FALSE)+VLOOKUP($A175,A:AL,22,FALSE)-50),"-",VLOOKUP($A175,'SegEnds_NonXtal_BW#'!$A:$Z,15,FALSE)+VLOOKUP($A175,A:AL,22,FALSE)-50)</f>
        <v>155</v>
      </c>
      <c r="V175" s="3">
        <v>167</v>
      </c>
      <c r="W175" s="3">
        <f>IF(ISERROR(VLOOKUP($A175,'SegEnds_NonXtal_BW#'!$A:$Z,16,FALSE)+VLOOKUP($A175,A:AL,22,FALSE)-50),"-",(VLOOKUP($A175,'SegEnds_NonXtal_BW#'!$A:$Z,16,FALSE)+VLOOKUP($A175,A:AL,22,FALSE)-50))</f>
        <v>180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190</v>
      </c>
      <c r="AB175" s="9">
        <v>207</v>
      </c>
      <c r="AC175" s="3">
        <f>IF(ISERROR((VLOOKUP($A175,'SegEnds_NonXtal_BW#'!$A:$Z,20,FALSE)+VLOOKUP($A175,A:AL,28,FALSE)-50)),"-",(VLOOKUP($A175,'SegEnds_NonXtal_BW#'!$A:$Z,20,FALSE)+VLOOKUP($A175,A:AL,28,FALSE)-50))</f>
        <v>224</v>
      </c>
      <c r="AD175" s="3">
        <f>IF(ISERROR(VLOOKUP($A175,'SegEnds_NonXtal_BW#'!$A:$Z,21,FALSE)+VLOOKUP($A175,A:AL,31,FALSE)-50),"-",(VLOOKUP($A175,'SegEnds_NonXtal_BW#'!$A:$Z,21,FALSE)+VLOOKUP($A175,A:AL,31,FALSE)-50))</f>
        <v>230</v>
      </c>
      <c r="AE175" s="3">
        <v>253</v>
      </c>
      <c r="AF175" s="3">
        <f>IF(ISERROR((VLOOKUP($A175,'SegEnds_NonXtal_BW#'!$A:$Z,22,FALSE)+VLOOKUP($A175,A:AL,31,FALSE)-50)),"-",(VLOOKUP($A175,'SegEnds_NonXtal_BW#'!$A:$Z,22,FALSE)+VLOOKUP($A175,A:AL,31,FALSE)-50))</f>
        <v>264</v>
      </c>
      <c r="AG175" s="3">
        <f>IF(ISERROR(VLOOKUP($A175,'SegEnds_NonXtal_BW#'!$A:$Z,23,FALSE)+VLOOKUP($A175,A:AL,34,FALSE)-50),"-",(VLOOKUP($A175,'SegEnds_NonXtal_BW#'!$A:$Z,23,FALSE)+VLOOKUP($A175,A:AL,34,FALSE)-50))</f>
        <v>270</v>
      </c>
      <c r="AH175" s="3">
        <v>292</v>
      </c>
      <c r="AI175" s="3">
        <f>IF(ISERROR((VLOOKUP($A175,'SegEnds_NonXtal_BW#'!$A:$Z,24,FALSE)+VLOOKUP($A175,A:AL,34,FALSE)-50)),"-",(VLOOKUP($A175,'SegEnds_NonXtal_BW#'!$A:$Z,24,FALSE)+VLOOKUP($A175,A:AL,34,FALSE)-50))</f>
        <v>298</v>
      </c>
      <c r="AJ175" s="3">
        <f>IF(ISERROR(VLOOKUP($A175,'SegEnds_NonXtal_BW#'!$A:$Z,25,FALSE)+VLOOKUP($A175,A:AL,37,FALSE)-50),"-",(VLOOKUP($A175,'SegEnds_NonXtal_BW#'!$A:$Z,25,FALSE)+VLOOKUP($A175,A:AL,37,FALSE)-50))</f>
        <v>299</v>
      </c>
      <c r="AK175" s="3">
        <v>302</v>
      </c>
      <c r="AL175" s="3">
        <f>IF(ISERROR((VLOOKUP($A175,'SegEnds_NonXtal_BW#'!$A:$Z,26,FALSE)+VLOOKUP($A175,A:AL,37,FALSE)-50)),"-",(VLOOKUP($A175,'SegEnds_NonXtal_BW#'!$A:$Z,26,FALSE)+VLOOKUP($A175,A:AL,37,FALSE)-50))</f>
        <v>311</v>
      </c>
      <c r="AM175" s="28" t="str">
        <f>VLOOKUP(A175,Classification!A:B,2,FALSE)</f>
        <v>A</v>
      </c>
      <c r="AN175" s="28" t="b">
        <f>AND(IF(Y175="-",IF(AA175-W175&gt;3,TRUE,FALSE),TRUE),IF(M175="-",IF(O175-K175&gt;3,TRUE,FALSE),TRUE),C175&lt;E175,OR(E175&lt;F175,F175="-"),OR(F175&lt;H175,F175="-"),OR(H175&lt;I175,H175="-"),I175&lt;K175,OR(K175&lt;L175,L175="-"),OR(L175&lt;N175,L175="-"),OR(N175&lt;O175,N175="-"),O175&lt;Q175,OR(Q175&lt;R175,R175="-"),OR(R175&lt;T175,R175="-"),OR(T175&lt;U175,T175="-"),U175&lt;W175,OR(W175&lt;X175,X175="-"),OR(X175&lt;Z175,X175="-"),OR(Z175&lt;AA175,Z175="-"),AA175&lt;AC175,AC175&lt;AD175,AD175&lt;AF175,AF175&lt;AG175,AG175&lt;AI175,OR(AI175&lt;AJ175,AJ175="-"),OR(AJ175&lt;AL175,AJ175="-"))</f>
        <v>1</v>
      </c>
      <c r="AO175" s="3" t="str">
        <f>IF(ISERROR(MATCH(A175,'SegEnds_Xtal_Prot#'!B:B, 0)), "NoXtal", "Xtal")</f>
        <v>NoXtal</v>
      </c>
      <c r="AP175" s="3">
        <f>IF(ISERROR(F175-E175),"-",F175-E175)</f>
        <v>1</v>
      </c>
      <c r="AQ175" s="3">
        <f>IF(ISERROR(I175-H175),"-",I175-H175)</f>
        <v>1</v>
      </c>
      <c r="AR175" s="3" t="str">
        <f>IF(ISERROR(L175-K175),"-",L175-K175)</f>
        <v>-</v>
      </c>
      <c r="AS175" s="3" t="str">
        <f>IF(ISERROR(O175-N175),"-",O175-N175)</f>
        <v>-</v>
      </c>
      <c r="AT175" s="3">
        <f>IF(ISERROR(R175-Q175),"-",R175-Q175)</f>
        <v>1</v>
      </c>
      <c r="AU175" s="3">
        <f>IF(ISERROR(U175-T175),"-",U175-T175)</f>
        <v>1</v>
      </c>
      <c r="AV175" s="3" t="str">
        <f>IF(ISERROR(X175-W175),"-",X175-W175)</f>
        <v>-</v>
      </c>
      <c r="AW175" s="3" t="str">
        <f>IF(ISERROR(AA175-Z175),"-",AA175-Z175)</f>
        <v>-</v>
      </c>
      <c r="AX175" s="3">
        <f>IF(ISERROR(AD175-AC175),"-",AD175-AC175)</f>
        <v>6</v>
      </c>
      <c r="AY175" s="3">
        <f>IF(ISERROR(AG175-AF175),"-",AG175-AF175)</f>
        <v>6</v>
      </c>
      <c r="AZ175" s="3">
        <f>IF(ISERROR(AJ175-AI175),"-",AJ175-AI175)</f>
        <v>1</v>
      </c>
      <c r="BA175" s="3">
        <f>IF(ISERROR(LEN(VLOOKUP(A175,Seqs!A:E,2,FALSE))-AL175),"-",LEN(VLOOKUP(A175,Seqs!A:E,2,FALSE))-AL175)</f>
        <v>14</v>
      </c>
      <c r="BB175" s="16">
        <f>J175-D175</f>
        <v>28</v>
      </c>
      <c r="BC175" s="9">
        <f>IF(ISERROR(V175-S175),"-",V175-S175)</f>
        <v>20</v>
      </c>
      <c r="BD175" s="3">
        <f>J175-D175</f>
        <v>28</v>
      </c>
      <c r="BE175" s="3">
        <f>AE175-AB175</f>
        <v>46</v>
      </c>
      <c r="BF175" s="3">
        <f>AH175-AE175</f>
        <v>39</v>
      </c>
    </row>
    <row r="176" spans="1:58" s="3" customFormat="1" x14ac:dyDescent="0.2">
      <c r="A176" s="3" t="s">
        <v>299</v>
      </c>
      <c r="B176" s="3" t="str">
        <f>LOWER(VLOOKUP(A176,Xtal_Templ!A:B,2,FALSE))</f>
        <v>oprk_human</v>
      </c>
      <c r="C176" s="3">
        <f>VLOOKUP($A176,'SegEnds_NonXtal_BW#'!$A:$Z,3,FALSE)+D176-50</f>
        <v>107</v>
      </c>
      <c r="D176" s="3">
        <v>127</v>
      </c>
      <c r="E176" s="3">
        <f>IF(ISERROR(VLOOKUP($A176,'SegEnds_NonXtal_BW#'!$A:$Z,4,FALSE)+VLOOKUP($A176,A:AL,4,FALSE)-50),"-",(VLOOKUP($A176,'SegEnds_NonXtal_BW#'!$A:$Z,4,FALSE)+VLOOKUP($A176,A:AL,4,FALSE)-50))</f>
        <v>137</v>
      </c>
      <c r="F176" s="3">
        <f>G176-2</f>
        <v>138</v>
      </c>
      <c r="G176" s="3">
        <v>140</v>
      </c>
      <c r="H176" s="3">
        <f>G176+1</f>
        <v>141</v>
      </c>
      <c r="I176" s="3">
        <f>H176+1</f>
        <v>142</v>
      </c>
      <c r="J176" s="3">
        <v>158</v>
      </c>
      <c r="K176" s="3">
        <f>VLOOKUP($A176,'SegEnds_NonXtal_BW#'!$A:$Z,8,FALSE)+VLOOKUP($A176,A:AL,10,FALSE)-50</f>
        <v>174</v>
      </c>
      <c r="L176" s="3">
        <f>M176-1</f>
        <v>177</v>
      </c>
      <c r="M176" s="3">
        <v>178</v>
      </c>
      <c r="N176" s="3">
        <f>M176+2</f>
        <v>180</v>
      </c>
      <c r="O176" s="3">
        <f>N176+1</f>
        <v>181</v>
      </c>
      <c r="P176" s="3">
        <v>210</v>
      </c>
      <c r="Q176" s="3">
        <f>VLOOKUP($A176,'SegEnds_NonXtal_BW#'!$A:$Z,12,FALSE)+VLOOKUP($A176,A:AL,16,FALSE)-50</f>
        <v>216</v>
      </c>
      <c r="R176" s="3">
        <f>IF(ISERROR(VLOOKUP($A176,'SegEnds_NonXtal_BW#'!$A:$Z,13,FALSE)+VLOOKUP($A176,A:AL,19,FALSE)-50),"-",VLOOKUP($A176,'SegEnds_NonXtal_BW#'!$A:$Z,13,FALSE)+VLOOKUP($A176,A:AL,19,FALSE)-50)</f>
        <v>217</v>
      </c>
      <c r="S176" s="3">
        <v>217</v>
      </c>
      <c r="T176" s="103">
        <f>IF(ISERROR(VLOOKUP($A176,'SegEnds_NonXtal_BW#'!$A:$Z,14,FALSE)+VLOOKUP($A176,A:AL,19,FALSE)-50),"-",(VLOOKUP($A176,'SegEnds_NonXtal_BW#'!$A:$Z,14,FALSE)+VLOOKUP($A176,A:AL,19,FALSE)-50))</f>
        <v>224</v>
      </c>
      <c r="U176" s="9">
        <f>IF(ISERROR(VLOOKUP($A176,'SegEnds_NonXtal_BW#'!$A:$Z,15,FALSE)+VLOOKUP($A176,A:AL,22,FALSE)-50),"-",VLOOKUP($A176,'SegEnds_NonXtal_BW#'!$A:$Z,15,FALSE)+VLOOKUP($A176,A:AL,22,FALSE)-50)</f>
        <v>225</v>
      </c>
      <c r="V176" s="3">
        <v>237</v>
      </c>
      <c r="W176" s="3">
        <f>IF(ISERROR(VLOOKUP($A176,'SegEnds_NonXtal_BW#'!$A:$Z,16,FALSE)+VLOOKUP($A176,A:AL,22,FALSE)-50),"-",(VLOOKUP($A176,'SegEnds_NonXtal_BW#'!$A:$Z,16,FALSE)+VLOOKUP($A176,A:AL,22,FALSE)-50))</f>
        <v>251</v>
      </c>
      <c r="X176" s="3">
        <f>IF(ISERROR(VLOOKUP($A176,'SegEnds_NonXtal_BW#'!$A:$Z,17,FALSE)+VLOOKUP($A176,A:AL,25,FALSE)-50),"-",(VLOOKUP($A176,'SegEnds_NonXtal_BW#'!$A:$Z,17,FALSE)+VLOOKUP($A176,A:AL,25,FALSE)-50))</f>
        <v>263</v>
      </c>
      <c r="Y176" s="3">
        <v>263</v>
      </c>
      <c r="Z176" s="3">
        <f>Y176+2</f>
        <v>265</v>
      </c>
      <c r="AA176" s="3">
        <f>IF(ISERROR(VLOOKUP($A176,'SegEnds_NonXtal_BW#'!$A:$Z,19,FALSE)+VLOOKUP($A176,A:AL,28,FALSE)-50),"-",(VLOOKUP($A176,'SegEnds_NonXtal_BW#'!$A:$Z,19,FALSE)+VLOOKUP($A176,A:AL,28,FALSE)-50))</f>
        <v>270</v>
      </c>
      <c r="AB176" s="3">
        <v>289</v>
      </c>
      <c r="AC176" s="3">
        <f>IF(ISERROR((VLOOKUP($A176,'SegEnds_NonXtal_BW#'!$A:$Z,20,FALSE)+VLOOKUP($A176,A:AL,28,FALSE)-50)),"-",(VLOOKUP($A176,'SegEnds_NonXtal_BW#'!$A:$Z,20,FALSE)+VLOOKUP($A176,A:AL,28,FALSE)-50))</f>
        <v>307</v>
      </c>
      <c r="AD176" s="3">
        <f>IF(ISERROR(VLOOKUP($A176,'SegEnds_NonXtal_BW#'!$A:$Z,21,FALSE)+VLOOKUP($A176,A:AL,31,FALSE)-50),"-",(VLOOKUP($A176,'SegEnds_NonXtal_BW#'!$A:$Z,21,FALSE)+VLOOKUP($A176,A:AL,31,FALSE)-50))</f>
        <v>313</v>
      </c>
      <c r="AE176" s="3">
        <v>340</v>
      </c>
      <c r="AF176" s="3">
        <f>IF(ISERROR((VLOOKUP($A176,'SegEnds_NonXtal_BW#'!$A:$Z,22,FALSE)+VLOOKUP($A176,A:AL,31,FALSE)-50)),"-",(VLOOKUP($A176,'SegEnds_NonXtal_BW#'!$A:$Z,22,FALSE)+VLOOKUP($A176,A:AL,31,FALSE)-50))</f>
        <v>351</v>
      </c>
      <c r="AG176" s="3">
        <f>IF(ISERROR(VLOOKUP($A176,'SegEnds_NonXtal_BW#'!$A:$Z,23,FALSE)+VLOOKUP($A176,A:AL,34,FALSE)-50),"-",(VLOOKUP($A176,'SegEnds_NonXtal_BW#'!$A:$Z,23,FALSE)+VLOOKUP($A176,A:AL,34,FALSE)-50))</f>
        <v>358</v>
      </c>
      <c r="AH176" s="3">
        <v>377</v>
      </c>
      <c r="AI176" s="3">
        <f>IF(ISERROR((VLOOKUP($A176,'SegEnds_NonXtal_BW#'!$A:$Z,24,FALSE)+VLOOKUP($A176,A:AL,34,FALSE)-50)),"-",(VLOOKUP($A176,'SegEnds_NonXtal_BW#'!$A:$Z,24,FALSE)+VLOOKUP($A176,A:AL,34,FALSE)-50))</f>
        <v>383</v>
      </c>
      <c r="AJ176" s="3">
        <f>IF(ISERROR(VLOOKUP($A176,'SegEnds_NonXtal_BW#'!$A:$Z,25,FALSE)+VLOOKUP($A176,A:AL,37,FALSE)-50),"-",(VLOOKUP($A176,'SegEnds_NonXtal_BW#'!$A:$Z,25,FALSE)+VLOOKUP($A176,A:AL,37,FALSE)-50))</f>
        <v>384</v>
      </c>
      <c r="AK176" s="3">
        <v>387</v>
      </c>
      <c r="AL176" s="3">
        <f>IF(ISERROR((VLOOKUP($A176,'SegEnds_NonXtal_BW#'!$A:$Z,26,FALSE)+VLOOKUP($A176,A:AL,37,FALSE)-50)),"-",(VLOOKUP($A176,'SegEnds_NonXtal_BW#'!$A:$Z,26,FALSE)+VLOOKUP($A176,A:AL,37,FALSE)-50))</f>
        <v>396</v>
      </c>
      <c r="AM176" s="28" t="str">
        <f>VLOOKUP(A176,Classification!A:B,2,FALSE)</f>
        <v>A</v>
      </c>
      <c r="AN176" s="28" t="b">
        <f>AND(IF(Y176="-",IF(AA176-W176&gt;3,TRUE,FALSE),TRUE),IF(M176="-",IF(O176-K176&gt;3,TRUE,FALSE),TRU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>IF(ISERROR(F176-E176),"-",F176-E176)</f>
        <v>1</v>
      </c>
      <c r="AQ176" s="3">
        <f>IF(ISERROR(I176-H176),"-",I176-H176)</f>
        <v>1</v>
      </c>
      <c r="AR176" s="3">
        <f>IF(ISERROR(L176-K176),"-",L176-K176)</f>
        <v>3</v>
      </c>
      <c r="AS176" s="3">
        <f>IF(ISERROR(O176-N176),"-",O176-N176)</f>
        <v>1</v>
      </c>
      <c r="AT176" s="3">
        <f>IF(ISERROR(R176-Q176),"-",R176-Q176)</f>
        <v>1</v>
      </c>
      <c r="AU176" s="3">
        <f>IF(ISERROR(U176-T176),"-",U176-T176)</f>
        <v>1</v>
      </c>
      <c r="AV176" s="3">
        <f>IF(ISERROR(X176-W176),"-",X176-W176)</f>
        <v>12</v>
      </c>
      <c r="AW176" s="3">
        <f>IF(ISERROR(AA176-Z176),"-",AA176-Z176)</f>
        <v>5</v>
      </c>
      <c r="AX176" s="3">
        <f>IF(ISERROR(AD176-AC176),"-",AD176-AC176)</f>
        <v>6</v>
      </c>
      <c r="AY176" s="3">
        <f>IF(ISERROR(AG176-AF176),"-",AG176-AF176)</f>
        <v>7</v>
      </c>
      <c r="AZ176" s="3">
        <f>IF(ISERROR(AJ176-AI176),"-",AJ176-AI176)</f>
        <v>1</v>
      </c>
      <c r="BA176" s="3">
        <f>IF(ISERROR(LEN(VLOOKUP(A176,Seqs!A:E,2,FALSE))-AL176),"-",LEN(VLOOKUP(A176,Seqs!A:E,2,FALSE))-AL176)</f>
        <v>26</v>
      </c>
      <c r="BB176" s="16">
        <f>J176-D176</f>
        <v>31</v>
      </c>
      <c r="BC176" s="9">
        <f>IF(ISERROR(V176-S176),"-",V176-S176)</f>
        <v>20</v>
      </c>
      <c r="BD176" s="3">
        <f>J176-D176</f>
        <v>31</v>
      </c>
      <c r="BE176" s="3">
        <f>AE176-AB176</f>
        <v>51</v>
      </c>
      <c r="BF176" s="3">
        <f>AH176-AE176</f>
        <v>37</v>
      </c>
    </row>
    <row r="177" spans="1:58" s="3" customFormat="1" x14ac:dyDescent="0.2">
      <c r="A177" s="3" t="s">
        <v>300</v>
      </c>
      <c r="B177" s="3" t="str">
        <f>LOWER(VLOOKUP(A177,Xtal_Templ!A:B,2,FALSE))</f>
        <v>oprd_human</v>
      </c>
      <c r="C177" s="3">
        <f>VLOOKUP($A177,'SegEnds_NonXtal_BW#'!$A:$Z,3,FALSE)+D177-50</f>
        <v>24</v>
      </c>
      <c r="D177" s="3">
        <v>52</v>
      </c>
      <c r="E177" s="3">
        <f>IF(ISERROR(VLOOKUP($A177,'SegEnds_NonXtal_BW#'!$A:$Z,4,FALSE)+VLOOKUP($A177,A:AL,4,FALSE)-50),"-",(VLOOKUP($A177,'SegEnds_NonXtal_BW#'!$A:$Z,4,FALSE)+VLOOKUP($A177,A:AL,4,FALSE)-50))</f>
        <v>62</v>
      </c>
      <c r="F177" s="3" t="str">
        <f>IF(ISERROR(VLOOKUP($A177,'SegEnds_NonXtal_BW#'!$A:$Z,5,FALSE)+VLOOKUP($A177,A:AL,7,FALSE)-50),"-",(VLOOKUP($A177,'SegEnds_NonXtal_BW#'!$A:$Z,5,FALSE)+VLOOKUP($A177,A:AL,7,FALSE)-50))</f>
        <v>-</v>
      </c>
      <c r="G177" s="3" t="s">
        <v>23</v>
      </c>
      <c r="H177" s="3" t="str">
        <f>IF(ISERROR(VLOOKUP($A177,'SegEnds_NonXtal_BW#'!$A:$Z,6,FALSE)+VLOOKUP($A177,A:AL,7,FALSE)-50),"-",(VLOOKUP($A177,'SegEnds_NonXtal_BW#'!$A:$Z,6,FALSE)+VLOOKUP($A177,A:AL,7,FALSE)-50))</f>
        <v>-</v>
      </c>
      <c r="I177" s="3">
        <f>VLOOKUP($A177,'SegEnds_NonXtal_BW#'!$A:$Z,7,FALSE)+J177-50</f>
        <v>66</v>
      </c>
      <c r="J177" s="3">
        <v>79</v>
      </c>
      <c r="K177" s="3">
        <f>VLOOKUP($A177,'SegEnds_NonXtal_BW#'!$A:$Z,8,FALSE)+VLOOKUP($A177,A:AL,10,FALSE)-50</f>
        <v>95</v>
      </c>
      <c r="L177" s="3">
        <f>M177-1</f>
        <v>98</v>
      </c>
      <c r="M177" s="3">
        <v>99</v>
      </c>
      <c r="N177" s="3">
        <f>M177+2</f>
        <v>101</v>
      </c>
      <c r="O177" s="3">
        <f>N177+1</f>
        <v>102</v>
      </c>
      <c r="P177" s="3">
        <v>131</v>
      </c>
      <c r="Q177" s="3">
        <f>VLOOKUP($A177,'SegEnds_NonXtal_BW#'!$A:$Z,12,FALSE)+VLOOKUP($A177,A:AL,16,FALSE)-50</f>
        <v>137</v>
      </c>
      <c r="R177" s="3">
        <f>IF(ISERROR(VLOOKUP($A177,'SegEnds_NonXtal_BW#'!$A:$Z,13,FALSE)+VLOOKUP($A177,A:AL,19,FALSE)-50),"-",VLOOKUP($A177,'SegEnds_NonXtal_BW#'!$A:$Z,13,FALSE)+VLOOKUP($A177,A:AL,19,FALSE)-50)</f>
        <v>138</v>
      </c>
      <c r="S177" s="3">
        <v>138</v>
      </c>
      <c r="T177" s="103">
        <f>IF(ISERROR(VLOOKUP($A177,'SegEnds_NonXtal_BW#'!$A:$Z,14,FALSE)+VLOOKUP($A177,A:AL,19,FALSE)-50),"-",(VLOOKUP($A177,'SegEnds_NonXtal_BW#'!$A:$Z,14,FALSE)+VLOOKUP($A177,A:AL,19,FALSE)-50))</f>
        <v>145</v>
      </c>
      <c r="U177" s="9">
        <f>IF(ISERROR(VLOOKUP($A177,'SegEnds_NonXtal_BW#'!$A:$Z,15,FALSE)+VLOOKUP($A177,A:AL,22,FALSE)-50),"-",VLOOKUP($A177,'SegEnds_NonXtal_BW#'!$A:$Z,15,FALSE)+VLOOKUP($A177,A:AL,22,FALSE)-50)</f>
        <v>146</v>
      </c>
      <c r="V177" s="3">
        <v>158</v>
      </c>
      <c r="W177" s="3">
        <f>IF(ISERROR(VLOOKUP($A177,'SegEnds_NonXtal_BW#'!$A:$Z,16,FALSE)+VLOOKUP($A177,A:AL,22,FALSE)-50),"-",(VLOOKUP($A177,'SegEnds_NonXtal_BW#'!$A:$Z,16,FALSE)+VLOOKUP($A177,A:AL,22,FALSE)-50))</f>
        <v>172</v>
      </c>
      <c r="X177" s="3">
        <f>IF(ISERROR(VLOOKUP($A177,'SegEnds_NonXtal_BW#'!$A:$Z,17,FALSE)+VLOOKUP($A177,A:AL,25,FALSE)-50),"-",(VLOOKUP($A177,'SegEnds_NonXtal_BW#'!$A:$Z,17,FALSE)+VLOOKUP($A177,A:AL,25,FALSE)-50))</f>
        <v>184</v>
      </c>
      <c r="Y177" s="3">
        <v>184</v>
      </c>
      <c r="Z177" s="3">
        <f>Y177+2</f>
        <v>186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3">
        <v>209</v>
      </c>
      <c r="AC177" s="3">
        <f>IF(ISERROR((VLOOKUP($A177,'SegEnds_NonXtal_BW#'!$A:$Z,20,FALSE)+VLOOKUP($A177,A:AL,28,FALSE)-50)),"-",(VLOOKUP($A177,'SegEnds_NonXtal_BW#'!$A:$Z,20,FALSE)+VLOOKUP($A177,A:AL,28,FALSE)-50))</f>
        <v>231</v>
      </c>
      <c r="AD177" s="3">
        <f>IF(ISERROR(VLOOKUP($A177,'SegEnds_NonXtal_BW#'!$A:$Z,21,FALSE)+VLOOKUP($A177,A:AL,31,FALSE)-50),"-",(VLOOKUP($A177,'SegEnds_NonXtal_BW#'!$A:$Z,21,FALSE)+VLOOKUP($A177,A:AL,31,FALSE)-50))</f>
        <v>240</v>
      </c>
      <c r="AE177" s="3">
        <v>266</v>
      </c>
      <c r="AF177" s="3">
        <f>IF(ISERROR((VLOOKUP($A177,'SegEnds_NonXtal_BW#'!$A:$Z,22,FALSE)+VLOOKUP($A177,A:AL,31,FALSE)-50)),"-",(VLOOKUP($A177,'SegEnds_NonXtal_BW#'!$A:$Z,22,FALSE)+VLOOKUP($A177,A:AL,31,FALSE)-50))</f>
        <v>277</v>
      </c>
      <c r="AG177" s="3">
        <f>IF(ISERROR(VLOOKUP($A177,'SegEnds_NonXtal_BW#'!$A:$Z,23,FALSE)+VLOOKUP($A177,A:AL,34,FALSE)-50),"-",(VLOOKUP($A177,'SegEnds_NonXtal_BW#'!$A:$Z,23,FALSE)+VLOOKUP($A177,A:AL,34,FALSE)-50))</f>
        <v>284</v>
      </c>
      <c r="AH177" s="3">
        <v>303</v>
      </c>
      <c r="AI177" s="3">
        <f>IF(ISERROR((VLOOKUP($A177,'SegEnds_NonXtal_BW#'!$A:$Z,24,FALSE)+VLOOKUP($A177,A:AL,34,FALSE)-50)),"-",(VLOOKUP($A177,'SegEnds_NonXtal_BW#'!$A:$Z,24,FALSE)+VLOOKUP($A177,A:AL,34,FALSE)-50))</f>
        <v>309</v>
      </c>
      <c r="AJ177" s="3">
        <f>IF(ISERROR(VLOOKUP($A177,'SegEnds_NonXtal_BW#'!$A:$Z,25,FALSE)+VLOOKUP($A177,A:AL,37,FALSE)-50),"-",(VLOOKUP($A177,'SegEnds_NonXtal_BW#'!$A:$Z,25,FALSE)+VLOOKUP($A177,A:AL,37,FALSE)-50))</f>
        <v>310</v>
      </c>
      <c r="AK177" s="3">
        <v>313</v>
      </c>
      <c r="AL177" s="3">
        <f>IF(ISERROR((VLOOKUP($A177,'SegEnds_NonXtal_BW#'!$A:$Z,26,FALSE)+VLOOKUP($A177,A:AL,37,FALSE)-50)),"-",(VLOOKUP($A177,'SegEnds_NonXtal_BW#'!$A:$Z,26,FALSE)+VLOOKUP($A177,A:AL,37,FALSE)-50))</f>
        <v>323</v>
      </c>
      <c r="AM177" s="28" t="str">
        <f>VLOOKUP(A177,Classification!A:B,2,FALSE)</f>
        <v>A</v>
      </c>
      <c r="AN177" s="28" t="b">
        <f>AND(IF(Y177="-",IF(AA177-W177&gt;3,TRUE,FALSE),TRUE),IF(M177="-",IF(O177-K177&gt;3,TRUE,FALSE),TRU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NoXtal</v>
      </c>
      <c r="AP177" s="3" t="str">
        <f>IF(ISERROR(F177-E177),"-",F177-E177)</f>
        <v>-</v>
      </c>
      <c r="AQ177" s="3" t="str">
        <f>IF(ISERROR(I177-H177),"-",I177-H177)</f>
        <v>-</v>
      </c>
      <c r="AR177" s="3">
        <f>IF(ISERROR(L177-K177),"-",L177-K177)</f>
        <v>3</v>
      </c>
      <c r="AS177" s="3">
        <f>IF(ISERROR(O177-N177),"-",O177-N177)</f>
        <v>1</v>
      </c>
      <c r="AT177" s="3">
        <f>IF(ISERROR(R177-Q177),"-",R177-Q177)</f>
        <v>1</v>
      </c>
      <c r="AU177" s="3">
        <f>IF(ISERROR(U177-T177),"-",U177-T177)</f>
        <v>1</v>
      </c>
      <c r="AV177" s="3">
        <f>IF(ISERROR(X177-W177),"-",X177-W177)</f>
        <v>12</v>
      </c>
      <c r="AW177" s="3">
        <f>IF(ISERROR(AA177-Z177),"-",AA177-Z177)</f>
        <v>4</v>
      </c>
      <c r="AX177" s="3">
        <f>IF(ISERROR(AD177-AC177),"-",AD177-AC177)</f>
        <v>9</v>
      </c>
      <c r="AY177" s="3">
        <f>IF(ISERROR(AG177-AF177),"-",AG177-AF177)</f>
        <v>7</v>
      </c>
      <c r="AZ177" s="3">
        <f>IF(ISERROR(AJ177-AI177),"-",AJ177-AI177)</f>
        <v>1</v>
      </c>
      <c r="BA177" s="3">
        <f>IF(ISERROR(LEN(VLOOKUP(A177,Seqs!A:E,2,FALSE))-AL177),"-",LEN(VLOOKUP(A177,Seqs!A:E,2,FALSE))-AL177)</f>
        <v>17</v>
      </c>
      <c r="BB177" s="16">
        <f>J177-D177</f>
        <v>27</v>
      </c>
      <c r="BC177" s="9">
        <f>IF(ISERROR(V177-S177),"-",V177-S177)</f>
        <v>20</v>
      </c>
      <c r="BD177" s="3">
        <f>J177-D177</f>
        <v>27</v>
      </c>
      <c r="BE177" s="3">
        <f>AE177-AB177</f>
        <v>57</v>
      </c>
      <c r="BF177" s="3">
        <f>AH177-AE177</f>
        <v>37</v>
      </c>
    </row>
    <row r="178" spans="1:58" s="3" customFormat="1" x14ac:dyDescent="0.2">
      <c r="A178" s="3" t="s">
        <v>301</v>
      </c>
      <c r="B178" s="3" t="str">
        <f>LOWER(VLOOKUP(A178,Xtal_Templ!A:B,2,FALSE))</f>
        <v>agtr1_human</v>
      </c>
      <c r="C178" s="3">
        <f>VLOOKUP($A178,'SegEnds_NonXtal_BW#'!$A:$Z,3,FALSE)+D178-50</f>
        <v>25</v>
      </c>
      <c r="D178" s="3">
        <v>45</v>
      </c>
      <c r="E178" s="3">
        <f>IF(ISERROR(VLOOKUP($A178,'SegEnds_NonXtal_BW#'!$A:$Z,4,FALSE)+VLOOKUP($A178,A:AL,4,FALSE)-50),"-",(VLOOKUP($A178,'SegEnds_NonXtal_BW#'!$A:$Z,4,FALSE)+VLOOKUP($A178,A:AL,4,FALSE)-50))</f>
        <v>55</v>
      </c>
      <c r="F178" s="3" t="str">
        <f>IF(ISERROR(VLOOKUP($A178,'SegEnds_NonXtal_BW#'!$A:$Z,5,FALSE)+VLOOKUP($A178,A:AL,7,FALSE)-50),"-",(VLOOKUP($A178,'SegEnds_NonXtal_BW#'!$A:$Z,5,FALSE)+VLOOKUP($A178,A:AL,7,FALSE)-50))</f>
        <v>-</v>
      </c>
      <c r="G178" s="3" t="s">
        <v>23</v>
      </c>
      <c r="H178" s="3" t="str">
        <f>IF(ISERROR(VLOOKUP($A178,'SegEnds_NonXtal_BW#'!$A:$Z,6,FALSE)+VLOOKUP($A178,A:AL,7,FALSE)-50),"-",(VLOOKUP($A178,'SegEnds_NonXtal_BW#'!$A:$Z,6,FALSE)+VLOOKUP($A178,A:AL,7,FALSE)-50))</f>
        <v>-</v>
      </c>
      <c r="I178" s="3">
        <f>VLOOKUP($A178,'SegEnds_NonXtal_BW#'!$A:$Z,7,FALSE)+J178-50</f>
        <v>59</v>
      </c>
      <c r="J178" s="3">
        <v>72</v>
      </c>
      <c r="K178" s="3">
        <f>VLOOKUP($A178,'SegEnds_NonXtal_BW#'!$A:$Z,8,FALSE)+VLOOKUP($A178,A:AL,10,FALSE)-50</f>
        <v>88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94</v>
      </c>
      <c r="P178" s="3">
        <v>123</v>
      </c>
      <c r="Q178" s="3">
        <f>VLOOKUP($A178,'SegEnds_NonXtal_BW#'!$A:$Z,12,FALSE)+VLOOKUP($A178,A:AL,16,FALSE)-50</f>
        <v>129</v>
      </c>
      <c r="R178" s="3">
        <f>IF(ISERROR(VLOOKUP($A178,'SegEnds_NonXtal_BW#'!$A:$Z,13,FALSE)+VLOOKUP($A178,A:AL,19,FALSE)-50),"-",VLOOKUP($A178,'SegEnds_NonXtal_BW#'!$A:$Z,13,FALSE)+VLOOKUP($A178,A:AL,19,FALSE)-50)</f>
        <v>130</v>
      </c>
      <c r="S178" s="3">
        <v>130</v>
      </c>
      <c r="T178" s="103">
        <f>IF(ISERROR(VLOOKUP($A178,'SegEnds_NonXtal_BW#'!$A:$Z,14,FALSE)+VLOOKUP($A178,A:AL,19,FALSE)-50),"-",(VLOOKUP($A178,'SegEnds_NonXtal_BW#'!$A:$Z,14,FALSE)+VLOOKUP($A178,A:AL,19,FALSE)-50))</f>
        <v>137</v>
      </c>
      <c r="U178" s="9">
        <f>IF(ISERROR(VLOOKUP($A178,'SegEnds_NonXtal_BW#'!$A:$Z,15,FALSE)+VLOOKUP($A178,A:AL,22,FALSE)-50),"-",VLOOKUP($A178,'SegEnds_NonXtal_BW#'!$A:$Z,15,FALSE)+VLOOKUP($A178,A:AL,22,FALSE)-50)</f>
        <v>138</v>
      </c>
      <c r="V178" s="3">
        <v>150</v>
      </c>
      <c r="W178" s="3">
        <f>IF(ISERROR(VLOOKUP($A178,'SegEnds_NonXtal_BW#'!$A:$Z,16,FALSE)+VLOOKUP($A178,A:AL,22,FALSE)-50),"-",(VLOOKUP($A178,'SegEnds_NonXtal_BW#'!$A:$Z,16,FALSE)+VLOOKUP($A178,A:AL,22,FALSE)-50))</f>
        <v>164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176</v>
      </c>
      <c r="AB178" s="3">
        <v>192</v>
      </c>
      <c r="AC178" s="3">
        <f>IF(ISERROR((VLOOKUP($A178,'SegEnds_NonXtal_BW#'!$A:$Z,20,FALSE)+VLOOKUP($A178,A:AL,28,FALSE)-50)),"-",(VLOOKUP($A178,'SegEnds_NonXtal_BW#'!$A:$Z,20,FALSE)+VLOOKUP($A178,A:AL,28,FALSE)-50))</f>
        <v>210</v>
      </c>
      <c r="AD178" s="3">
        <f>IF(ISERROR(VLOOKUP($A178,'SegEnds_NonXtal_BW#'!$A:$Z,21,FALSE)+VLOOKUP($A178,A:AL,31,FALSE)-50),"-",(VLOOKUP($A178,'SegEnds_NonXtal_BW#'!$A:$Z,21,FALSE)+VLOOKUP($A178,A:AL,31,FALSE)-50))</f>
        <v>214</v>
      </c>
      <c r="AE178" s="3">
        <v>236</v>
      </c>
      <c r="AF178" s="3">
        <f>IF(ISERROR((VLOOKUP($A178,'SegEnds_NonXtal_BW#'!$A:$Z,22,FALSE)+VLOOKUP($A178,A:AL,31,FALSE)-50)),"-",(VLOOKUP($A178,'SegEnds_NonXtal_BW#'!$A:$Z,22,FALSE)+VLOOKUP($A178,A:AL,31,FALSE)-50))</f>
        <v>247</v>
      </c>
      <c r="AG178" s="3">
        <f>IF(ISERROR(VLOOKUP($A178,'SegEnds_NonXtal_BW#'!$A:$Z,23,FALSE)+VLOOKUP($A178,A:AL,34,FALSE)-50),"-",(VLOOKUP($A178,'SegEnds_NonXtal_BW#'!$A:$Z,23,FALSE)+VLOOKUP($A178,A:AL,34,FALSE)-50))</f>
        <v>254</v>
      </c>
      <c r="AH178" s="3">
        <v>273</v>
      </c>
      <c r="AI178" s="3">
        <f>IF(ISERROR((VLOOKUP($A178,'SegEnds_NonXtal_BW#'!$A:$Z,24,FALSE)+VLOOKUP($A178,A:AL,34,FALSE)-50)),"-",(VLOOKUP($A178,'SegEnds_NonXtal_BW#'!$A:$Z,24,FALSE)+VLOOKUP($A178,A:AL,34,FALSE)-50))</f>
        <v>279</v>
      </c>
      <c r="AJ178" s="3">
        <f>IF(ISERROR(VLOOKUP($A178,'SegEnds_NonXtal_BW#'!$A:$Z,25,FALSE)+VLOOKUP($A178,A:AL,37,FALSE)-50),"-",(VLOOKUP($A178,'SegEnds_NonXtal_BW#'!$A:$Z,25,FALSE)+VLOOKUP($A178,A:AL,37,FALSE)-50))</f>
        <v>280</v>
      </c>
      <c r="AK178" s="3">
        <v>283</v>
      </c>
      <c r="AL178" s="3">
        <f>IF(ISERROR((VLOOKUP($A178,'SegEnds_NonXtal_BW#'!$A:$Z,26,FALSE)+VLOOKUP($A178,A:AL,37,FALSE)-50)),"-",(VLOOKUP($A178,'SegEnds_NonXtal_BW#'!$A:$Z,26,FALSE)+VLOOKUP($A178,A:AL,37,FALSE)-50))</f>
        <v>294</v>
      </c>
      <c r="AM178" s="28" t="str">
        <f>VLOOKUP(A178,Classification!A:B,2,FALSE)</f>
        <v>A</v>
      </c>
      <c r="AN178" s="28" t="b">
        <f>AND(IF(Y178="-",IF(AA178-W178&gt;3,TRUE,FALSE),TRUE),IF(M178="-",IF(O178-K178&gt;3,TRUE,FALSE),TRU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 t="str">
        <f>IF(ISERROR(F178-E178),"-",F178-E178)</f>
        <v>-</v>
      </c>
      <c r="AQ178" s="3" t="str">
        <f>IF(ISERROR(I178-H178),"-",I178-H178)</f>
        <v>-</v>
      </c>
      <c r="AR178" s="3" t="str">
        <f>IF(ISERROR(L178-K178),"-",L178-K178)</f>
        <v>-</v>
      </c>
      <c r="AS178" s="3" t="str">
        <f>IF(ISERROR(O178-N178),"-",O178-N178)</f>
        <v>-</v>
      </c>
      <c r="AT178" s="3">
        <f>IF(ISERROR(R178-Q178),"-",R178-Q178)</f>
        <v>1</v>
      </c>
      <c r="AU178" s="3">
        <f>IF(ISERROR(U178-T178),"-",U178-T178)</f>
        <v>1</v>
      </c>
      <c r="AV178" s="3" t="str">
        <f>IF(ISERROR(X178-W178),"-",X178-W178)</f>
        <v>-</v>
      </c>
      <c r="AW178" s="3" t="str">
        <f>IF(ISERROR(AA178-Z178),"-",AA178-Z178)</f>
        <v>-</v>
      </c>
      <c r="AX178" s="3">
        <f>IF(ISERROR(AD178-AC178),"-",AD178-AC178)</f>
        <v>4</v>
      </c>
      <c r="AY178" s="3">
        <f>IF(ISERROR(AG178-AF178),"-",AG178-AF178)</f>
        <v>7</v>
      </c>
      <c r="AZ178" s="3">
        <f>IF(ISERROR(AJ178-AI178),"-",AJ178-AI178)</f>
        <v>1</v>
      </c>
      <c r="BA178" s="3">
        <f>IF(ISERROR(LEN(VLOOKUP(A178,Seqs!A:E,2,FALSE))-AL178),"-",LEN(VLOOKUP(A178,Seqs!A:E,2,FALSE))-AL178)</f>
        <v>27</v>
      </c>
      <c r="BB178" s="16">
        <f>J178-D178</f>
        <v>27</v>
      </c>
      <c r="BC178" s="9">
        <f>IF(ISERROR(V178-S178),"-",V178-S178)</f>
        <v>20</v>
      </c>
      <c r="BD178" s="3">
        <f>J178-D178</f>
        <v>27</v>
      </c>
      <c r="BE178" s="3">
        <f>AE178-AB178</f>
        <v>44</v>
      </c>
      <c r="BF178" s="3">
        <f>AH178-AE178</f>
        <v>37</v>
      </c>
    </row>
    <row r="179" spans="1:58" s="3" customFormat="1" x14ac:dyDescent="0.2">
      <c r="A179" s="3" t="s">
        <v>302</v>
      </c>
      <c r="B179" s="3" t="str">
        <f>LOWER(VLOOKUP(A179,Xtal_Templ!A:B,2,FALSE))</f>
        <v>cxcr4_human</v>
      </c>
      <c r="C179" s="3">
        <f>VLOOKUP($A179,'SegEnds_NonXtal_BW#'!$A:$Z,3,FALSE)+D179-50</f>
        <v>16</v>
      </c>
      <c r="D179" s="3">
        <v>42</v>
      </c>
      <c r="E179" s="3">
        <f>IF(ISERROR(VLOOKUP($A179,'SegEnds_NonXtal_BW#'!$A:$Z,4,FALSE)+VLOOKUP($A179,A:AL,4,FALSE)-50),"-",(VLOOKUP($A179,'SegEnds_NonXtal_BW#'!$A:$Z,4,FALSE)+VLOOKUP($A179,A:AL,4,FALSE)-50))</f>
        <v>52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56</v>
      </c>
      <c r="J179" s="3">
        <v>69</v>
      </c>
      <c r="K179" s="3">
        <f>VLOOKUP($A179,'SegEnds_NonXtal_BW#'!$A:$Z,8,FALSE)+VLOOKUP($A179,A:AL,10,FALSE)-50</f>
        <v>85</v>
      </c>
      <c r="L179" s="3" t="str">
        <f>IF(ISERROR(VLOOKUP($A179,'SegEnds_NonXtal_BW#'!$A:$Z,9,FALSE)+VLOOKUP($A179,A:AL,13,FALSE)-50),"-",(VLOOKUP($A179,'SegEnds_NonXtal_BW#'!$A:$Z,9,FALSE)+VLOOKUP($A179,A:AL,13,FALSE)-50))</f>
        <v>-</v>
      </c>
      <c r="M179" s="3" t="s">
        <v>23</v>
      </c>
      <c r="N179" s="3" t="str">
        <f>IF(ISERROR(VLOOKUP($A179,'SegEnds_NonXtal_BW#'!$A:$Z,10,FALSE)+VLOOKUP($A179,A:AL,13,FALSE)-50),"-",(VLOOKUP($A179,'SegEnds_NonXtal_BW#'!$A:$Z,10,FALSE)+VLOOKUP($A179,A:AL,13,FALSE)-50))</f>
        <v>-</v>
      </c>
      <c r="O179" s="3">
        <f>VLOOKUP($A179,'SegEnds_NonXtal_BW#'!$A:$Z,11,FALSE)+VLOOKUP($A179,A:AL,16,FALSE)-50</f>
        <v>92</v>
      </c>
      <c r="P179" s="3">
        <v>121</v>
      </c>
      <c r="Q179" s="3">
        <f>VLOOKUP($A179,'SegEnds_NonXtal_BW#'!$A:$Z,12,FALSE)+VLOOKUP($A179,A:AL,16,FALSE)-50</f>
        <v>127</v>
      </c>
      <c r="R179" s="3">
        <f>IF(ISERROR(VLOOKUP($A179,'SegEnds_NonXtal_BW#'!$A:$Z,13,FALSE)+VLOOKUP($A179,A:AL,19,FALSE)-50),"-",VLOOKUP($A179,'SegEnds_NonXtal_BW#'!$A:$Z,13,FALSE)+VLOOKUP($A179,A:AL,19,FALSE)-50)</f>
        <v>128</v>
      </c>
      <c r="S179" s="3">
        <v>128</v>
      </c>
      <c r="T179" s="103">
        <f>IF(ISERROR(VLOOKUP($A179,'SegEnds_NonXtal_BW#'!$A:$Z,14,FALSE)+VLOOKUP($A179,A:AL,19,FALSE)-50),"-",(VLOOKUP($A179,'SegEnds_NonXtal_BW#'!$A:$Z,14,FALSE)+VLOOKUP($A179,A:AL,19,FALSE)-50))</f>
        <v>135</v>
      </c>
      <c r="U179" s="9">
        <f>IF(ISERROR(VLOOKUP($A179,'SegEnds_NonXtal_BW#'!$A:$Z,15,FALSE)+VLOOKUP($A179,A:AL,22,FALSE)-50),"-",VLOOKUP($A179,'SegEnds_NonXtal_BW#'!$A:$Z,15,FALSE)+VLOOKUP($A179,A:AL,22,FALSE)-50)</f>
        <v>136</v>
      </c>
      <c r="V179" s="3">
        <v>148</v>
      </c>
      <c r="W179" s="3">
        <f>IF(ISERROR(VLOOKUP($A179,'SegEnds_NonXtal_BW#'!$A:$Z,16,FALSE)+VLOOKUP($A179,A:AL,22,FALSE)-50),"-",(VLOOKUP($A179,'SegEnds_NonXtal_BW#'!$A:$Z,16,FALSE)+VLOOKUP($A179,A:AL,22,FALSE)-50))</f>
        <v>162</v>
      </c>
      <c r="X179" s="3" t="str">
        <f>IF(ISERROR(VLOOKUP($A179,'SegEnds_NonXtal_BW#'!$A:$Z,17,FALSE)+VLOOKUP($A179,A:AL,25,FALSE)-50),"-",(VLOOKUP($A179,'SegEnds_NonXtal_BW#'!$A:$Z,17,FALSE)+VLOOKUP($A179,A:AL,25,FALSE)-50))</f>
        <v>-</v>
      </c>
      <c r="Y179" s="3" t="s">
        <v>23</v>
      </c>
      <c r="Z179" s="3" t="str">
        <f>IF(ISERROR(VLOOKUP($A179,'SegEnds_NonXtal_BW#'!$A:$Z,18,FALSE)+VLOOKUP($A179,A:AL,25,FALSE)-50),"-",(VLOOKUP($A179,'SegEnds_NonXtal_BW#'!$A:$Z,18,FALSE)+VLOOKUP($A179,A:AL,25,FALSE)-50))</f>
        <v>-</v>
      </c>
      <c r="AA179" s="3">
        <f>IF(ISERROR(VLOOKUP($A179,'SegEnds_NonXtal_BW#'!$A:$Z,19,FALSE)+VLOOKUP($A179,A:AL,28,FALSE)-50),"-",(VLOOKUP($A179,'SegEnds_NonXtal_BW#'!$A:$Z,19,FALSE)+VLOOKUP($A179,A:AL,28,FALSE)-50))</f>
        <v>172</v>
      </c>
      <c r="AB179" s="3">
        <v>190</v>
      </c>
      <c r="AC179" s="3">
        <f>IF(ISERROR((VLOOKUP($A179,'SegEnds_NonXtal_BW#'!$A:$Z,20,FALSE)+VLOOKUP($A179,A:AL,28,FALSE)-50)),"-",(VLOOKUP($A179,'SegEnds_NonXtal_BW#'!$A:$Z,20,FALSE)+VLOOKUP($A179,A:AL,28,FALSE)-50))</f>
        <v>208</v>
      </c>
      <c r="AD179" s="3">
        <f>IF(ISERROR(VLOOKUP($A179,'SegEnds_NonXtal_BW#'!$A:$Z,21,FALSE)+VLOOKUP($A179,A:AL,31,FALSE)-50),"-",(VLOOKUP($A179,'SegEnds_NonXtal_BW#'!$A:$Z,21,FALSE)+VLOOKUP($A179,A:AL,31,FALSE)-50))</f>
        <v>212</v>
      </c>
      <c r="AE179" s="3">
        <v>232</v>
      </c>
      <c r="AF179" s="3">
        <f>IF(ISERROR((VLOOKUP($A179,'SegEnds_NonXtal_BW#'!$A:$Z,22,FALSE)+VLOOKUP($A179,A:AL,31,FALSE)-50)),"-",(VLOOKUP($A179,'SegEnds_NonXtal_BW#'!$A:$Z,22,FALSE)+VLOOKUP($A179,A:AL,31,FALSE)-50))</f>
        <v>243</v>
      </c>
      <c r="AG179" s="3">
        <f>IF(ISERROR(VLOOKUP($A179,'SegEnds_NonXtal_BW#'!$A:$Z,23,FALSE)+VLOOKUP($A179,A:AL,34,FALSE)-50),"-",(VLOOKUP($A179,'SegEnds_NonXtal_BW#'!$A:$Z,23,FALSE)+VLOOKUP($A179,A:AL,34,FALSE)-50))</f>
        <v>248</v>
      </c>
      <c r="AH179" s="3">
        <v>266</v>
      </c>
      <c r="AI179" s="3">
        <f>IF(ISERROR((VLOOKUP($A179,'SegEnds_NonXtal_BW#'!$A:$Z,24,FALSE)+VLOOKUP($A179,A:AL,34,FALSE)-50)),"-",(VLOOKUP($A179,'SegEnds_NonXtal_BW#'!$A:$Z,24,FALSE)+VLOOKUP($A179,A:AL,34,FALSE)-50))</f>
        <v>272</v>
      </c>
      <c r="AJ179" s="3">
        <f>IF(ISERROR(VLOOKUP($A179,'SegEnds_NonXtal_BW#'!$A:$Z,25,FALSE)+VLOOKUP($A179,A:AL,37,FALSE)-50),"-",(VLOOKUP($A179,'SegEnds_NonXtal_BW#'!$A:$Z,25,FALSE)+VLOOKUP($A179,A:AL,37,FALSE)-50))</f>
        <v>273</v>
      </c>
      <c r="AK179" s="3">
        <v>276</v>
      </c>
      <c r="AL179" s="3">
        <f>IF(ISERROR((VLOOKUP($A179,'SegEnds_NonXtal_BW#'!$A:$Z,26,FALSE)+VLOOKUP($A179,A:AL,37,FALSE)-50)),"-",(VLOOKUP($A179,'SegEnds_NonXtal_BW#'!$A:$Z,26,FALSE)+VLOOKUP($A179,A:AL,37,FALSE)-50))</f>
        <v>285</v>
      </c>
      <c r="AM179" s="28" t="str">
        <f>VLOOKUP(A179,Classification!A:B,2,FALSE)</f>
        <v>A</v>
      </c>
      <c r="AN179" s="28" t="b">
        <f>AND(IF(Y179="-",IF(AA179-W179&gt;3,TRUE,FALSE),TRUE),IF(M179="-",IF(O179-K179&gt;3,TRUE,FALSE),TRUE),C179&lt;E179,OR(E179&lt;F179,F179="-"),OR(F179&lt;H179,F179="-"),OR(H179&lt;I179,H179="-"),I179&lt;K179,OR(K179&lt;L179,L179="-"),OR(L179&lt;N179,L179="-"),OR(N179&lt;O179,N179="-"),O179&lt;Q179,OR(Q179&lt;R179,R179="-"),OR(R179&lt;T179,R179="-"),OR(T179&lt;U179,T179="-"),U179&lt;W179,OR(W179&lt;X179,X179="-"),OR(X179&lt;Z179,X179="-"),OR(Z179&lt;AA179,Z179="-"),AA179&lt;AC179,AC179&lt;AD179,AD179&lt;AF179,AF179&lt;AG179,AG179&lt;AI179,OR(AI179&lt;AJ179,AJ179="-"),OR(AJ179&lt;AL179,AJ179="-"))</f>
        <v>1</v>
      </c>
      <c r="AO179" s="3" t="str">
        <f>IF(ISERROR(MATCH(A179,'SegEnds_Xtal_Prot#'!B:B, 0)), "NoXtal", "Xtal")</f>
        <v>NoXtal</v>
      </c>
      <c r="AP179" s="3" t="str">
        <f>IF(ISERROR(F179-E179),"-",F179-E179)</f>
        <v>-</v>
      </c>
      <c r="AQ179" s="3" t="str">
        <f>IF(ISERROR(I179-H179),"-",I179-H179)</f>
        <v>-</v>
      </c>
      <c r="AR179" s="3" t="str">
        <f>IF(ISERROR(L179-K179),"-",L179-K179)</f>
        <v>-</v>
      </c>
      <c r="AS179" s="3" t="str">
        <f>IF(ISERROR(O179-N179),"-",O179-N179)</f>
        <v>-</v>
      </c>
      <c r="AT179" s="3">
        <f>IF(ISERROR(R179-Q179),"-",R179-Q179)</f>
        <v>1</v>
      </c>
      <c r="AU179" s="3">
        <f>IF(ISERROR(U179-T179),"-",U179-T179)</f>
        <v>1</v>
      </c>
      <c r="AV179" s="3" t="str">
        <f>IF(ISERROR(X179-W179),"-",X179-W179)</f>
        <v>-</v>
      </c>
      <c r="AW179" s="3" t="str">
        <f>IF(ISERROR(AA179-Z179),"-",AA179-Z179)</f>
        <v>-</v>
      </c>
      <c r="AX179" s="3">
        <f>IF(ISERROR(AD179-AC179),"-",AD179-AC179)</f>
        <v>4</v>
      </c>
      <c r="AY179" s="3">
        <f>IF(ISERROR(AG179-AF179),"-",AG179-AF179)</f>
        <v>5</v>
      </c>
      <c r="AZ179" s="3">
        <f>IF(ISERROR(AJ179-AI179),"-",AJ179-AI179)</f>
        <v>1</v>
      </c>
      <c r="BA179" s="3">
        <f>IF(ISERROR(LEN(VLOOKUP(A179,Seqs!A:E,2,FALSE))-AL179),"-",LEN(VLOOKUP(A179,Seqs!A:E,2,FALSE))-AL179)</f>
        <v>27</v>
      </c>
      <c r="BB179" s="16">
        <f>J179-D179</f>
        <v>27</v>
      </c>
      <c r="BC179" s="9">
        <f>IF(ISERROR(V179-S179),"-",V179-S179)</f>
        <v>20</v>
      </c>
      <c r="BD179" s="3">
        <f>J179-D179</f>
        <v>27</v>
      </c>
      <c r="BE179" s="3">
        <f>AE179-AB179</f>
        <v>42</v>
      </c>
      <c r="BF179" s="3">
        <f>AH179-AE179</f>
        <v>34</v>
      </c>
    </row>
    <row r="180" spans="1:58" s="3" customFormat="1" x14ac:dyDescent="0.2">
      <c r="A180" s="3" t="s">
        <v>303</v>
      </c>
      <c r="B180" s="3" t="str">
        <f>LOWER(VLOOKUP(A180,Xtal_Templ!A:B,2,FALSE))</f>
        <v>agtr1_human</v>
      </c>
      <c r="C180" s="3">
        <f>VLOOKUP($A180,'SegEnds_NonXtal_BW#'!$A:$Z,3,FALSE)+D180-50</f>
        <v>42</v>
      </c>
      <c r="D180" s="3">
        <v>62</v>
      </c>
      <c r="E180" s="3">
        <f>IF(ISERROR(VLOOKUP($A180,'SegEnds_NonXtal_BW#'!$A:$Z,4,FALSE)+VLOOKUP($A180,A:AL,4,FALSE)-50),"-",(VLOOKUP($A180,'SegEnds_NonXtal_BW#'!$A:$Z,4,FALSE)+VLOOKUP($A180,A:AL,4,FALSE)-50))</f>
        <v>72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76</v>
      </c>
      <c r="J180" s="3">
        <v>89</v>
      </c>
      <c r="K180" s="3">
        <f>VLOOKUP($A180,'SegEnds_NonXtal_BW#'!$A:$Z,8,FALSE)+VLOOKUP($A180,A:AL,10,FALSE)-50</f>
        <v>105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112</v>
      </c>
      <c r="P180" s="3">
        <v>141</v>
      </c>
      <c r="Q180" s="3">
        <f>VLOOKUP($A180,'SegEnds_NonXtal_BW#'!$A:$Z,12,FALSE)+VLOOKUP($A180,A:AL,16,FALSE)-50</f>
        <v>147</v>
      </c>
      <c r="R180" s="3">
        <f>IF(ISERROR(VLOOKUP($A180,'SegEnds_NonXtal_BW#'!$A:$Z,13,FALSE)+VLOOKUP($A180,A:AL,19,FALSE)-50),"-",VLOOKUP($A180,'SegEnds_NonXtal_BW#'!$A:$Z,13,FALSE)+VLOOKUP($A180,A:AL,19,FALSE)-50)</f>
        <v>148</v>
      </c>
      <c r="S180" s="3">
        <v>148</v>
      </c>
      <c r="T180" s="103">
        <f>IF(ISERROR(VLOOKUP($A180,'SegEnds_NonXtal_BW#'!$A:$Z,14,FALSE)+VLOOKUP($A180,A:AL,19,FALSE)-50),"-",(VLOOKUP($A180,'SegEnds_NonXtal_BW#'!$A:$Z,14,FALSE)+VLOOKUP($A180,A:AL,19,FALSE)-50))</f>
        <v>155</v>
      </c>
      <c r="U180" s="9">
        <f>IF(ISERROR(VLOOKUP($A180,'SegEnds_NonXtal_BW#'!$A:$Z,15,FALSE)+VLOOKUP($A180,A:AL,22,FALSE)-50),"-",VLOOKUP($A180,'SegEnds_NonXtal_BW#'!$A:$Z,15,FALSE)+VLOOKUP($A180,A:AL,22,FALSE)-50)</f>
        <v>156</v>
      </c>
      <c r="V180" s="3">
        <v>168</v>
      </c>
      <c r="W180" s="3">
        <f>IF(ISERROR(VLOOKUP($A180,'SegEnds_NonXtal_BW#'!$A:$Z,16,FALSE)+VLOOKUP($A180,A:AL,22,FALSE)-50),"-",(VLOOKUP($A180,'SegEnds_NonXtal_BW#'!$A:$Z,16,FALSE)+VLOOKUP($A180,A:AL,22,FALSE)-50))</f>
        <v>182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195</v>
      </c>
      <c r="AB180" s="3">
        <v>211</v>
      </c>
      <c r="AC180" s="3">
        <f>IF(ISERROR((VLOOKUP($A180,'SegEnds_NonXtal_BW#'!$A:$Z,20,FALSE)+VLOOKUP($A180,A:AL,28,FALSE)-50)),"-",(VLOOKUP($A180,'SegEnds_NonXtal_BW#'!$A:$Z,20,FALSE)+VLOOKUP($A180,A:AL,28,FALSE)-50))</f>
        <v>229</v>
      </c>
      <c r="AD180" s="3">
        <f>IF(ISERROR(VLOOKUP($A180,'SegEnds_NonXtal_BW#'!$A:$Z,21,FALSE)+VLOOKUP($A180,A:AL,31,FALSE)-50),"-",(VLOOKUP($A180,'SegEnds_NonXtal_BW#'!$A:$Z,21,FALSE)+VLOOKUP($A180,A:AL,31,FALSE)-50))</f>
        <v>234</v>
      </c>
      <c r="AE180" s="3">
        <v>254</v>
      </c>
      <c r="AF180" s="3">
        <f>IF(ISERROR((VLOOKUP($A180,'SegEnds_NonXtal_BW#'!$A:$Z,22,FALSE)+VLOOKUP($A180,A:AL,31,FALSE)-50)),"-",(VLOOKUP($A180,'SegEnds_NonXtal_BW#'!$A:$Z,22,FALSE)+VLOOKUP($A180,A:AL,31,FALSE)-50))</f>
        <v>265</v>
      </c>
      <c r="AG180" s="3">
        <f>IF(ISERROR(VLOOKUP($A180,'SegEnds_NonXtal_BW#'!$A:$Z,23,FALSE)+VLOOKUP($A180,A:AL,34,FALSE)-50),"-",(VLOOKUP($A180,'SegEnds_NonXtal_BW#'!$A:$Z,23,FALSE)+VLOOKUP($A180,A:AL,34,FALSE)-50))</f>
        <v>270</v>
      </c>
      <c r="AH180" s="3">
        <v>288</v>
      </c>
      <c r="AI180" s="3">
        <f>IF(ISERROR((VLOOKUP($A180,'SegEnds_NonXtal_BW#'!$A:$Z,24,FALSE)+VLOOKUP($A180,A:AL,34,FALSE)-50)),"-",(VLOOKUP($A180,'SegEnds_NonXtal_BW#'!$A:$Z,24,FALSE)+VLOOKUP($A180,A:AL,34,FALSE)-50))</f>
        <v>294</v>
      </c>
      <c r="AJ180" s="3">
        <f>IF(ISERROR(VLOOKUP($A180,'SegEnds_NonXtal_BW#'!$A:$Z,25,FALSE)+VLOOKUP($A180,A:AL,37,FALSE)-50),"-",(VLOOKUP($A180,'SegEnds_NonXtal_BW#'!$A:$Z,25,FALSE)+VLOOKUP($A180,A:AL,37,FALSE)-50))</f>
        <v>295</v>
      </c>
      <c r="AK180" s="3">
        <v>298</v>
      </c>
      <c r="AL180" s="3">
        <f>IF(ISERROR((VLOOKUP($A180,'SegEnds_NonXtal_BW#'!$A:$Z,26,FALSE)+VLOOKUP($A180,A:AL,37,FALSE)-50)),"-",(VLOOKUP($A180,'SegEnds_NonXtal_BW#'!$A:$Z,26,FALSE)+VLOOKUP($A180,A:AL,37,FALSE)-50))</f>
        <v>309</v>
      </c>
      <c r="AM180" s="28" t="str">
        <f>VLOOKUP(A180,Classification!A:B,2,FALSE)</f>
        <v>A</v>
      </c>
      <c r="AN180" s="28" t="b">
        <f>AND(IF(Y180="-",IF(AA180-W180&gt;3,TRUE,FALSE),TRUE),IF(M180="-",IF(O180-K180&gt;3,TRUE,FALSE),TRUE),C180&lt;E180,OR(E180&lt;F180,F180="-"),OR(F180&lt;H180,F180="-"),OR(H180&lt;I180,H180="-"),I180&lt;K180,OR(K180&lt;L180,L180="-"),OR(L180&lt;N180,L180="-"),OR(N180&lt;O180,N180="-"),O180&lt;Q180,OR(Q180&lt;R180,R180="-"),OR(R180&lt;T180,R180="-"),OR(T180&lt;U180,T180="-"),U180&lt;W180,OR(W180&lt;X180,X180="-"),OR(X180&lt;Z180,X180="-"),OR(Z180&lt;AA180,Z180="-"),AA180&lt;AC180,AC180&lt;AD180,AD180&lt;AF180,AF180&lt;AG180,AG180&lt;AI180,OR(AI180&lt;AJ180,AJ180="-"),OR(AJ180&lt;AL180,AJ180="-"))</f>
        <v>1</v>
      </c>
      <c r="AO180" s="3" t="str">
        <f>IF(ISERROR(MATCH(A180,'SegEnds_Xtal_Prot#'!B:B, 0)), "NoXtal", "Xtal")</f>
        <v>NoXtal</v>
      </c>
      <c r="AP180" s="3" t="str">
        <f>IF(ISERROR(F180-E180),"-",F180-E180)</f>
        <v>-</v>
      </c>
      <c r="AQ180" s="3" t="str">
        <f>IF(ISERROR(I180-H180),"-",I180-H180)</f>
        <v>-</v>
      </c>
      <c r="AR180" s="3" t="str">
        <f>IF(ISERROR(L180-K180),"-",L180-K180)</f>
        <v>-</v>
      </c>
      <c r="AS180" s="3" t="str">
        <f>IF(ISERROR(O180-N180),"-",O180-N180)</f>
        <v>-</v>
      </c>
      <c r="AT180" s="3">
        <f>IF(ISERROR(R180-Q180),"-",R180-Q180)</f>
        <v>1</v>
      </c>
      <c r="AU180" s="3">
        <f>IF(ISERROR(U180-T180),"-",U180-T180)</f>
        <v>1</v>
      </c>
      <c r="AV180" s="3" t="str">
        <f>IF(ISERROR(X180-W180),"-",X180-W180)</f>
        <v>-</v>
      </c>
      <c r="AW180" s="3" t="str">
        <f>IF(ISERROR(AA180-Z180),"-",AA180-Z180)</f>
        <v>-</v>
      </c>
      <c r="AX180" s="3">
        <f>IF(ISERROR(AD180-AC180),"-",AD180-AC180)</f>
        <v>5</v>
      </c>
      <c r="AY180" s="3">
        <f>IF(ISERROR(AG180-AF180),"-",AG180-AF180)</f>
        <v>5</v>
      </c>
      <c r="AZ180" s="3">
        <f>IF(ISERROR(AJ180-AI180),"-",AJ180-AI180)</f>
        <v>1</v>
      </c>
      <c r="BA180" s="3">
        <f>IF(ISERROR(LEN(VLOOKUP(A180,Seqs!A:E,2,FALSE))-AL180),"-",LEN(VLOOKUP(A180,Seqs!A:E,2,FALSE))-AL180)</f>
        <v>34</v>
      </c>
      <c r="BB180" s="16">
        <f>J180-D180</f>
        <v>27</v>
      </c>
      <c r="BC180" s="9">
        <f>IF(ISERROR(V180-S180),"-",V180-S180)</f>
        <v>20</v>
      </c>
      <c r="BD180" s="3">
        <f>J180-D180</f>
        <v>27</v>
      </c>
      <c r="BE180" s="3">
        <f>AE180-AB180</f>
        <v>43</v>
      </c>
    </row>
    <row r="181" spans="1:58" s="3" customFormat="1" x14ac:dyDescent="0.2">
      <c r="A181" s="3" t="s">
        <v>304</v>
      </c>
      <c r="B181" s="3" t="str">
        <f>LOWER(VLOOKUP(A181,Xtal_Templ!A:B,2,FALSE))</f>
        <v>agtr1_human</v>
      </c>
      <c r="C181" s="3">
        <f>VLOOKUP($A181,'SegEnds_NonXtal_BW#'!$A:$Z,3,FALSE)+D181-50</f>
        <v>10</v>
      </c>
      <c r="D181" s="3">
        <v>30</v>
      </c>
      <c r="E181" s="3">
        <f>IF(ISERROR(VLOOKUP($A181,'SegEnds_NonXtal_BW#'!$A:$Z,4,FALSE)+VLOOKUP($A181,A:AL,4,FALSE)-50),"-",(VLOOKUP($A181,'SegEnds_NonXtal_BW#'!$A:$Z,4,FALSE)+VLOOKUP($A181,A:AL,4,FALSE)-50))</f>
        <v>40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44</v>
      </c>
      <c r="J181" s="3">
        <v>57</v>
      </c>
      <c r="K181" s="3">
        <f>VLOOKUP($A181,'SegEnds_NonXtal_BW#'!$A:$Z,8,FALSE)+VLOOKUP($A181,A:AL,10,FALSE)-50</f>
        <v>70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79</v>
      </c>
      <c r="P181" s="3">
        <v>103</v>
      </c>
      <c r="Q181" s="3">
        <f>VLOOKUP($A181,'SegEnds_NonXtal_BW#'!$A:$Z,12,FALSE)+VLOOKUP($A181,A:AL,16,FALSE)-50</f>
        <v>109</v>
      </c>
      <c r="R181" s="3">
        <f>IF(ISERROR(VLOOKUP($A181,'SegEnds_NonXtal_BW#'!$A:$Z,13,FALSE)+VLOOKUP($A181,A:AL,19,FALSE)-50),"-",VLOOKUP($A181,'SegEnds_NonXtal_BW#'!$A:$Z,13,FALSE)+VLOOKUP($A181,A:AL,19,FALSE)-50)</f>
        <v>110</v>
      </c>
      <c r="S181" s="3">
        <v>110</v>
      </c>
      <c r="T181" s="103">
        <f>IF(ISERROR(VLOOKUP($A181,'SegEnds_NonXtal_BW#'!$A:$Z,14,FALSE)+VLOOKUP($A181,A:AL,19,FALSE)-50),"-",(VLOOKUP($A181,'SegEnds_NonXtal_BW#'!$A:$Z,14,FALSE)+VLOOKUP($A181,A:AL,19,FALSE)-50))</f>
        <v>117</v>
      </c>
      <c r="U181" s="9">
        <f>IF(ISERROR(VLOOKUP($A181,'SegEnds_NonXtal_BW#'!$A:$Z,15,FALSE)+VLOOKUP($A181,A:AL,22,FALSE)-50),"-",VLOOKUP($A181,'SegEnds_NonXtal_BW#'!$A:$Z,15,FALSE)+VLOOKUP($A181,A:AL,22,FALSE)-50)</f>
        <v>118</v>
      </c>
      <c r="V181" s="3">
        <v>130</v>
      </c>
      <c r="W181" s="3">
        <f>IF(ISERROR(VLOOKUP($A181,'SegEnds_NonXtal_BW#'!$A:$Z,16,FALSE)+VLOOKUP($A181,A:AL,22,FALSE)-50),"-",(VLOOKUP($A181,'SegEnds_NonXtal_BW#'!$A:$Z,16,FALSE)+VLOOKUP($A181,A:AL,22,FALSE)-50))</f>
        <v>144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156</v>
      </c>
      <c r="AB181" s="3">
        <v>172</v>
      </c>
      <c r="AC181" s="3">
        <f>IF(ISERROR((VLOOKUP($A181,'SegEnds_NonXtal_BW#'!$A:$Z,20,FALSE)+VLOOKUP($A181,A:AL,28,FALSE)-50)),"-",(VLOOKUP($A181,'SegEnds_NonXtal_BW#'!$A:$Z,20,FALSE)+VLOOKUP($A181,A:AL,28,FALSE)-50))</f>
        <v>189</v>
      </c>
      <c r="AD181" s="3">
        <f>IF(ISERROR(VLOOKUP($A181,'SegEnds_NonXtal_BW#'!$A:$Z,21,FALSE)+VLOOKUP($A181,A:AL,31,FALSE)-50),"-",(VLOOKUP($A181,'SegEnds_NonXtal_BW#'!$A:$Z,21,FALSE)+VLOOKUP($A181,A:AL,31,FALSE)-50))</f>
        <v>193</v>
      </c>
      <c r="AE181" s="3">
        <v>213</v>
      </c>
      <c r="AF181" s="3">
        <f>IF(ISERROR((VLOOKUP($A181,'SegEnds_NonXtal_BW#'!$A:$Z,22,FALSE)+VLOOKUP($A181,A:AL,31,FALSE)-50)),"-",(VLOOKUP($A181,'SegEnds_NonXtal_BW#'!$A:$Z,22,FALSE)+VLOOKUP($A181,A:AL,31,FALSE)-50))</f>
        <v>224</v>
      </c>
      <c r="AG181" s="3">
        <f>IF(ISERROR(VLOOKUP($A181,'SegEnds_NonXtal_BW#'!$A:$Z,23,FALSE)+VLOOKUP($A181,A:AL,34,FALSE)-50),"-",(VLOOKUP($A181,'SegEnds_NonXtal_BW#'!$A:$Z,23,FALSE)+VLOOKUP($A181,A:AL,34,FALSE)-50))</f>
        <v>229</v>
      </c>
      <c r="AH181" s="3">
        <v>247</v>
      </c>
      <c r="AI181" s="3">
        <f>IF(ISERROR((VLOOKUP($A181,'SegEnds_NonXtal_BW#'!$A:$Z,24,FALSE)+VLOOKUP($A181,A:AL,34,FALSE)-50)),"-",(VLOOKUP($A181,'SegEnds_NonXtal_BW#'!$A:$Z,24,FALSE)+VLOOKUP($A181,A:AL,34,FALSE)-50))</f>
        <v>253</v>
      </c>
      <c r="AJ181" s="3">
        <f>IF(ISERROR(VLOOKUP($A181,'SegEnds_NonXtal_BW#'!$A:$Z,25,FALSE)+VLOOKUP($A181,A:AL,37,FALSE)-50),"-",(VLOOKUP($A181,'SegEnds_NonXtal_BW#'!$A:$Z,25,FALSE)+VLOOKUP($A181,A:AL,37,FALSE)-50))</f>
        <v>254</v>
      </c>
      <c r="AK181" s="3">
        <v>257</v>
      </c>
      <c r="AL181" s="3">
        <f>IF(ISERROR((VLOOKUP($A181,'SegEnds_NonXtal_BW#'!$A:$Z,26,FALSE)+VLOOKUP($A181,A:AL,37,FALSE)-50)),"-",(VLOOKUP($A181,'SegEnds_NonXtal_BW#'!$A:$Z,26,FALSE)+VLOOKUP($A181,A:AL,37,FALSE)-50))</f>
        <v>268</v>
      </c>
      <c r="AM181" s="28" t="str">
        <f>VLOOKUP(A181,Classification!A:B,2,FALSE)</f>
        <v>A</v>
      </c>
      <c r="AN181" s="28" t="b">
        <f>AND(IF(Y181="-",IF(AA181-W181&gt;3,TRUE,FALSE),TRUE),IF(M181="-",IF(O181-K181&gt;3,TRUE,FALSE),TRUE),C181&lt;E181,OR(E181&lt;F181,F181="-"),OR(F181&lt;H181,F181="-"),OR(H181&lt;I181,H181="-"),I181&lt;K181,OR(K181&lt;L181,L181="-"),OR(L181&lt;N181,L181="-"),OR(N181&lt;O181,N181="-"),O181&lt;Q181,OR(Q181&lt;R181,R181="-"),OR(R181&lt;T181,R181="-"),OR(T181&lt;U181,T181="-"),U181&lt;W181,OR(W181&lt;X181,X181="-"),OR(X181&lt;Z181,X181="-"),OR(Z181&lt;AA181,Z181="-"),AA181&lt;AC181,AC181&lt;AD181,AD181&lt;AF181,AF181&lt;AG181,AG181&lt;AI181,OR(AI181&lt;AJ181,AJ181="-"),OR(AJ181&lt;AL181,AJ181="-"))</f>
        <v>1</v>
      </c>
      <c r="AO181" s="3" t="str">
        <f>IF(ISERROR(MATCH(A181,'SegEnds_Xtal_Prot#'!B:B, 0)), "NoXtal", "Xtal")</f>
        <v>NoXtal</v>
      </c>
      <c r="AP181" s="3" t="str">
        <f>IF(ISERROR(F181-E181),"-",F181-E181)</f>
        <v>-</v>
      </c>
      <c r="AQ181" s="3" t="str">
        <f>IF(ISERROR(I181-H181),"-",I181-H181)</f>
        <v>-</v>
      </c>
      <c r="AR181" s="3" t="str">
        <f>IF(ISERROR(L181-K181),"-",L181-K181)</f>
        <v>-</v>
      </c>
      <c r="AS181" s="3" t="str">
        <f>IF(ISERROR(O181-N181),"-",O181-N181)</f>
        <v>-</v>
      </c>
      <c r="AT181" s="3">
        <f>IF(ISERROR(R181-Q181),"-",R181-Q181)</f>
        <v>1</v>
      </c>
      <c r="AU181" s="3">
        <f>IF(ISERROR(U181-T181),"-",U181-T181)</f>
        <v>1</v>
      </c>
      <c r="AV181" s="3" t="str">
        <f>IF(ISERROR(X181-W181),"-",X181-W181)</f>
        <v>-</v>
      </c>
      <c r="AW181" s="3" t="str">
        <f>IF(ISERROR(AA181-Z181),"-",AA181-Z181)</f>
        <v>-</v>
      </c>
      <c r="AX181" s="3">
        <f>IF(ISERROR(AD181-AC181),"-",AD181-AC181)</f>
        <v>4</v>
      </c>
      <c r="AY181" s="3">
        <f>IF(ISERROR(AG181-AF181),"-",AG181-AF181)</f>
        <v>5</v>
      </c>
      <c r="AZ181" s="3">
        <f>IF(ISERROR(AJ181-AI181),"-",AJ181-AI181)</f>
        <v>1</v>
      </c>
      <c r="BA181" s="3">
        <f>IF(ISERROR(LEN(VLOOKUP(A181,Seqs!A:E,2,FALSE))-AL181),"-",LEN(VLOOKUP(A181,Seqs!A:E,2,FALSE))-AL181)</f>
        <v>21</v>
      </c>
      <c r="BB181" s="16">
        <f>J181-D181</f>
        <v>27</v>
      </c>
      <c r="BC181" s="9">
        <f>IF(ISERROR(V181-S181),"-",V181-S181)</f>
        <v>20</v>
      </c>
      <c r="BD181" s="3">
        <f>J181-D181</f>
        <v>27</v>
      </c>
      <c r="BE181" s="3">
        <f>AE181-AB181</f>
        <v>41</v>
      </c>
      <c r="BF181" s="3">
        <f>AH181-AE181</f>
        <v>34</v>
      </c>
    </row>
    <row r="182" spans="1:58" s="3" customFormat="1" x14ac:dyDescent="0.2">
      <c r="A182" s="3" t="s">
        <v>305</v>
      </c>
      <c r="B182" s="3" t="str">
        <f>LOWER(VLOOKUP(A182,Xtal_Templ!A:B,2,FALSE))</f>
        <v>agtr1_human</v>
      </c>
      <c r="C182" s="3">
        <f>VLOOKUP($A182,'SegEnds_NonXtal_BW#'!$A:$Z,3,FALSE)+D182-50</f>
        <v>25</v>
      </c>
      <c r="D182" s="3">
        <v>45</v>
      </c>
      <c r="E182" s="3">
        <f>IF(ISERROR(VLOOKUP($A182,'SegEnds_NonXtal_BW#'!$A:$Z,4,FALSE)+VLOOKUP($A182,A:AL,4,FALSE)-50),"-",(VLOOKUP($A182,'SegEnds_NonXtal_BW#'!$A:$Z,4,FALSE)+VLOOKUP($A182,A:AL,4,FALSE)-50))</f>
        <v>55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59</v>
      </c>
      <c r="J182" s="3">
        <v>72</v>
      </c>
      <c r="K182" s="3">
        <f>VLOOKUP($A182,'SegEnds_NonXtal_BW#'!$A:$Z,8,FALSE)+VLOOKUP($A182,A:AL,10,FALSE)-50</f>
        <v>88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94</v>
      </c>
      <c r="P182" s="3">
        <v>120</v>
      </c>
      <c r="Q182" s="3">
        <f>VLOOKUP($A182,'SegEnds_NonXtal_BW#'!$A:$Z,12,FALSE)+VLOOKUP($A182,A:AL,16,FALSE)-50</f>
        <v>126</v>
      </c>
      <c r="R182" s="3">
        <f>IF(ISERROR(VLOOKUP($A182,'SegEnds_NonXtal_BW#'!$A:$Z,13,FALSE)+VLOOKUP($A182,A:AL,19,FALSE)-50),"-",VLOOKUP($A182,'SegEnds_NonXtal_BW#'!$A:$Z,13,FALSE)+VLOOKUP($A182,A:AL,19,FALSE)-50)</f>
        <v>127</v>
      </c>
      <c r="S182" s="3">
        <v>127</v>
      </c>
      <c r="T182" s="103">
        <f>IF(ISERROR(VLOOKUP($A182,'SegEnds_NonXtal_BW#'!$A:$Z,14,FALSE)+VLOOKUP($A182,A:AL,19,FALSE)-50),"-",(VLOOKUP($A182,'SegEnds_NonXtal_BW#'!$A:$Z,14,FALSE)+VLOOKUP($A182,A:AL,19,FALSE)-50))</f>
        <v>134</v>
      </c>
      <c r="U182" s="9">
        <f>IF(ISERROR(VLOOKUP($A182,'SegEnds_NonXtal_BW#'!$A:$Z,15,FALSE)+VLOOKUP($A182,A:AL,22,FALSE)-50),"-",VLOOKUP($A182,'SegEnds_NonXtal_BW#'!$A:$Z,15,FALSE)+VLOOKUP($A182,A:AL,22,FALSE)-50)</f>
        <v>135</v>
      </c>
      <c r="V182" s="3">
        <v>147</v>
      </c>
      <c r="W182" s="3">
        <f>IF(ISERROR(VLOOKUP($A182,'SegEnds_NonXtal_BW#'!$A:$Z,16,FALSE)+VLOOKUP($A182,A:AL,22,FALSE)-50),"-",(VLOOKUP($A182,'SegEnds_NonXtal_BW#'!$A:$Z,16,FALSE)+VLOOKUP($A182,A:AL,22,FALSE)-50))</f>
        <v>161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173</v>
      </c>
      <c r="AB182" s="3">
        <v>189</v>
      </c>
      <c r="AC182" s="3">
        <f>IF(ISERROR((VLOOKUP($A182,'SegEnds_NonXtal_BW#'!$A:$Z,20,FALSE)+VLOOKUP($A182,A:AL,28,FALSE)-50)),"-",(VLOOKUP($A182,'SegEnds_NonXtal_BW#'!$A:$Z,20,FALSE)+VLOOKUP($A182,A:AL,28,FALSE)-50))</f>
        <v>207</v>
      </c>
      <c r="AD182" s="3">
        <f>IF(ISERROR(VLOOKUP($A182,'SegEnds_NonXtal_BW#'!$A:$Z,21,FALSE)+VLOOKUP($A182,A:AL,31,FALSE)-50),"-",(VLOOKUP($A182,'SegEnds_NonXtal_BW#'!$A:$Z,21,FALSE)+VLOOKUP($A182,A:AL,31,FALSE)-50))</f>
        <v>211</v>
      </c>
      <c r="AE182" s="3">
        <v>231</v>
      </c>
      <c r="AF182" s="3">
        <f>IF(ISERROR((VLOOKUP($A182,'SegEnds_NonXtal_BW#'!$A:$Z,22,FALSE)+VLOOKUP($A182,A:AL,31,FALSE)-50)),"-",(VLOOKUP($A182,'SegEnds_NonXtal_BW#'!$A:$Z,22,FALSE)+VLOOKUP($A182,A:AL,31,FALSE)-50))</f>
        <v>242</v>
      </c>
      <c r="AG182" s="3">
        <f>IF(ISERROR(VLOOKUP($A182,'SegEnds_NonXtal_BW#'!$A:$Z,23,FALSE)+VLOOKUP($A182,A:AL,34,FALSE)-50),"-",(VLOOKUP($A182,'SegEnds_NonXtal_BW#'!$A:$Z,23,FALSE)+VLOOKUP($A182,A:AL,34,FALSE)-50))</f>
        <v>247</v>
      </c>
      <c r="AH182" s="3">
        <v>269</v>
      </c>
      <c r="AI182" s="3">
        <f>IF(ISERROR((VLOOKUP($A182,'SegEnds_NonXtal_BW#'!$A:$Z,24,FALSE)+VLOOKUP($A182,A:AL,34,FALSE)-50)),"-",(VLOOKUP($A182,'SegEnds_NonXtal_BW#'!$A:$Z,24,FALSE)+VLOOKUP($A182,A:AL,34,FALSE)-50))</f>
        <v>275</v>
      </c>
      <c r="AJ182" s="3">
        <f>IF(ISERROR(VLOOKUP($A182,'SegEnds_NonXtal_BW#'!$A:$Z,25,FALSE)+VLOOKUP($A182,A:AL,37,FALSE)-50),"-",(VLOOKUP($A182,'SegEnds_NonXtal_BW#'!$A:$Z,25,FALSE)+VLOOKUP($A182,A:AL,37,FALSE)-50))</f>
        <v>276</v>
      </c>
      <c r="AK182" s="3">
        <v>279</v>
      </c>
      <c r="AL182" s="3">
        <f>IF(ISERROR((VLOOKUP($A182,'SegEnds_NonXtal_BW#'!$A:$Z,26,FALSE)+VLOOKUP($A182,A:AL,37,FALSE)-50)),"-",(VLOOKUP($A182,'SegEnds_NonXtal_BW#'!$A:$Z,26,FALSE)+VLOOKUP($A182,A:AL,37,FALSE)-50))</f>
        <v>290</v>
      </c>
      <c r="AM182" s="28" t="str">
        <f>VLOOKUP(A182,Classification!A:B,2,FALSE)</f>
        <v>A</v>
      </c>
      <c r="AN182" s="28" t="b">
        <f>AND(IF(Y182="-",IF(AA182-W182&gt;3,TRUE,FALSE),TRUE),IF(M182="-",IF(O182-K182&gt;3,TRUE,FALSE),TRUE),C182&lt;E182,OR(E182&lt;F182,F182="-"),OR(F182&lt;H182,F182="-"),OR(H182&lt;I182,H182="-"),I182&lt;K182,OR(K182&lt;L182,L182="-"),OR(L182&lt;N182,L182="-"),OR(N182&lt;O182,N182="-"),O182&lt;Q182,OR(Q182&lt;R182,R182="-"),OR(R182&lt;T182,R182="-"),OR(T182&lt;U182,T182="-"),U182&lt;W182,OR(W182&lt;X182,X182="-"),OR(X182&lt;Z182,X182="-"),OR(Z182&lt;AA182,Z182="-"),AA182&lt;AC182,AC182&lt;AD182,AD182&lt;AF182,AF182&lt;AG182,AG182&lt;AI182,OR(AI182&lt;AJ182,AJ182="-"),OR(AJ182&lt;AL182,AJ182="-"))</f>
        <v>1</v>
      </c>
      <c r="AO182" s="3" t="str">
        <f>IF(ISERROR(MATCH(A182,'SegEnds_Xtal_Prot#'!B:B, 0)), "NoXtal", "Xtal")</f>
        <v>NoXtal</v>
      </c>
      <c r="AP182" s="3" t="str">
        <f>IF(ISERROR(F182-E182),"-",F182-E182)</f>
        <v>-</v>
      </c>
      <c r="AQ182" s="3" t="str">
        <f>IF(ISERROR(I182-H182),"-",I182-H182)</f>
        <v>-</v>
      </c>
      <c r="AR182" s="3" t="str">
        <f>IF(ISERROR(L182-K182),"-",L182-K182)</f>
        <v>-</v>
      </c>
      <c r="AS182" s="3" t="str">
        <f>IF(ISERROR(O182-N182),"-",O182-N182)</f>
        <v>-</v>
      </c>
      <c r="AT182" s="3">
        <f>IF(ISERROR(R182-Q182),"-",R182-Q182)</f>
        <v>1</v>
      </c>
      <c r="AU182" s="3">
        <f>IF(ISERROR(U182-T182),"-",U182-T182)</f>
        <v>1</v>
      </c>
      <c r="AV182" s="3" t="str">
        <f>IF(ISERROR(X182-W182),"-",X182-W182)</f>
        <v>-</v>
      </c>
      <c r="AW182" s="3" t="str">
        <f>IF(ISERROR(AA182-Z182),"-",AA182-Z182)</f>
        <v>-</v>
      </c>
      <c r="AX182" s="3">
        <f>IF(ISERROR(AD182-AC182),"-",AD182-AC182)</f>
        <v>4</v>
      </c>
      <c r="AY182" s="3">
        <f>IF(ISERROR(AG182-AF182),"-",AG182-AF182)</f>
        <v>5</v>
      </c>
      <c r="AZ182" s="3">
        <f>IF(ISERROR(AJ182-AI182),"-",AJ182-AI182)</f>
        <v>1</v>
      </c>
      <c r="BA182" s="3">
        <f>IF(ISERROR(LEN(VLOOKUP(A182,Seqs!A:E,2,FALSE))-AL182),"-",LEN(VLOOKUP(A182,Seqs!A:E,2,FALSE))-AL182)</f>
        <v>32</v>
      </c>
      <c r="BB182" s="16">
        <f>J182-D182</f>
        <v>27</v>
      </c>
      <c r="BC182" s="9">
        <f>IF(ISERROR(V182-S182),"-",V182-S182)</f>
        <v>20</v>
      </c>
      <c r="BD182" s="3">
        <f>J182-D182</f>
        <v>27</v>
      </c>
      <c r="BE182" s="3">
        <f>AE182-AB182</f>
        <v>42</v>
      </c>
    </row>
    <row r="183" spans="1:58" s="3" customFormat="1" x14ac:dyDescent="0.2">
      <c r="A183" s="3" t="s">
        <v>306</v>
      </c>
      <c r="B183" s="3" t="str">
        <f>LOWER(VLOOKUP(A183,Xtal_Templ!A:B,2,FALSE))</f>
        <v>agtr1_human</v>
      </c>
      <c r="C183" s="3">
        <f>VLOOKUP($A183,'SegEnds_NonXtal_BW#'!$A:$Z,3,FALSE)+D183-50</f>
        <v>28</v>
      </c>
      <c r="D183" s="3">
        <v>48</v>
      </c>
      <c r="E183" s="3">
        <f>IF(ISERROR(VLOOKUP($A183,'SegEnds_NonXtal_BW#'!$A:$Z,4,FALSE)+VLOOKUP($A183,A:AL,4,FALSE)-50),"-",(VLOOKUP($A183,'SegEnds_NonXtal_BW#'!$A:$Z,4,FALSE)+VLOOKUP($A183,A:AL,4,FALSE)-50))</f>
        <v>58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62</v>
      </c>
      <c r="J183" s="3">
        <v>75</v>
      </c>
      <c r="K183" s="3">
        <f>VLOOKUP($A183,'SegEnds_NonXtal_BW#'!$A:$Z,8,FALSE)+VLOOKUP($A183,A:AL,10,FALSE)-50</f>
        <v>91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98</v>
      </c>
      <c r="P183" s="3">
        <v>127</v>
      </c>
      <c r="Q183" s="3">
        <f>VLOOKUP($A183,'SegEnds_NonXtal_BW#'!$A:$Z,12,FALSE)+VLOOKUP($A183,A:AL,16,FALSE)-50</f>
        <v>133</v>
      </c>
      <c r="R183" s="3">
        <f>IF(ISERROR(VLOOKUP($A183,'SegEnds_NonXtal_BW#'!$A:$Z,13,FALSE)+VLOOKUP($A183,A:AL,19,FALSE)-50),"-",VLOOKUP($A183,'SegEnds_NonXtal_BW#'!$A:$Z,13,FALSE)+VLOOKUP($A183,A:AL,19,FALSE)-50)</f>
        <v>134</v>
      </c>
      <c r="S183" s="3">
        <v>134</v>
      </c>
      <c r="T183" s="103">
        <f>IF(ISERROR(VLOOKUP($A183,'SegEnds_NonXtal_BW#'!$A:$Z,14,FALSE)+VLOOKUP($A183,A:AL,19,FALSE)-50),"-",(VLOOKUP($A183,'SegEnds_NonXtal_BW#'!$A:$Z,14,FALSE)+VLOOKUP($A183,A:AL,19,FALSE)-50))</f>
        <v>141</v>
      </c>
      <c r="U183" s="9">
        <f>IF(ISERROR(VLOOKUP($A183,'SegEnds_NonXtal_BW#'!$A:$Z,15,FALSE)+VLOOKUP($A183,A:AL,22,FALSE)-50),"-",VLOOKUP($A183,'SegEnds_NonXtal_BW#'!$A:$Z,15,FALSE)+VLOOKUP($A183,A:AL,22,FALSE)-50)</f>
        <v>142</v>
      </c>
      <c r="V183" s="3">
        <v>154</v>
      </c>
      <c r="W183" s="3">
        <f>IF(ISERROR(VLOOKUP($A183,'SegEnds_NonXtal_BW#'!$A:$Z,16,FALSE)+VLOOKUP($A183,A:AL,22,FALSE)-50),"-",(VLOOKUP($A183,'SegEnds_NonXtal_BW#'!$A:$Z,16,FALSE)+VLOOKUP($A183,A:AL,22,FALSE)-50))</f>
        <v>168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180</v>
      </c>
      <c r="AB183" s="3">
        <v>196</v>
      </c>
      <c r="AC183" s="3">
        <f>IF(ISERROR((VLOOKUP($A183,'SegEnds_NonXtal_BW#'!$A:$Z,20,FALSE)+VLOOKUP($A183,A:AL,28,FALSE)-50)),"-",(VLOOKUP($A183,'SegEnds_NonXtal_BW#'!$A:$Z,20,FALSE)+VLOOKUP($A183,A:AL,28,FALSE)-50))</f>
        <v>214</v>
      </c>
      <c r="AD183" s="3">
        <f>IF(ISERROR(VLOOKUP($A183,'SegEnds_NonXtal_BW#'!$A:$Z,21,FALSE)+VLOOKUP($A183,A:AL,31,FALSE)-50),"-",(VLOOKUP($A183,'SegEnds_NonXtal_BW#'!$A:$Z,21,FALSE)+VLOOKUP($A183,A:AL,31,FALSE)-50))</f>
        <v>218</v>
      </c>
      <c r="AE183" s="3">
        <v>238</v>
      </c>
      <c r="AF183" s="3">
        <f>IF(ISERROR((VLOOKUP($A183,'SegEnds_NonXtal_BW#'!$A:$Z,22,FALSE)+VLOOKUP($A183,A:AL,31,FALSE)-50)),"-",(VLOOKUP($A183,'SegEnds_NonXtal_BW#'!$A:$Z,22,FALSE)+VLOOKUP($A183,A:AL,31,FALSE)-50))</f>
        <v>249</v>
      </c>
      <c r="AG183" s="3">
        <f>IF(ISERROR(VLOOKUP($A183,'SegEnds_NonXtal_BW#'!$A:$Z,23,FALSE)+VLOOKUP($A183,A:AL,34,FALSE)-50),"-",(VLOOKUP($A183,'SegEnds_NonXtal_BW#'!$A:$Z,23,FALSE)+VLOOKUP($A183,A:AL,34,FALSE)-50))</f>
        <v>254</v>
      </c>
      <c r="AH183" s="3">
        <v>276</v>
      </c>
      <c r="AI183" s="3">
        <f>IF(ISERROR((VLOOKUP($A183,'SegEnds_NonXtal_BW#'!$A:$Z,24,FALSE)+VLOOKUP($A183,A:AL,34,FALSE)-50)),"-",(VLOOKUP($A183,'SegEnds_NonXtal_BW#'!$A:$Z,24,FALSE)+VLOOKUP($A183,A:AL,34,FALSE)-50))</f>
        <v>282</v>
      </c>
      <c r="AJ183" s="3">
        <f>IF(ISERROR(VLOOKUP($A183,'SegEnds_NonXtal_BW#'!$A:$Z,25,FALSE)+VLOOKUP($A183,A:AL,37,FALSE)-50),"-",(VLOOKUP($A183,'SegEnds_NonXtal_BW#'!$A:$Z,25,FALSE)+VLOOKUP($A183,A:AL,37,FALSE)-50))</f>
        <v>283</v>
      </c>
      <c r="AK183" s="3">
        <v>286</v>
      </c>
      <c r="AL183" s="3">
        <f>IF(ISERROR((VLOOKUP($A183,'SegEnds_NonXtal_BW#'!$A:$Z,26,FALSE)+VLOOKUP($A183,A:AL,37,FALSE)-50)),"-",(VLOOKUP($A183,'SegEnds_NonXtal_BW#'!$A:$Z,26,FALSE)+VLOOKUP($A183,A:AL,37,FALSE)-50))</f>
        <v>297</v>
      </c>
      <c r="AM183" s="28" t="str">
        <f>VLOOKUP(A183,Classification!A:B,2,FALSE)</f>
        <v>A</v>
      </c>
      <c r="AN183" s="28" t="b">
        <f>AND(IF(Y183="-",IF(AA183-W183&gt;3,TRUE,FALSE),TRUE),IF(M183="-",IF(O183-K183&gt;3,TRUE,FALSE),TRUE),C183&lt;E183,OR(E183&lt;F183,F183="-"),OR(F183&lt;H183,F183="-"),OR(H183&lt;I183,H183="-"),I183&lt;K183,OR(K183&lt;L183,L183="-"),OR(L183&lt;N183,L183="-"),OR(N183&lt;O183,N183="-"),O183&lt;Q183,OR(Q183&lt;R183,R183="-"),OR(R183&lt;T183,R183="-"),OR(T183&lt;U183,T183="-"),U183&lt;W183,OR(W183&lt;X183,X183="-"),OR(X183&lt;Z183,X183="-"),OR(Z183&lt;AA183,Z183="-"),AA183&lt;AC183,AC183&lt;AD183,AD183&lt;AF183,AF183&lt;AG183,AG183&lt;AI183,OR(AI183&lt;AJ183,AJ183="-"),OR(AJ183&lt;AL183,AJ183="-"))</f>
        <v>1</v>
      </c>
      <c r="AO183" s="3" t="str">
        <f>IF(ISERROR(MATCH(A183,'SegEnds_Xtal_Prot#'!B:B, 0)), "NoXtal", "Xtal")</f>
        <v>NoXtal</v>
      </c>
      <c r="AP183" s="3" t="str">
        <f>IF(ISERROR(F183-E183),"-",F183-E183)</f>
        <v>-</v>
      </c>
      <c r="AQ183" s="3" t="str">
        <f>IF(ISERROR(I183-H183),"-",I183-H183)</f>
        <v>-</v>
      </c>
      <c r="AR183" s="3" t="str">
        <f>IF(ISERROR(L183-K183),"-",L183-K183)</f>
        <v>-</v>
      </c>
      <c r="AS183" s="3" t="str">
        <f>IF(ISERROR(O183-N183),"-",O183-N183)</f>
        <v>-</v>
      </c>
      <c r="AT183" s="3">
        <f>IF(ISERROR(R183-Q183),"-",R183-Q183)</f>
        <v>1</v>
      </c>
      <c r="AU183" s="3">
        <f>IF(ISERROR(U183-T183),"-",U183-T183)</f>
        <v>1</v>
      </c>
      <c r="AV183" s="3" t="str">
        <f>IF(ISERROR(X183-W183),"-",X183-W183)</f>
        <v>-</v>
      </c>
      <c r="AW183" s="3" t="str">
        <f>IF(ISERROR(AA183-Z183),"-",AA183-Z183)</f>
        <v>-</v>
      </c>
      <c r="AX183" s="3">
        <f>IF(ISERROR(AD183-AC183),"-",AD183-AC183)</f>
        <v>4</v>
      </c>
      <c r="AY183" s="3">
        <f>IF(ISERROR(AG183-AF183),"-",AG183-AF183)</f>
        <v>5</v>
      </c>
      <c r="AZ183" s="3">
        <f>IF(ISERROR(AJ183-AI183),"-",AJ183-AI183)</f>
        <v>1</v>
      </c>
      <c r="BA183" s="3">
        <f>IF(ISERROR(LEN(VLOOKUP(A183,Seqs!A:E,2,FALSE))-AL183),"-",LEN(VLOOKUP(A183,Seqs!A:E,2,FALSE))-AL183)</f>
        <v>33</v>
      </c>
      <c r="BB183" s="16">
        <f>J183-D183</f>
        <v>27</v>
      </c>
      <c r="BC183" s="9">
        <f>IF(ISERROR(V183-S183),"-",V183-S183)</f>
        <v>20</v>
      </c>
      <c r="BD183" s="3">
        <f>J183-D183</f>
        <v>27</v>
      </c>
      <c r="BE183" s="3">
        <f>AE183-AB183</f>
        <v>42</v>
      </c>
    </row>
    <row r="184" spans="1:58" s="3" customFormat="1" x14ac:dyDescent="0.2">
      <c r="A184" s="3" t="s">
        <v>307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>AND(IF(Y184="-",IF(AA184-W184&gt;3,TRUE,FALSE),TRUE),IF(M184="-",IF(O184-K184&gt;3,TRUE,FALSE),TRUE),C184&lt;E184,OR(E184&lt;F184,F184="-"),OR(F184&lt;H184,F184="-"),OR(H184&lt;I184,H184="-"),I184&lt;K184,OR(K184&lt;L184,L184="-"),OR(L184&lt;N184,L184="-"),OR(N184&lt;O184,N184="-"),O184&lt;Q184,OR(Q184&lt;R184,R184="-"),OR(R184&lt;T184,R184="-"),OR(T184&lt;U184,T184="-"),U184&lt;W184,OR(W184&lt;X184,X184="-"),OR(X184&lt;Z184,X184="-"),OR(Z184&lt;AA184,Z184="-"),AA184&lt;AC184,AC184&lt;AD184,AD184&lt;AF184,AF184&lt;AG184,AG184&lt;AI184,OR(AI184&lt;AJ184,AJ184="-"),OR(AJ184&lt;AL184,AJ184="-"))</f>
        <v>1</v>
      </c>
      <c r="AO184" s="3" t="str">
        <f>IF(ISERROR(MATCH(A184,'SegEnds_Xtal_Prot#'!B:B, 0)), "NoXtal", "Xtal")</f>
        <v>NoXtal</v>
      </c>
      <c r="AP184" s="3" t="str">
        <f>IF(ISERROR(F184-E184),"-",F184-E184)</f>
        <v>-</v>
      </c>
      <c r="AQ184" s="3" t="str">
        <f>IF(ISERROR(I184-H184),"-",I184-H184)</f>
        <v>-</v>
      </c>
      <c r="AR184" s="3" t="str">
        <f>IF(ISERROR(L184-K184),"-",L184-K184)</f>
        <v>-</v>
      </c>
      <c r="AS184" s="3" t="str">
        <f>IF(ISERROR(O184-N184),"-",O184-N184)</f>
        <v>-</v>
      </c>
      <c r="AT184" s="3">
        <f>IF(ISERROR(R184-Q184),"-",R184-Q184)</f>
        <v>1</v>
      </c>
      <c r="AU184" s="3">
        <f>IF(ISERROR(U184-T184),"-",U184-T184)</f>
        <v>1</v>
      </c>
      <c r="AV184" s="3" t="str">
        <f>IF(ISERROR(X184-W184),"-",X184-W184)</f>
        <v>-</v>
      </c>
      <c r="AW184" s="3" t="str">
        <f>IF(ISERROR(AA184-Z184),"-",AA184-Z184)</f>
        <v>-</v>
      </c>
      <c r="AX184" s="3">
        <f>IF(ISERROR(AD184-AC184),"-",AD184-AC184)</f>
        <v>4</v>
      </c>
      <c r="AY184" s="3">
        <f>IF(ISERROR(AG184-AF184),"-",AG184-AF184)</f>
        <v>5</v>
      </c>
      <c r="AZ184" s="3">
        <f>IF(ISERROR(AJ184-AI184),"-",AJ184-AI184)</f>
        <v>1</v>
      </c>
      <c r="BA184" s="3">
        <f>IF(ISERROR(LEN(VLOOKUP(A184,Seqs!A:E,2,FALSE))-AL184),"-",LEN(VLOOKUP(A184,Seqs!A:E,2,FALSE))-AL184)</f>
        <v>32</v>
      </c>
      <c r="BB184" s="16">
        <f>J184-D184</f>
        <v>27</v>
      </c>
      <c r="BC184" s="9">
        <f>IF(ISERROR(V184-S184),"-",V184-S184)</f>
        <v>20</v>
      </c>
      <c r="BD184" s="3">
        <f>J184-D184</f>
        <v>27</v>
      </c>
      <c r="BE184" s="3">
        <f>AE184-AB184</f>
        <v>42</v>
      </c>
    </row>
    <row r="185" spans="1:58" s="3" customFormat="1" x14ac:dyDescent="0.2">
      <c r="A185" s="3" t="s">
        <v>308</v>
      </c>
      <c r="B185" s="3" t="str">
        <f>LOWER(VLOOKUP(A185,Xtal_Templ!A:B,2,FALSE))</f>
        <v>oprm_mouse</v>
      </c>
      <c r="C185" s="3">
        <f>VLOOKUP($A185,'SegEnds_NonXtal_BW#'!$A:$Z,3,FALSE)+D185-50</f>
        <v>24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3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170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247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288</v>
      </c>
      <c r="AM185" s="28" t="str">
        <f>VLOOKUP(A185,Classification!A:B,2,FALSE)</f>
        <v>A</v>
      </c>
      <c r="AN185" s="28" t="b">
        <f>AND(IF(Y185="-",IF(AA185-W185&gt;3,TRUE,FALSE),TRUE),IF(M185="-",IF(O185-K185&gt;3,TRUE,FALSE),TRUE),C185&lt;E185,OR(E185&lt;F185,F185="-"),OR(F185&lt;H185,F185="-"),OR(H185&lt;I185,H185="-"),I185&lt;K185,OR(K185&lt;L185,L185="-"),OR(L185&lt;N185,L185="-"),OR(N185&lt;O185,N185="-"),O185&lt;Q185,OR(Q185&lt;R185,R185="-"),OR(R185&lt;T185,R185="-"),OR(T185&lt;U185,T185="-"),U185&lt;W185,OR(W185&lt;X185,X185="-"),OR(X185&lt;Z185,X185="-"),OR(Z185&lt;AA185,Z185="-"),AA185&lt;AC185,AC185&lt;AD185,AD185&lt;AF185,AF185&lt;AG185,AG185&lt;AI185,OR(AI185&lt;AJ185,AJ185="-"),OR(AJ185&lt;AL185,AJ185="-"))</f>
        <v>1</v>
      </c>
      <c r="AO185" s="3" t="str">
        <f>IF(ISERROR(MATCH(A185,'SegEnds_Xtal_Prot#'!B:B, 0)), "NoXtal", "Xtal")</f>
        <v>NoXtal</v>
      </c>
      <c r="AP185" s="3" t="str">
        <f>IF(ISERROR(F185-E185),"-",F185-E185)</f>
        <v>-</v>
      </c>
      <c r="AQ185" s="3" t="str">
        <f>IF(ISERROR(I185-H185),"-",I185-H185)</f>
        <v>-</v>
      </c>
      <c r="AR185" s="3" t="str">
        <f>IF(ISERROR(L185-K185),"-",L185-K185)</f>
        <v>-</v>
      </c>
      <c r="AS185" s="3" t="str">
        <f>IF(ISERROR(O185-N185),"-",O185-N185)</f>
        <v>-</v>
      </c>
      <c r="AT185" s="3">
        <f>IF(ISERROR(R185-Q185),"-",R185-Q185)</f>
        <v>1</v>
      </c>
      <c r="AU185" s="3">
        <f>IF(ISERROR(U185-T185),"-",U185-T185)</f>
        <v>1</v>
      </c>
      <c r="AV185" s="3" t="str">
        <f>IF(ISERROR(X185-W185),"-",X185-W185)</f>
        <v>-</v>
      </c>
      <c r="AW185" s="3" t="str">
        <f>IF(ISERROR(AA185-Z185),"-",AA185-Z185)</f>
        <v>-</v>
      </c>
      <c r="AX185" s="3">
        <f>IF(ISERROR(AD185-AC185),"-",AD185-AC185)</f>
        <v>4</v>
      </c>
      <c r="AY185" s="3">
        <f>IF(ISERROR(AG185-AF185),"-",AG185-AF185)</f>
        <v>5</v>
      </c>
      <c r="AZ185" s="3">
        <f>IF(ISERROR(AJ185-AI185),"-",AJ185-AI185)</f>
        <v>1</v>
      </c>
      <c r="BA185" s="3">
        <f>IF(ISERROR(LEN(VLOOKUP(A185,Seqs!A:E,2,FALSE))-AL185),"-",LEN(VLOOKUP(A185,Seqs!A:E,2,FALSE))-AL185)</f>
        <v>34</v>
      </c>
      <c r="BB185" s="16">
        <f>J185-D185</f>
        <v>27</v>
      </c>
      <c r="BC185" s="9">
        <f>IF(ISERROR(V185-S185),"-",V185-S185)</f>
        <v>20</v>
      </c>
      <c r="BD185" s="3">
        <f>J185-D185</f>
        <v>27</v>
      </c>
      <c r="BE185" s="3">
        <f>AE185-AB185</f>
        <v>42</v>
      </c>
    </row>
    <row r="186" spans="1:58" s="3" customFormat="1" x14ac:dyDescent="0.2">
      <c r="A186" s="3" t="s">
        <v>309</v>
      </c>
      <c r="B186" s="3" t="str">
        <f>LOWER(VLOOKUP(A186,Xtal_Templ!A:B,2,FALSE))</f>
        <v>s1pr1_human</v>
      </c>
      <c r="C186" s="3">
        <f>VLOOKUP($A186,'SegEnds_NonXtal_BW#'!$A:$Z,3,FALSE)+D186-50</f>
        <v>35</v>
      </c>
      <c r="D186" s="3">
        <v>56</v>
      </c>
      <c r="E186" s="3">
        <f>IF(ISERROR(VLOOKUP($A186,'SegEnds_NonXtal_BW#'!$A:$Z,4,FALSE)+VLOOKUP($A186,A:AL,4,FALSE)-50),"-",(VLOOKUP($A186,'SegEnds_NonXtal_BW#'!$A:$Z,4,FALSE)+VLOOKUP($A186,A:AL,4,FALSE)-50))</f>
        <v>66</v>
      </c>
      <c r="F186" s="3">
        <f>G186-2</f>
        <v>67</v>
      </c>
      <c r="G186" s="3">
        <v>69</v>
      </c>
      <c r="H186" s="3">
        <f>G186+1</f>
        <v>70</v>
      </c>
      <c r="I186" s="3">
        <f>H186+1</f>
        <v>71</v>
      </c>
      <c r="J186" s="3">
        <v>84</v>
      </c>
      <c r="K186" s="3">
        <f>VLOOKUP($A186,'SegEnds_NonXtal_BW#'!$A:$Z,8,FALSE)+VLOOKUP($A186,A:AL,10,FALSE)-50</f>
        <v>101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110</v>
      </c>
      <c r="P186" s="3">
        <v>142</v>
      </c>
      <c r="Q186" s="3">
        <f>VLOOKUP($A186,'SegEnds_NonXtal_BW#'!$A:$Z,12,FALSE)+VLOOKUP($A186,A:AL,16,FALSE)-50</f>
        <v>148</v>
      </c>
      <c r="R186" s="3">
        <f>S186</f>
        <v>149</v>
      </c>
      <c r="S186" s="3">
        <v>149</v>
      </c>
      <c r="T186" s="103">
        <f>S186+7</f>
        <v>156</v>
      </c>
      <c r="U186" s="9">
        <f>IF(ISERROR(VLOOKUP($A186,'SegEnds_NonXtal_BW#'!$A:$Z,15,FALSE)+VLOOKUP($A186,A:AL,22,FALSE)-50),"-",VLOOKUP($A186,'SegEnds_NonXtal_BW#'!$A:$Z,15,FALSE)+VLOOKUP($A186,A:AL,22,FALSE)-50)</f>
        <v>157</v>
      </c>
      <c r="V186" s="3">
        <v>169</v>
      </c>
      <c r="W186" s="3">
        <f>IF(ISERROR(VLOOKUP($A186,'SegEnds_NonXtal_BW#'!$A:$Z,16,FALSE)+VLOOKUP($A186,A:AL,22,FALSE)-50),"-",(VLOOKUP($A186,'SegEnds_NonXtal_BW#'!$A:$Z,16,FALSE)+VLOOKUP($A186,A:AL,22,FALSE)-50))</f>
        <v>182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192</v>
      </c>
      <c r="AB186" s="9">
        <v>209</v>
      </c>
      <c r="AC186" s="3">
        <f>IF(ISERROR((VLOOKUP($A186,'SegEnds_NonXtal_BW#'!$A:$Z,20,FALSE)+VLOOKUP($A186,A:AL,28,FALSE)-50)),"-",(VLOOKUP($A186,'SegEnds_NonXtal_BW#'!$A:$Z,20,FALSE)+VLOOKUP($A186,A:AL,28,FALSE)-50))</f>
        <v>226</v>
      </c>
      <c r="AD186" s="3">
        <f>IF(ISERROR(VLOOKUP($A186,'SegEnds_NonXtal_BW#'!$A:$Z,21,FALSE)+VLOOKUP($A186,A:AL,31,FALSE)-50),"-",(VLOOKUP($A186,'SegEnds_NonXtal_BW#'!$A:$Z,21,FALSE)+VLOOKUP($A186,A:AL,31,FALSE)-50))</f>
        <v>233</v>
      </c>
      <c r="AE186" s="3">
        <v>256</v>
      </c>
      <c r="AF186" s="3">
        <f>IF(ISERROR((VLOOKUP($A186,'SegEnds_NonXtal_BW#'!$A:$Z,22,FALSE)+VLOOKUP($A186,A:AL,31,FALSE)-50)),"-",(VLOOKUP($A186,'SegEnds_NonXtal_BW#'!$A:$Z,22,FALSE)+VLOOKUP($A186,A:AL,31,FALSE)-50))</f>
        <v>267</v>
      </c>
      <c r="AG186" s="3">
        <f>IF(ISERROR(VLOOKUP($A186,'SegEnds_NonXtal_BW#'!$A:$Z,23,FALSE)+VLOOKUP($A186,A:AL,34,FALSE)-50),"-",(VLOOKUP($A186,'SegEnds_NonXtal_BW#'!$A:$Z,23,FALSE)+VLOOKUP($A186,A:AL,34,FALSE)-50))</f>
        <v>273</v>
      </c>
      <c r="AH186" s="3">
        <v>295</v>
      </c>
      <c r="AI186" s="3">
        <f>IF(ISERROR((VLOOKUP($A186,'SegEnds_NonXtal_BW#'!$A:$Z,24,FALSE)+VLOOKUP($A186,A:AL,34,FALSE)-50)),"-",(VLOOKUP($A186,'SegEnds_NonXtal_BW#'!$A:$Z,24,FALSE)+VLOOKUP($A186,A:AL,34,FALSE)-50))</f>
        <v>301</v>
      </c>
      <c r="AJ186" s="3">
        <f>IF(ISERROR(VLOOKUP($A186,'SegEnds_NonXtal_BW#'!$A:$Z,25,FALSE)+VLOOKUP($A186,A:AL,37,FALSE)-50),"-",(VLOOKUP($A186,'SegEnds_NonXtal_BW#'!$A:$Z,25,FALSE)+VLOOKUP($A186,A:AL,37,FALSE)-50))</f>
        <v>302</v>
      </c>
      <c r="AK186" s="3">
        <v>305</v>
      </c>
      <c r="AL186" s="3">
        <f>IF(ISERROR((VLOOKUP($A186,'SegEnds_NonXtal_BW#'!$A:$Z,26,FALSE)+VLOOKUP($A186,A:AL,37,FALSE)-50)),"-",(VLOOKUP($A186,'SegEnds_NonXtal_BW#'!$A:$Z,26,FALSE)+VLOOKUP($A186,A:AL,37,FALSE)-50))</f>
        <v>314</v>
      </c>
      <c r="AM186" s="28" t="str">
        <f>VLOOKUP(A186,Classification!A:B,2,FALSE)</f>
        <v>A</v>
      </c>
      <c r="AN186" s="28" t="b">
        <f>AND(IF(Y186="-",IF(AA186-W186&gt;3,TRUE,FALSE),TRUE),IF(M186="-",IF(O186-K186&gt;3,TRUE,FALSE),TRUE),C186&lt;E186,OR(E186&lt;F186,F186="-"),OR(F186&lt;H186,F186="-"),OR(H186&lt;I186,H186="-"),I186&lt;K186,OR(K186&lt;L186,L186="-"),OR(L186&lt;N186,L186="-"),OR(N186&lt;O186,N186="-"),O186&lt;Q186,OR(Q186&lt;R186,R186="-"),OR(R186&lt;T186,R186="-"),OR(T186&lt;U186,T186="-"),U186&lt;W186,OR(W186&lt;X186,X186="-"),OR(X186&lt;Z186,X186="-"),OR(Z186&lt;AA186,Z186="-"),AA186&lt;AC186,AC186&lt;AD186,AD186&lt;AF186,AF186&lt;AG186,AG186&lt;AI186,OR(AI186&lt;AJ186,AJ186="-"),OR(AJ186&lt;AL186,AJ186="-"))</f>
        <v>1</v>
      </c>
      <c r="AO186" s="3" t="str">
        <f>IF(ISERROR(MATCH(A186,'SegEnds_Xtal_Prot#'!B:B, 0)), "NoXtal", "Xtal")</f>
        <v>NoXtal</v>
      </c>
      <c r="AP186" s="3">
        <f>IF(ISERROR(F186-E186),"-",F186-E186)</f>
        <v>1</v>
      </c>
      <c r="AQ186" s="3">
        <f>IF(ISERROR(I186-H186),"-",I186-H186)</f>
        <v>1</v>
      </c>
      <c r="AR186" s="3" t="str">
        <f>IF(ISERROR(L186-K186),"-",L186-K186)</f>
        <v>-</v>
      </c>
      <c r="AS186" s="3" t="str">
        <f>IF(ISERROR(O186-N186),"-",O186-N186)</f>
        <v>-</v>
      </c>
      <c r="AT186" s="3">
        <f>IF(ISERROR(R186-Q186),"-",R186-Q186)</f>
        <v>1</v>
      </c>
      <c r="AU186" s="3">
        <f>IF(ISERROR(U186-T186),"-",U186-T186)</f>
        <v>1</v>
      </c>
      <c r="AV186" s="3" t="str">
        <f>IF(ISERROR(X186-W186),"-",X186-W186)</f>
        <v>-</v>
      </c>
      <c r="AW186" s="3" t="str">
        <f>IF(ISERROR(AA186-Z186),"-",AA186-Z186)</f>
        <v>-</v>
      </c>
      <c r="AX186" s="3">
        <f>IF(ISERROR(AD186-AC186),"-",AD186-AC186)</f>
        <v>7</v>
      </c>
      <c r="AY186" s="3">
        <f>IF(ISERROR(AG186-AF186),"-",AG186-AF186)</f>
        <v>6</v>
      </c>
      <c r="AZ186" s="3">
        <f>IF(ISERROR(AJ186-AI186),"-",AJ186-AI186)</f>
        <v>1</v>
      </c>
      <c r="BA186" s="3">
        <f>IF(ISERROR(LEN(VLOOKUP(A186,Seqs!A:E,2,FALSE))-AL186),"-",LEN(VLOOKUP(A186,Seqs!A:E,2,FALSE))-AL186)</f>
        <v>3</v>
      </c>
      <c r="BB186" s="16">
        <f>J186-D186</f>
        <v>28</v>
      </c>
      <c r="BC186" s="9">
        <f>IF(ISERROR(V186-S186),"-",V186-S186)</f>
        <v>20</v>
      </c>
      <c r="BD186" s="3">
        <f>J186-D186</f>
        <v>28</v>
      </c>
      <c r="BE186" s="3">
        <f>AE186-AB186</f>
        <v>47</v>
      </c>
      <c r="BF186" s="3">
        <f>AH186-AE186</f>
        <v>39</v>
      </c>
    </row>
    <row r="187" spans="1:58" s="3" customFormat="1" x14ac:dyDescent="0.2">
      <c r="A187" s="3" t="s">
        <v>310</v>
      </c>
      <c r="B187" s="3" t="str">
        <f>LOWER(VLOOKUP(A187,Xtal_Templ!A:B,2,FALSE))</f>
        <v>ntr1_rat</v>
      </c>
      <c r="C187" s="3">
        <f>VLOOKUP($A187,'SegEnds_NonXtal_BW#'!$A:$Z,3,FALSE)+D187-50</f>
        <v>35</v>
      </c>
      <c r="D187" s="3">
        <v>56</v>
      </c>
      <c r="E187" s="3">
        <f>IF(ISERROR(VLOOKUP($A187,'SegEnds_NonXtal_BW#'!$A:$Z,4,FALSE)+VLOOKUP($A187,A:AL,4,FALSE)-50),"-",(VLOOKUP($A187,'SegEnds_NonXtal_BW#'!$A:$Z,4,FALSE)+VLOOKUP($A187,A:AL,4,FALSE)-50))</f>
        <v>66</v>
      </c>
      <c r="F187" s="3">
        <f>G187-2</f>
        <v>67</v>
      </c>
      <c r="G187" s="3">
        <v>69</v>
      </c>
      <c r="H187" s="3">
        <f>G187+1</f>
        <v>70</v>
      </c>
      <c r="I187" s="3">
        <f>H187+1</f>
        <v>71</v>
      </c>
      <c r="J187" s="3">
        <v>84</v>
      </c>
      <c r="K187" s="3">
        <f>VLOOKUP($A187,'SegEnds_NonXtal_BW#'!$A:$Z,8,FALSE)+VLOOKUP($A187,A:AL,10,FALSE)-50</f>
        <v>101</v>
      </c>
      <c r="L187" s="3">
        <f>M187-1</f>
        <v>103</v>
      </c>
      <c r="M187" s="3">
        <v>104</v>
      </c>
      <c r="N187" s="3">
        <f>M187+2</f>
        <v>106</v>
      </c>
      <c r="O187" s="3">
        <f>N187+1</f>
        <v>107</v>
      </c>
      <c r="P187" s="3">
        <v>136</v>
      </c>
      <c r="Q187" s="3">
        <f>VLOOKUP($A187,'SegEnds_NonXtal_BW#'!$A:$Z,12,FALSE)+VLOOKUP($A187,A:AL,16,FALSE)-50</f>
        <v>142</v>
      </c>
      <c r="R187" s="3">
        <f>IF(ISERROR(VLOOKUP($A187,'SegEnds_NonXtal_BW#'!$A:$Z,13,FALSE)+VLOOKUP($A187,A:AL,19,FALSE)-50),"-",VLOOKUP($A187,'SegEnds_NonXtal_BW#'!$A:$Z,13,FALSE)+VLOOKUP($A187,A:AL,19,FALSE)-50)</f>
        <v>143</v>
      </c>
      <c r="S187" s="3">
        <v>143</v>
      </c>
      <c r="T187" s="103">
        <f>IF(ISERROR(VLOOKUP($A187,'SegEnds_NonXtal_BW#'!$A:$Z,14,FALSE)+VLOOKUP($A187,A:AL,19,FALSE)-50),"-",(VLOOKUP($A187,'SegEnds_NonXtal_BW#'!$A:$Z,14,FALSE)+VLOOKUP($A187,A:AL,19,FALSE)-50))</f>
        <v>150</v>
      </c>
      <c r="U187" s="9">
        <f>IF(ISERROR(VLOOKUP($A187,'SegEnds_NonXtal_BW#'!$A:$Z,15,FALSE)+VLOOKUP($A187,A:AL,22,FALSE)-50),"-",VLOOKUP($A187,'SegEnds_NonXtal_BW#'!$A:$Z,15,FALSE)+VLOOKUP($A187,A:AL,22,FALSE)-50)</f>
        <v>151</v>
      </c>
      <c r="V187" s="3">
        <v>163</v>
      </c>
      <c r="W187" s="3">
        <f>IF(ISERROR(VLOOKUP($A187,'SegEnds_NonXtal_BW#'!$A:$Z,16,FALSE)+VLOOKUP($A187,A:AL,22,FALSE)-50),"-",(VLOOKUP($A187,'SegEnds_NonXtal_BW#'!$A:$Z,16,FALSE)+VLOOKUP($A187,A:AL,22,FALSE)-50))</f>
        <v>177</v>
      </c>
      <c r="X187" s="3">
        <f>IF(ISERROR(VLOOKUP($A187,'SegEnds_NonXtal_BW#'!$A:$Z,17,FALSE)+VLOOKUP($A187,A:AL,25,FALSE)-50),"-",(VLOOKUP($A187,'SegEnds_NonXtal_BW#'!$A:$Z,17,FALSE)+VLOOKUP($A187,A:AL,25,FALSE)-50))</f>
        <v>235</v>
      </c>
      <c r="Y187" s="3">
        <v>235</v>
      </c>
      <c r="Z187" s="3">
        <f>Y187+2</f>
        <v>237</v>
      </c>
      <c r="AA187" s="3">
        <f>IF(ISERROR(VLOOKUP($A187,'SegEnds_NonXtal_BW#'!$A:$Z,19,FALSE)+VLOOKUP($A187,A:AL,28,FALSE)-50),"-",(VLOOKUP($A187,'SegEnds_NonXtal_BW#'!$A:$Z,19,FALSE)+VLOOKUP($A187,A:AL,28,FALSE)-50))</f>
        <v>241</v>
      </c>
      <c r="AB187" s="3">
        <v>259</v>
      </c>
      <c r="AC187" s="3">
        <f>IF(ISERROR((VLOOKUP($A187,'SegEnds_NonXtal_BW#'!$A:$Z,20,FALSE)+VLOOKUP($A187,A:AL,28,FALSE)-50)),"-",(VLOOKUP($A187,'SegEnds_NonXtal_BW#'!$A:$Z,20,FALSE)+VLOOKUP($A187,A:AL,28,FALSE)-50))</f>
        <v>281</v>
      </c>
      <c r="AD187" s="3">
        <f>IF(ISERROR(VLOOKUP($A187,'SegEnds_NonXtal_BW#'!$A:$Z,21,FALSE)+VLOOKUP($A187,A:AL,31,FALSE)-50),"-",(VLOOKUP($A187,'SegEnds_NonXtal_BW#'!$A:$Z,21,FALSE)+VLOOKUP($A187,A:AL,31,FALSE)-50))</f>
        <v>287</v>
      </c>
      <c r="AE187" s="3">
        <v>313</v>
      </c>
      <c r="AF187" s="3">
        <f>IF(ISERROR((VLOOKUP($A187,'SegEnds_NonXtal_BW#'!$A:$Z,22,FALSE)+VLOOKUP($A187,A:AL,31,FALSE)-50)),"-",(VLOOKUP($A187,'SegEnds_NonXtal_BW#'!$A:$Z,22,FALSE)+VLOOKUP($A187,A:AL,31,FALSE)-50))</f>
        <v>324</v>
      </c>
      <c r="AG187" s="3">
        <f>IF(ISERROR(VLOOKUP($A187,'SegEnds_NonXtal_BW#'!$A:$Z,23,FALSE)+VLOOKUP($A187,A:AL,34,FALSE)-50),"-",(VLOOKUP($A187,'SegEnds_NonXtal_BW#'!$A:$Z,23,FALSE)+VLOOKUP($A187,A:AL,34,FALSE)-50))</f>
        <v>330</v>
      </c>
      <c r="AH187" s="3">
        <v>352</v>
      </c>
      <c r="AI187" s="3">
        <f>IF(ISERROR((VLOOKUP($A187,'SegEnds_NonXtal_BW#'!$A:$Z,24,FALSE)+VLOOKUP($A187,A:AL,34,FALSE)-50)),"-",(VLOOKUP($A187,'SegEnds_NonXtal_BW#'!$A:$Z,24,FALSE)+VLOOKUP($A187,A:AL,34,FALSE)-50))</f>
        <v>358</v>
      </c>
      <c r="AJ187" s="3">
        <f>IF(ISERROR(VLOOKUP($A187,'SegEnds_NonXtal_BW#'!$A:$Z,25,FALSE)+VLOOKUP($A187,A:AL,37,FALSE)-50),"-",(VLOOKUP($A187,'SegEnds_NonXtal_BW#'!$A:$Z,25,FALSE)+VLOOKUP($A187,A:AL,37,FALSE)-50))</f>
        <v>359</v>
      </c>
      <c r="AK187" s="3">
        <v>362</v>
      </c>
      <c r="AL187" s="3">
        <f>IF(ISERROR((VLOOKUP($A187,'SegEnds_NonXtal_BW#'!$A:$Z,26,FALSE)+VLOOKUP($A187,A:AL,37,FALSE)-50)),"-",(VLOOKUP($A187,'SegEnds_NonXtal_BW#'!$A:$Z,26,FALSE)+VLOOKUP($A187,A:AL,37,FALSE)-50))</f>
        <v>370</v>
      </c>
      <c r="AM187" s="28" t="str">
        <f>VLOOKUP(A187,Classification!A:B,2,FALSE)</f>
        <v>A</v>
      </c>
      <c r="AN187" s="28" t="b">
        <f>AND(IF(Y187="-",IF(AA187-W187&gt;3,TRUE,FALSE),TRUE),IF(M187="-",IF(O187-K187&gt;3,TRUE,FALSE),TRUE),C187&lt;E187,OR(E187&lt;F187,F187="-"),OR(F187&lt;H187,F187="-"),OR(H187&lt;I187,H187="-"),I187&lt;K187,OR(K187&lt;L187,L187="-"),OR(L187&lt;N187,L187="-"),OR(N187&lt;O187,N187="-"),O187&lt;Q187,OR(Q187&lt;R187,R187="-"),OR(R187&lt;T187,R187="-"),OR(T187&lt;U187,T187="-"),U187&lt;W187,OR(W187&lt;X187,X187="-"),OR(X187&lt;Z187,X187="-"),OR(Z187&lt;AA187,Z187="-"),AA187&lt;AC187,AC187&lt;AD187,AD187&lt;AF187,AF187&lt;AG187,AG187&lt;AI187,OR(AI187&lt;AJ187,AJ187="-"),OR(AJ187&lt;AL187,AJ187="-"))</f>
        <v>1</v>
      </c>
      <c r="AO187" s="3" t="str">
        <f>IF(ISERROR(MATCH(A187,'SegEnds_Xtal_Prot#'!B:B, 0)), "NoXtal", "Xtal")</f>
        <v>NoXtal</v>
      </c>
      <c r="AP187" s="3">
        <f>IF(ISERROR(F187-E187),"-",F187-E187)</f>
        <v>1</v>
      </c>
      <c r="AQ187" s="3">
        <f>IF(ISERROR(I187-H187),"-",I187-H187)</f>
        <v>1</v>
      </c>
      <c r="AR187" s="3">
        <f>IF(ISERROR(L187-K187),"-",L187-K187)</f>
        <v>2</v>
      </c>
      <c r="AS187" s="3">
        <f>IF(ISERROR(O187-N187),"-",O187-N187)</f>
        <v>1</v>
      </c>
      <c r="AT187" s="3">
        <f>IF(ISERROR(R187-Q187),"-",R187-Q187)</f>
        <v>1</v>
      </c>
      <c r="AU187" s="3">
        <f>IF(ISERROR(U187-T187),"-",U187-T187)</f>
        <v>1</v>
      </c>
      <c r="AV187" s="3">
        <f>IF(ISERROR(X187-W187),"-",X187-W187)</f>
        <v>58</v>
      </c>
      <c r="AW187" s="3">
        <f>IF(ISERROR(AA187-Z187),"-",AA187-Z187)</f>
        <v>4</v>
      </c>
      <c r="AX187" s="3">
        <f>IF(ISERROR(AD187-AC187),"-",AD187-AC187)</f>
        <v>6</v>
      </c>
      <c r="AY187" s="3">
        <f>IF(ISERROR(AG187-AF187),"-",AG187-AF187)</f>
        <v>6</v>
      </c>
      <c r="AZ187" s="3">
        <f>IF(ISERROR(AJ187-AI187),"-",AJ187-AI187)</f>
        <v>1</v>
      </c>
      <c r="BA187" s="3">
        <f>IF(ISERROR(LEN(VLOOKUP(A187,Seqs!A:E,2,FALSE))-AL187),"-",LEN(VLOOKUP(A187,Seqs!A:E,2,FALSE))-AL187)</f>
        <v>42</v>
      </c>
      <c r="BB187" s="16">
        <f>J187-D187</f>
        <v>28</v>
      </c>
      <c r="BC187" s="9">
        <f>IF(ISERROR(V187-S187),"-",V187-S187)</f>
        <v>20</v>
      </c>
      <c r="BD187" s="3">
        <f>J187-D187</f>
        <v>28</v>
      </c>
      <c r="BE187" s="3">
        <f>AE187-AB187</f>
        <v>54</v>
      </c>
    </row>
    <row r="188" spans="1:58" s="3" customFormat="1" x14ac:dyDescent="0.2">
      <c r="A188" s="3" t="s">
        <v>311</v>
      </c>
      <c r="B188" s="3" t="str">
        <f>LOWER(VLOOKUP(A188,Xtal_Templ!A:B,2,FALSE))</f>
        <v>ox2r_human</v>
      </c>
      <c r="C188" s="3">
        <f>VLOOKUP($A188,'SegEnds_NonXtal_BW#'!$A:$Z,3,FALSE)+D188-50</f>
        <v>26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>
        <f>G188-2</f>
        <v>56</v>
      </c>
      <c r="G188" s="3">
        <v>58</v>
      </c>
      <c r="H188" s="3">
        <f>G188+1</f>
        <v>59</v>
      </c>
      <c r="I188" s="3">
        <f>H188+1</f>
        <v>60</v>
      </c>
      <c r="J188" s="3">
        <v>73</v>
      </c>
      <c r="K188" s="3">
        <f>VLOOKUP($A188,'SegEnds_NonXtal_BW#'!$A:$Z,8,FALSE)+VLOOKUP($A188,A:AL,10,FALSE)-50</f>
        <v>90</v>
      </c>
      <c r="L188" s="3">
        <f>M188-1</f>
        <v>92</v>
      </c>
      <c r="M188" s="3">
        <v>93</v>
      </c>
      <c r="N188" s="3">
        <f>M188+2</f>
        <v>95</v>
      </c>
      <c r="O188" s="3">
        <f>N188+1</f>
        <v>96</v>
      </c>
      <c r="P188" s="3">
        <v>125</v>
      </c>
      <c r="Q188" s="3">
        <f>VLOOKUP($A188,'SegEnds_NonXtal_BW#'!$A:$Z,12,FALSE)+VLOOKUP($A188,A:AL,16,FALSE)-50</f>
        <v>131</v>
      </c>
      <c r="R188" s="3">
        <f>IF(ISERROR(VLOOKUP($A188,'SegEnds_NonXtal_BW#'!$A:$Z,13,FALSE)+VLOOKUP($A188,A:AL,19,FALSE)-50),"-",VLOOKUP($A188,'SegEnds_NonXtal_BW#'!$A:$Z,13,FALSE)+VLOOKUP($A188,A:AL,19,FALSE)-50)</f>
        <v>132</v>
      </c>
      <c r="S188" s="3">
        <v>132</v>
      </c>
      <c r="T188" s="103">
        <f>IF(ISERROR(VLOOKUP($A188,'SegEnds_NonXtal_BW#'!$A:$Z,14,FALSE)+VLOOKUP($A188,A:AL,19,FALSE)-50),"-",(VLOOKUP($A188,'SegEnds_NonXtal_BW#'!$A:$Z,14,FALSE)+VLOOKUP($A188,A:AL,19,FALSE)-50))</f>
        <v>139</v>
      </c>
      <c r="U188" s="9">
        <f>IF(ISERROR(VLOOKUP($A188,'SegEnds_NonXtal_BW#'!$A:$Z,15,FALSE)+VLOOKUP($A188,A:AL,22,FALSE)-50),"-",VLOOKUP($A188,'SegEnds_NonXtal_BW#'!$A:$Z,15,FALSE)+VLOOKUP($A188,A:AL,22,FALSE)-50)</f>
        <v>140</v>
      </c>
      <c r="V188" s="3">
        <v>152</v>
      </c>
      <c r="W188" s="3">
        <f>IF(ISERROR(VLOOKUP($A188,'SegEnds_NonXtal_BW#'!$A:$Z,16,FALSE)+VLOOKUP($A188,A:AL,22,FALSE)-50),"-",(VLOOKUP($A188,'SegEnds_NonXtal_BW#'!$A:$Z,16,FALSE)+VLOOKUP($A188,A:AL,22,FALSE)-50))</f>
        <v>166</v>
      </c>
      <c r="X188" s="3">
        <f>IF(ISERROR(VLOOKUP($A188,'SegEnds_NonXtal_BW#'!$A:$Z,17,FALSE)+VLOOKUP($A188,A:AL,25,FALSE)-50),"-",(VLOOKUP($A188,'SegEnds_NonXtal_BW#'!$A:$Z,17,FALSE)+VLOOKUP($A188,A:AL,25,FALSE)-50))</f>
        <v>177</v>
      </c>
      <c r="Y188" s="3">
        <v>177</v>
      </c>
      <c r="Z188" s="3">
        <f>Y188+2</f>
        <v>179</v>
      </c>
      <c r="AA188" s="3">
        <f>IF(ISERROR(VLOOKUP($A188,'SegEnds_NonXtal_BW#'!$A:$Z,19,FALSE)+VLOOKUP($A188,A:AL,28,FALSE)-50),"-",(VLOOKUP($A188,'SegEnds_NonXtal_BW#'!$A:$Z,19,FALSE)+VLOOKUP($A188,A:AL,28,FALSE)-50))</f>
        <v>184</v>
      </c>
      <c r="AB188" s="3">
        <v>199</v>
      </c>
      <c r="AC188" s="3">
        <f>IF(ISERROR((VLOOKUP($A188,'SegEnds_NonXtal_BW#'!$A:$Z,20,FALSE)+VLOOKUP($A188,A:AL,28,FALSE)-50)),"-",(VLOOKUP($A188,'SegEnds_NonXtal_BW#'!$A:$Z,20,FALSE)+VLOOKUP($A188,A:AL,28,FALSE)-50))</f>
        <v>221</v>
      </c>
      <c r="AD188" s="3">
        <f>IF(ISERROR(VLOOKUP($A188,'SegEnds_NonXtal_BW#'!$A:$Z,21,FALSE)+VLOOKUP($A188,A:AL,31,FALSE)-50),"-",(VLOOKUP($A188,'SegEnds_NonXtal_BW#'!$A:$Z,21,FALSE)+VLOOKUP($A188,A:AL,31,FALSE)-50))</f>
        <v>227</v>
      </c>
      <c r="AE188" s="3">
        <v>253</v>
      </c>
      <c r="AF188" s="3">
        <f>IF(ISERROR((VLOOKUP($A188,'SegEnds_NonXtal_BW#'!$A:$Z,22,FALSE)+VLOOKUP($A188,A:AL,31,FALSE)-50)),"-",(VLOOKUP($A188,'SegEnds_NonXtal_BW#'!$A:$Z,22,FALSE)+VLOOKUP($A188,A:AL,31,FALSE)-50))</f>
        <v>264</v>
      </c>
      <c r="AG188" s="3">
        <f>IF(ISERROR(VLOOKUP($A188,'SegEnds_NonXtal_BW#'!$A:$Z,23,FALSE)+VLOOKUP($A188,A:AL,34,FALSE)-50),"-",(VLOOKUP($A188,'SegEnds_NonXtal_BW#'!$A:$Z,23,FALSE)+VLOOKUP($A188,A:AL,34,FALSE)-50))</f>
        <v>270</v>
      </c>
      <c r="AH188" s="3">
        <v>292</v>
      </c>
      <c r="AI188" s="3">
        <f>IF(ISERROR((VLOOKUP($A188,'SegEnds_NonXtal_BW#'!$A:$Z,24,FALSE)+VLOOKUP($A188,A:AL,34,FALSE)-50)),"-",(VLOOKUP($A188,'SegEnds_NonXtal_BW#'!$A:$Z,24,FALSE)+VLOOKUP($A188,A:AL,34,FALSE)-50))</f>
        <v>298</v>
      </c>
      <c r="AJ188" s="3">
        <f>IF(ISERROR(VLOOKUP($A188,'SegEnds_NonXtal_BW#'!$A:$Z,25,FALSE)+VLOOKUP($A188,A:AL,37,FALSE)-50),"-",(VLOOKUP($A188,'SegEnds_NonXtal_BW#'!$A:$Z,25,FALSE)+VLOOKUP($A188,A:AL,37,FALSE)-50))</f>
        <v>299</v>
      </c>
      <c r="AK188" s="3">
        <v>302</v>
      </c>
      <c r="AL188" s="3">
        <f>IF(ISERROR((VLOOKUP($A188,'SegEnds_NonXtal_BW#'!$A:$Z,26,FALSE)+VLOOKUP($A188,A:AL,37,FALSE)-50)),"-",(VLOOKUP($A188,'SegEnds_NonXtal_BW#'!$A:$Z,26,FALSE)+VLOOKUP($A188,A:AL,37,FALSE)-50))</f>
        <v>310</v>
      </c>
      <c r="AM188" s="28" t="str">
        <f>VLOOKUP(A188,Classification!A:B,2,FALSE)</f>
        <v>A</v>
      </c>
      <c r="AN188" s="28" t="b">
        <f>AND(IF(Y188="-",IF(AA188-W188&gt;3,TRUE,FALSE),TRUE),IF(M188="-",IF(O188-K188&gt;3,TRUE,FALSE),TRUE),C188&lt;E188,OR(E188&lt;F188,F188="-"),OR(F188&lt;H188,F188="-"),OR(H188&lt;I188,H188="-"),I188&lt;K188,OR(K188&lt;L188,L188="-"),OR(L188&lt;N188,L188="-"),OR(N188&lt;O188,N188="-"),O188&lt;Q188,OR(Q188&lt;R188,R188="-"),OR(R188&lt;T188,R188="-"),OR(T188&lt;U188,T188="-"),U188&lt;W188,OR(W188&lt;X188,X188="-"),OR(X188&lt;Z188,X188="-"),OR(Z188&lt;AA188,Z188="-"),AA188&lt;AC188,AC188&lt;AD188,AD188&lt;AF188,AF188&lt;AG188,AG188&lt;AI188,OR(AI188&lt;AJ188,AJ188="-"),OR(AJ188&lt;AL188,AJ188="-"))</f>
        <v>1</v>
      </c>
      <c r="AO188" s="3" t="str">
        <f>IF(ISERROR(MATCH(A188,'SegEnds_Xtal_Prot#'!B:B, 0)), "NoXtal", "Xtal")</f>
        <v>NoXtal</v>
      </c>
      <c r="AP188" s="3">
        <f>IF(ISERROR(F188-E188),"-",F188-E188)</f>
        <v>1</v>
      </c>
      <c r="AQ188" s="3">
        <f>IF(ISERROR(I188-H188),"-",I188-H188)</f>
        <v>1</v>
      </c>
      <c r="AR188" s="3">
        <f>IF(ISERROR(L188-K188),"-",L188-K188)</f>
        <v>2</v>
      </c>
      <c r="AS188" s="3">
        <f>IF(ISERROR(O188-N188),"-",O188-N188)</f>
        <v>1</v>
      </c>
      <c r="AT188" s="3">
        <f>IF(ISERROR(R188-Q188),"-",R188-Q188)</f>
        <v>1</v>
      </c>
      <c r="AU188" s="3">
        <f>IF(ISERROR(U188-T188),"-",U188-T188)</f>
        <v>1</v>
      </c>
      <c r="AV188" s="3">
        <f>IF(ISERROR(X188-W188),"-",X188-W188)</f>
        <v>11</v>
      </c>
      <c r="AW188" s="3">
        <f>IF(ISERROR(AA188-Z188),"-",AA188-Z188)</f>
        <v>5</v>
      </c>
      <c r="AX188" s="3">
        <f>IF(ISERROR(AD188-AC188),"-",AD188-AC188)</f>
        <v>6</v>
      </c>
      <c r="AY188" s="3">
        <f>IF(ISERROR(AG188-AF188),"-",AG188-AF188)</f>
        <v>6</v>
      </c>
      <c r="AZ188" s="3">
        <f>IF(ISERROR(AJ188-AI188),"-",AJ188-AI188)</f>
        <v>1</v>
      </c>
      <c r="BA188" s="3">
        <f>IF(ISERROR(LEN(VLOOKUP(A188,Seqs!A:E,2,FALSE))-AL188),"-",LEN(VLOOKUP(A188,Seqs!A:E,2,FALSE))-AL188)</f>
        <v>40</v>
      </c>
      <c r="BB188" s="16">
        <f>J188-D188</f>
        <v>28</v>
      </c>
      <c r="BC188" s="9">
        <f>IF(ISERROR(V188-S188),"-",V188-S188)</f>
        <v>20</v>
      </c>
      <c r="BD188" s="3">
        <f>J188-D188</f>
        <v>28</v>
      </c>
      <c r="BE188" s="3">
        <f>AE188-AB188</f>
        <v>54</v>
      </c>
    </row>
    <row r="189" spans="1:58" s="3" customFormat="1" x14ac:dyDescent="0.2">
      <c r="A189" s="3" t="s">
        <v>312</v>
      </c>
      <c r="B189" s="3" t="str">
        <f>LOWER(VLOOKUP(A189,Xtal_Templ!A:B,2,FALSE))</f>
        <v>ox2r_human</v>
      </c>
      <c r="C189" s="3">
        <f>VLOOKUP($A189,'SegEnds_NonXtal_BW#'!$A:$Z,3,FALSE)+D189-50</f>
        <v>39</v>
      </c>
      <c r="D189" s="3">
        <v>58</v>
      </c>
      <c r="E189" s="3">
        <f>IF(ISERROR(VLOOKUP($A189,'SegEnds_NonXtal_BW#'!$A:$Z,4,FALSE)+VLOOKUP($A189,A:AL,4,FALSE)-50),"-",(VLOOKUP($A189,'SegEnds_NonXtal_BW#'!$A:$Z,4,FALSE)+VLOOKUP($A189,A:AL,4,FALSE)-50))</f>
        <v>68</v>
      </c>
      <c r="F189" s="3">
        <f>G189-2</f>
        <v>69</v>
      </c>
      <c r="G189" s="3">
        <v>71</v>
      </c>
      <c r="H189" s="3">
        <f>G189+1</f>
        <v>72</v>
      </c>
      <c r="I189" s="3">
        <f>H189+1</f>
        <v>73</v>
      </c>
      <c r="J189" s="3">
        <v>86</v>
      </c>
      <c r="K189" s="3">
        <f>VLOOKUP($A189,'SegEnds_NonXtal_BW#'!$A:$Z,8,FALSE)+VLOOKUP($A189,A:AL,10,FALSE)-50</f>
        <v>103</v>
      </c>
      <c r="L189" s="3">
        <f>M189-1</f>
        <v>105</v>
      </c>
      <c r="M189" s="3">
        <v>106</v>
      </c>
      <c r="N189" s="3">
        <f>M189+2</f>
        <v>108</v>
      </c>
      <c r="O189" s="3">
        <f>N189+1</f>
        <v>109</v>
      </c>
      <c r="P189" s="3">
        <v>138</v>
      </c>
      <c r="Q189" s="3">
        <f>VLOOKUP($A189,'SegEnds_NonXtal_BW#'!$A:$Z,12,FALSE)+VLOOKUP($A189,A:AL,16,FALSE)-50</f>
        <v>144</v>
      </c>
      <c r="R189" s="3">
        <f>IF(ISERROR(VLOOKUP($A189,'SegEnds_NonXtal_BW#'!$A:$Z,13,FALSE)+VLOOKUP($A189,A:AL,19,FALSE)-50),"-",VLOOKUP($A189,'SegEnds_NonXtal_BW#'!$A:$Z,13,FALSE)+VLOOKUP($A189,A:AL,19,FALSE)-50)</f>
        <v>145</v>
      </c>
      <c r="S189" s="3">
        <v>145</v>
      </c>
      <c r="T189" s="103">
        <f>IF(ISERROR(VLOOKUP($A189,'SegEnds_NonXtal_BW#'!$A:$Z,14,FALSE)+VLOOKUP($A189,A:AL,19,FALSE)-50),"-",(VLOOKUP($A189,'SegEnds_NonXtal_BW#'!$A:$Z,14,FALSE)+VLOOKUP($A189,A:AL,19,FALSE)-50))</f>
        <v>152</v>
      </c>
      <c r="U189" s="9">
        <f>IF(ISERROR(VLOOKUP($A189,'SegEnds_NonXtal_BW#'!$A:$Z,15,FALSE)+VLOOKUP($A189,A:AL,22,FALSE)-50),"-",VLOOKUP($A189,'SegEnds_NonXtal_BW#'!$A:$Z,15,FALSE)+VLOOKUP($A189,A:AL,22,FALSE)-50)</f>
        <v>153</v>
      </c>
      <c r="V189" s="3">
        <v>165</v>
      </c>
      <c r="W189" s="3">
        <f>IF(ISERROR(VLOOKUP($A189,'SegEnds_NonXtal_BW#'!$A:$Z,16,FALSE)+VLOOKUP($A189,A:AL,22,FALSE)-50),"-",(VLOOKUP($A189,'SegEnds_NonXtal_BW#'!$A:$Z,16,FALSE)+VLOOKUP($A189,A:AL,22,FALSE)-50))</f>
        <v>179</v>
      </c>
      <c r="X189" s="3">
        <f>IF(ISERROR(VLOOKUP($A189,'SegEnds_NonXtal_BW#'!$A:$Z,17,FALSE)+VLOOKUP($A189,A:AL,25,FALSE)-50),"-",(VLOOKUP($A189,'SegEnds_NonXtal_BW#'!$A:$Z,17,FALSE)+VLOOKUP($A189,A:AL,25,FALSE)-50))</f>
        <v>190</v>
      </c>
      <c r="Y189" s="3">
        <v>190</v>
      </c>
      <c r="Z189" s="3">
        <f>Y189+2</f>
        <v>192</v>
      </c>
      <c r="AA189" s="3">
        <f>IF(ISERROR(VLOOKUP($A189,'SegEnds_NonXtal_BW#'!$A:$Z,19,FALSE)+VLOOKUP($A189,A:AL,28,FALSE)-50),"-",(VLOOKUP($A189,'SegEnds_NonXtal_BW#'!$A:$Z,19,FALSE)+VLOOKUP($A189,A:AL,28,FALSE)-50))</f>
        <v>197</v>
      </c>
      <c r="AB189" s="3">
        <v>212</v>
      </c>
      <c r="AC189" s="3">
        <f>IF(ISERROR((VLOOKUP($A189,'SegEnds_NonXtal_BW#'!$A:$Z,20,FALSE)+VLOOKUP($A189,A:AL,28,FALSE)-50)),"-",(VLOOKUP($A189,'SegEnds_NonXtal_BW#'!$A:$Z,20,FALSE)+VLOOKUP($A189,A:AL,28,FALSE)-50))</f>
        <v>234</v>
      </c>
      <c r="AD189" s="3">
        <f>IF(ISERROR(VLOOKUP($A189,'SegEnds_NonXtal_BW#'!$A:$Z,21,FALSE)+VLOOKUP($A189,A:AL,31,FALSE)-50),"-",(VLOOKUP($A189,'SegEnds_NonXtal_BW#'!$A:$Z,21,FALSE)+VLOOKUP($A189,A:AL,31,FALSE)-50))</f>
        <v>240</v>
      </c>
      <c r="AE189" s="3">
        <v>266</v>
      </c>
      <c r="AF189" s="3">
        <f>IF(ISERROR((VLOOKUP($A189,'SegEnds_NonXtal_BW#'!$A:$Z,22,FALSE)+VLOOKUP($A189,A:AL,31,FALSE)-50)),"-",(VLOOKUP($A189,'SegEnds_NonXtal_BW#'!$A:$Z,22,FALSE)+VLOOKUP($A189,A:AL,31,FALSE)-50))</f>
        <v>277</v>
      </c>
      <c r="AG189" s="3">
        <f>IF(ISERROR(VLOOKUP($A189,'SegEnds_NonXtal_BW#'!$A:$Z,23,FALSE)+VLOOKUP($A189,A:AL,34,FALSE)-50),"-",(VLOOKUP($A189,'SegEnds_NonXtal_BW#'!$A:$Z,23,FALSE)+VLOOKUP($A189,A:AL,34,FALSE)-50))</f>
        <v>283</v>
      </c>
      <c r="AH189" s="3">
        <v>305</v>
      </c>
      <c r="AI189" s="3">
        <f>IF(ISERROR((VLOOKUP($A189,'SegEnds_NonXtal_BW#'!$A:$Z,24,FALSE)+VLOOKUP($A189,A:AL,34,FALSE)-50)),"-",(VLOOKUP($A189,'SegEnds_NonXtal_BW#'!$A:$Z,24,FALSE)+VLOOKUP($A189,A:AL,34,FALSE)-50))</f>
        <v>311</v>
      </c>
      <c r="AJ189" s="3">
        <f>IF(ISERROR(VLOOKUP($A189,'SegEnds_NonXtal_BW#'!$A:$Z,25,FALSE)+VLOOKUP($A189,A:AL,37,FALSE)-50),"-",(VLOOKUP($A189,'SegEnds_NonXtal_BW#'!$A:$Z,25,FALSE)+VLOOKUP($A189,A:AL,37,FALSE)-50))</f>
        <v>312</v>
      </c>
      <c r="AK189" s="3">
        <v>315</v>
      </c>
      <c r="AL189" s="3">
        <f>IF(ISERROR((VLOOKUP($A189,'SegEnds_NonXtal_BW#'!$A:$Z,26,FALSE)+VLOOKUP($A189,A:AL,37,FALSE)-50)),"-",(VLOOKUP($A189,'SegEnds_NonXtal_BW#'!$A:$Z,26,FALSE)+VLOOKUP($A189,A:AL,37,FALSE)-50))</f>
        <v>323</v>
      </c>
      <c r="AM189" s="28" t="str">
        <f>VLOOKUP(A189,Classification!A:B,2,FALSE)</f>
        <v>A</v>
      </c>
      <c r="AN189" s="28" t="b">
        <f>AND(IF(Y189="-",IF(AA189-W189&gt;3,TRUE,FALSE),TRUE),IF(M189="-",IF(O189-K189&gt;3,TRUE,FALSE),TRU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>IF(ISERROR(F189-E189),"-",F189-E189)</f>
        <v>1</v>
      </c>
      <c r="AQ189" s="3">
        <f>IF(ISERROR(I189-H189),"-",I189-H189)</f>
        <v>1</v>
      </c>
      <c r="AR189" s="3">
        <f>IF(ISERROR(L189-K189),"-",L189-K189)</f>
        <v>2</v>
      </c>
      <c r="AS189" s="3">
        <f>IF(ISERROR(O189-N189),"-",O189-N189)</f>
        <v>1</v>
      </c>
      <c r="AT189" s="3">
        <f>IF(ISERROR(R189-Q189),"-",R189-Q189)</f>
        <v>1</v>
      </c>
      <c r="AU189" s="3">
        <f>IF(ISERROR(U189-T189),"-",U189-T189)</f>
        <v>1</v>
      </c>
      <c r="AV189" s="3">
        <f>IF(ISERROR(X189-W189),"-",X189-W189)</f>
        <v>11</v>
      </c>
      <c r="AW189" s="3">
        <f>IF(ISERROR(AA189-Z189),"-",AA189-Z189)</f>
        <v>5</v>
      </c>
      <c r="AX189" s="3">
        <f>IF(ISERROR(AD189-AC189),"-",AD189-AC189)</f>
        <v>6</v>
      </c>
      <c r="AY189" s="3">
        <f>IF(ISERROR(AG189-AF189),"-",AG189-AF189)</f>
        <v>6</v>
      </c>
      <c r="AZ189" s="3">
        <f>IF(ISERROR(AJ189-AI189),"-",AJ189-AI189)</f>
        <v>1</v>
      </c>
      <c r="BA189" s="3">
        <f>IF(ISERROR(LEN(VLOOKUP(A189,Seqs!A:E,2,FALSE))-AL189),"-",LEN(VLOOKUP(A189,Seqs!A:E,2,FALSE))-AL189)</f>
        <v>39</v>
      </c>
      <c r="BB189" s="16">
        <f>J189-D189</f>
        <v>28</v>
      </c>
      <c r="BC189" s="9">
        <f>IF(ISERROR(V189-S189),"-",V189-S189)</f>
        <v>20</v>
      </c>
      <c r="BD189" s="3">
        <f>J189-D189</f>
        <v>28</v>
      </c>
      <c r="BE189" s="3">
        <f>AE189-AB189</f>
        <v>54</v>
      </c>
    </row>
    <row r="190" spans="1:58" s="3" customFormat="1" x14ac:dyDescent="0.2">
      <c r="A190" s="3" t="s">
        <v>313</v>
      </c>
      <c r="B190" s="3" t="str">
        <f>LOWER(VLOOKUP(A190,Xtal_Templ!A:B,2,FALSE))</f>
        <v>ox2r_human</v>
      </c>
      <c r="C190" s="3">
        <f>VLOOKUP($A190,'SegEnds_NonXtal_BW#'!$A:$Z,3,FALSE)+D190-50</f>
        <v>27</v>
      </c>
      <c r="D190" s="3">
        <v>46</v>
      </c>
      <c r="E190" s="3">
        <f>IF(ISERROR(VLOOKUP($A190,'SegEnds_NonXtal_BW#'!$A:$Z,4,FALSE)+VLOOKUP($A190,A:AL,4,FALSE)-50),"-",(VLOOKUP($A190,'SegEnds_NonXtal_BW#'!$A:$Z,4,FALSE)+VLOOKUP($A190,A:AL,4,FALSE)-50))</f>
        <v>56</v>
      </c>
      <c r="F190" s="3">
        <f>G190-2</f>
        <v>57</v>
      </c>
      <c r="G190" s="3">
        <v>59</v>
      </c>
      <c r="H190" s="3">
        <f>G190+1</f>
        <v>60</v>
      </c>
      <c r="I190" s="3">
        <f>H190+1</f>
        <v>61</v>
      </c>
      <c r="J190" s="3">
        <v>74</v>
      </c>
      <c r="K190" s="3">
        <f>VLOOKUP($A190,'SegEnds_NonXtal_BW#'!$A:$Z,8,FALSE)+VLOOKUP($A190,A:AL,10,FALSE)-50</f>
        <v>91</v>
      </c>
      <c r="L190" s="3">
        <f>M190-1</f>
        <v>93</v>
      </c>
      <c r="M190" s="3">
        <v>94</v>
      </c>
      <c r="N190" s="3">
        <f>M190+2</f>
        <v>96</v>
      </c>
      <c r="O190" s="3">
        <f>N190+1</f>
        <v>97</v>
      </c>
      <c r="P190" s="3">
        <v>126</v>
      </c>
      <c r="Q190" s="3">
        <f>VLOOKUP($A190,'SegEnds_NonXtal_BW#'!$A:$Z,12,FALSE)+VLOOKUP($A190,A:AL,16,FALSE)-50</f>
        <v>132</v>
      </c>
      <c r="R190" s="3">
        <f>IF(ISERROR(VLOOKUP($A190,'SegEnds_NonXtal_BW#'!$A:$Z,13,FALSE)+VLOOKUP($A190,A:AL,19,FALSE)-50),"-",VLOOKUP($A190,'SegEnds_NonXtal_BW#'!$A:$Z,13,FALSE)+VLOOKUP($A190,A:AL,19,FALSE)-50)</f>
        <v>133</v>
      </c>
      <c r="S190" s="3">
        <v>133</v>
      </c>
      <c r="T190" s="103">
        <f>IF(ISERROR(VLOOKUP($A190,'SegEnds_NonXtal_BW#'!$A:$Z,14,FALSE)+VLOOKUP($A190,A:AL,19,FALSE)-50),"-",(VLOOKUP($A190,'SegEnds_NonXtal_BW#'!$A:$Z,14,FALSE)+VLOOKUP($A190,A:AL,19,FALSE)-50))</f>
        <v>140</v>
      </c>
      <c r="U190" s="9">
        <f>IF(ISERROR(VLOOKUP($A190,'SegEnds_NonXtal_BW#'!$A:$Z,15,FALSE)+VLOOKUP($A190,A:AL,22,FALSE)-50),"-",VLOOKUP($A190,'SegEnds_NonXtal_BW#'!$A:$Z,15,FALSE)+VLOOKUP($A190,A:AL,22,FALSE)-50)</f>
        <v>141</v>
      </c>
      <c r="V190" s="3">
        <v>153</v>
      </c>
      <c r="W190" s="3">
        <f>IF(ISERROR(VLOOKUP($A190,'SegEnds_NonXtal_BW#'!$A:$Z,16,FALSE)+VLOOKUP($A190,A:AL,22,FALSE)-50),"-",(VLOOKUP($A190,'SegEnds_NonXtal_BW#'!$A:$Z,16,FALSE)+VLOOKUP($A190,A:AL,22,FALSE)-50))</f>
        <v>167</v>
      </c>
      <c r="X190" s="3">
        <f>IF(ISERROR(VLOOKUP($A190,'SegEnds_NonXtal_BW#'!$A:$Z,17,FALSE)+VLOOKUP($A190,A:AL,25,FALSE)-50),"-",(VLOOKUP($A190,'SegEnds_NonXtal_BW#'!$A:$Z,17,FALSE)+VLOOKUP($A190,A:AL,25,FALSE)-50))</f>
        <v>178</v>
      </c>
      <c r="Y190" s="3">
        <v>178</v>
      </c>
      <c r="Z190" s="3">
        <f>Y190+2</f>
        <v>180</v>
      </c>
      <c r="AA190" s="3">
        <f>IF(ISERROR(VLOOKUP($A190,'SegEnds_NonXtal_BW#'!$A:$Z,19,FALSE)+VLOOKUP($A190,A:AL,28,FALSE)-50),"-",(VLOOKUP($A190,'SegEnds_NonXtal_BW#'!$A:$Z,19,FALSE)+VLOOKUP($A190,A:AL,28,FALSE)-50))</f>
        <v>185</v>
      </c>
      <c r="AB190" s="3">
        <v>200</v>
      </c>
      <c r="AC190" s="3">
        <f>IF(ISERROR((VLOOKUP($A190,'SegEnds_NonXtal_BW#'!$A:$Z,20,FALSE)+VLOOKUP($A190,A:AL,28,FALSE)-50)),"-",(VLOOKUP($A190,'SegEnds_NonXtal_BW#'!$A:$Z,20,FALSE)+VLOOKUP($A190,A:AL,28,FALSE)-50))</f>
        <v>222</v>
      </c>
      <c r="AD190" s="3">
        <f>IF(ISERROR(VLOOKUP($A190,'SegEnds_NonXtal_BW#'!$A:$Z,21,FALSE)+VLOOKUP($A190,A:AL,31,FALSE)-50),"-",(VLOOKUP($A190,'SegEnds_NonXtal_BW#'!$A:$Z,21,FALSE)+VLOOKUP($A190,A:AL,31,FALSE)-50))</f>
        <v>226</v>
      </c>
      <c r="AE190" s="3">
        <v>252</v>
      </c>
      <c r="AF190" s="3">
        <f>IF(ISERROR((VLOOKUP($A190,'SegEnds_NonXtal_BW#'!$A:$Z,22,FALSE)+VLOOKUP($A190,A:AL,31,FALSE)-50)),"-",(VLOOKUP($A190,'SegEnds_NonXtal_BW#'!$A:$Z,22,FALSE)+VLOOKUP($A190,A:AL,31,FALSE)-50))</f>
        <v>263</v>
      </c>
      <c r="AG190" s="3">
        <f>IF(ISERROR(VLOOKUP($A190,'SegEnds_NonXtal_BW#'!$A:$Z,23,FALSE)+VLOOKUP($A190,A:AL,34,FALSE)-50),"-",(VLOOKUP($A190,'SegEnds_NonXtal_BW#'!$A:$Z,23,FALSE)+VLOOKUP($A190,A:AL,34,FALSE)-50))</f>
        <v>269</v>
      </c>
      <c r="AH190" s="3">
        <v>291</v>
      </c>
      <c r="AI190" s="3">
        <f>IF(ISERROR((VLOOKUP($A190,'SegEnds_NonXtal_BW#'!$A:$Z,24,FALSE)+VLOOKUP($A190,A:AL,34,FALSE)-50)),"-",(VLOOKUP($A190,'SegEnds_NonXtal_BW#'!$A:$Z,24,FALSE)+VLOOKUP($A190,A:AL,34,FALSE)-50))</f>
        <v>297</v>
      </c>
      <c r="AJ190" s="3">
        <f>IF(ISERROR(VLOOKUP($A190,'SegEnds_NonXtal_BW#'!$A:$Z,25,FALSE)+VLOOKUP($A190,A:AL,37,FALSE)-50),"-",(VLOOKUP($A190,'SegEnds_NonXtal_BW#'!$A:$Z,25,FALSE)+VLOOKUP($A190,A:AL,37,FALSE)-50))</f>
        <v>298</v>
      </c>
      <c r="AK190" s="3">
        <v>301</v>
      </c>
      <c r="AL190" s="3">
        <f>IF(ISERROR((VLOOKUP($A190,'SegEnds_NonXtal_BW#'!$A:$Z,26,FALSE)+VLOOKUP($A190,A:AL,37,FALSE)-50)),"-",(VLOOKUP($A190,'SegEnds_NonXtal_BW#'!$A:$Z,26,FALSE)+VLOOKUP($A190,A:AL,37,FALSE)-50))</f>
        <v>309</v>
      </c>
      <c r="AM190" s="28" t="str">
        <f>VLOOKUP(A190,Classification!A:B,2,FALSE)</f>
        <v>A</v>
      </c>
      <c r="AN190" s="28" t="b">
        <f>AND(IF(Y190="-",IF(AA190-W190&gt;3,TRUE,FALSE),TRUE),IF(M190="-",IF(O190-K190&gt;3,TRUE,FALSE),TRUE),C190&lt;E190,OR(E190&lt;F190,F190="-"),OR(F190&lt;H190,F190="-"),OR(H190&lt;I190,H190="-"),I190&lt;K190,OR(K190&lt;L190,L190="-"),OR(L190&lt;N190,L190="-"),OR(N190&lt;O190,N190="-"),O190&lt;Q190,OR(Q190&lt;R190,R190="-"),OR(R190&lt;T190,R190="-"),OR(T190&lt;U190,T190="-"),U190&lt;W190,OR(W190&lt;X190,X190="-"),OR(X190&lt;Z190,X190="-"),OR(Z190&lt;AA190,Z190="-"),AA190&lt;AC190,AC190&lt;AD190,AD190&lt;AF190,AF190&lt;AG190,AG190&lt;AI190,OR(AI190&lt;AJ190,AJ190="-"),OR(AJ190&lt;AL190,AJ190="-"))</f>
        <v>1</v>
      </c>
      <c r="AO190" s="3" t="str">
        <f>IF(ISERROR(MATCH(A190,'SegEnds_Xtal_Prot#'!B:B, 0)), "NoXtal", "Xtal")</f>
        <v>NoXtal</v>
      </c>
      <c r="AP190" s="3">
        <f>IF(ISERROR(F190-E190),"-",F190-E190)</f>
        <v>1</v>
      </c>
      <c r="AQ190" s="3">
        <f>IF(ISERROR(I190-H190),"-",I190-H190)</f>
        <v>1</v>
      </c>
      <c r="AR190" s="3">
        <f>IF(ISERROR(L190-K190),"-",L190-K190)</f>
        <v>2</v>
      </c>
      <c r="AS190" s="3">
        <f>IF(ISERROR(O190-N190),"-",O190-N190)</f>
        <v>1</v>
      </c>
      <c r="AT190" s="3">
        <f>IF(ISERROR(R190-Q190),"-",R190-Q190)</f>
        <v>1</v>
      </c>
      <c r="AU190" s="3">
        <f>IF(ISERROR(U190-T190),"-",U190-T190)</f>
        <v>1</v>
      </c>
      <c r="AV190" s="3">
        <f>IF(ISERROR(X190-W190),"-",X190-W190)</f>
        <v>11</v>
      </c>
      <c r="AW190" s="3">
        <f>IF(ISERROR(AA190-Z190),"-",AA190-Z190)</f>
        <v>5</v>
      </c>
      <c r="AX190" s="3">
        <f>IF(ISERROR(AD190-AC190),"-",AD190-AC190)</f>
        <v>4</v>
      </c>
      <c r="AY190" s="3">
        <f>IF(ISERROR(AG190-AF190),"-",AG190-AF190)</f>
        <v>6</v>
      </c>
      <c r="AZ190" s="3">
        <f>IF(ISERROR(AJ190-AI190),"-",AJ190-AI190)</f>
        <v>1</v>
      </c>
      <c r="BA190" s="3">
        <f>IF(ISERROR(LEN(VLOOKUP(A190,Seqs!A:E,2,FALSE))-AL190),"-",LEN(VLOOKUP(A190,Seqs!A:E,2,FALSE))-AL190)</f>
        <v>308</v>
      </c>
      <c r="BB190" s="16">
        <f>J190-D190</f>
        <v>28</v>
      </c>
      <c r="BC190" s="9">
        <f>IF(ISERROR(V190-S190),"-",V190-S190)</f>
        <v>20</v>
      </c>
      <c r="BD190" s="3">
        <f>J190-D190</f>
        <v>28</v>
      </c>
      <c r="BE190" s="3">
        <f>AE190-AB190</f>
        <v>52</v>
      </c>
    </row>
    <row r="191" spans="1:58" s="3" customFormat="1" x14ac:dyDescent="0.2">
      <c r="A191" s="3" t="s">
        <v>317</v>
      </c>
      <c r="B191" s="3" t="str">
        <f>LOWER(VLOOKUP(A191,Xtal_Templ!A:B,2,FALSE))</f>
        <v>ednrb_human</v>
      </c>
      <c r="C191" s="3">
        <f>VLOOKUP($A191,'SegEnds_NonXtal_BW#'!$A:$Z,3,FALSE)+D191-50</f>
        <v>33</v>
      </c>
      <c r="D191" s="3">
        <v>61</v>
      </c>
      <c r="E191" s="3">
        <f>IF(ISERROR(VLOOKUP($A191,'SegEnds_NonXtal_BW#'!$A:$Z,4,FALSE)+VLOOKUP($A191,A:AL,4,FALSE)-50),"-",(VLOOKUP($A191,'SegEnds_NonXtal_BW#'!$A:$Z,4,FALSE)+VLOOKUP($A191,A:AL,4,FALSE)-50))</f>
        <v>71</v>
      </c>
      <c r="F191" s="3">
        <f>G191-2</f>
        <v>72</v>
      </c>
      <c r="G191" s="3">
        <v>74</v>
      </c>
      <c r="H191" s="3">
        <f>G191+1</f>
        <v>75</v>
      </c>
      <c r="I191" s="3">
        <f>H191+1</f>
        <v>76</v>
      </c>
      <c r="J191" s="3">
        <v>89</v>
      </c>
      <c r="K191" s="3">
        <f>VLOOKUP($A191,'SegEnds_NonXtal_BW#'!$A:$Z,8,FALSE)+VLOOKUP($A191,A:AL,10,FALSE)-50</f>
        <v>106</v>
      </c>
      <c r="L191" s="3">
        <f>M191-1</f>
        <v>108</v>
      </c>
      <c r="M191" s="3">
        <v>109</v>
      </c>
      <c r="N191" s="3">
        <f>M191+2</f>
        <v>111</v>
      </c>
      <c r="O191" s="3">
        <f>N191+1</f>
        <v>112</v>
      </c>
      <c r="P191" s="3">
        <v>141</v>
      </c>
      <c r="Q191" s="3">
        <f>VLOOKUP($A191,'SegEnds_NonXtal_BW#'!$A:$Z,12,FALSE)+VLOOKUP($A191,A:AL,16,FALSE)-50</f>
        <v>147</v>
      </c>
      <c r="R191" s="3">
        <f>IF(ISERROR(VLOOKUP($A191,'SegEnds_NonXtal_BW#'!$A:$Z,13,FALSE)+VLOOKUP($A191,A:AL,19,FALSE)-50),"-",VLOOKUP($A191,'SegEnds_NonXtal_BW#'!$A:$Z,13,FALSE)+VLOOKUP($A191,A:AL,19,FALSE)-50)</f>
        <v>148</v>
      </c>
      <c r="S191" s="3">
        <v>148</v>
      </c>
      <c r="T191" s="103">
        <f>IF(ISERROR(VLOOKUP($A191,'SegEnds_NonXtal_BW#'!$A:$Z,14,FALSE)+VLOOKUP($A191,A:AL,19,FALSE)-50),"-",(VLOOKUP($A191,'SegEnds_NonXtal_BW#'!$A:$Z,14,FALSE)+VLOOKUP($A191,A:AL,19,FALSE)-50))</f>
        <v>155</v>
      </c>
      <c r="U191" s="9">
        <f>IF(ISERROR(VLOOKUP($A191,'SegEnds_NonXtal_BW#'!$A:$Z,15,FALSE)+VLOOKUP($A191,A:AL,22,FALSE)-50),"-",VLOOKUP($A191,'SegEnds_NonXtal_BW#'!$A:$Z,15,FALSE)+VLOOKUP($A191,A:AL,22,FALSE)-50)</f>
        <v>156</v>
      </c>
      <c r="V191" s="3">
        <v>168</v>
      </c>
      <c r="W191" s="3">
        <f>IF(ISERROR(VLOOKUP($A191,'SegEnds_NonXtal_BW#'!$A:$Z,16,FALSE)+VLOOKUP($A191,A:AL,22,FALSE)-50),"-",(VLOOKUP($A191,'SegEnds_NonXtal_BW#'!$A:$Z,16,FALSE)+VLOOKUP($A191,A:AL,22,FALSE)-50))</f>
        <v>182</v>
      </c>
      <c r="X191" s="3">
        <f>IF(ISERROR(VLOOKUP($A191,'SegEnds_NonXtal_BW#'!$A:$Z,17,FALSE)+VLOOKUP($A191,A:AL,25,FALSE)-50),"-",(VLOOKUP($A191,'SegEnds_NonXtal_BW#'!$A:$Z,17,FALSE)+VLOOKUP($A191,A:AL,25,FALSE)-50))</f>
        <v>198</v>
      </c>
      <c r="Y191" s="3">
        <v>198</v>
      </c>
      <c r="Z191" s="3">
        <f>Y191+2</f>
        <v>200</v>
      </c>
      <c r="AA191" s="3">
        <f>IF(ISERROR(VLOOKUP($A191,'SegEnds_NonXtal_BW#'!$A:$Z,19,FALSE)+VLOOKUP($A191,A:AL,28,FALSE)-50),"-",(VLOOKUP($A191,'SegEnds_NonXtal_BW#'!$A:$Z,19,FALSE)+VLOOKUP($A191,A:AL,28,FALSE)-50))</f>
        <v>202</v>
      </c>
      <c r="AB191" s="3">
        <v>224</v>
      </c>
      <c r="AC191" s="3">
        <f>IF(ISERROR((VLOOKUP($A191,'SegEnds_NonXtal_BW#'!$A:$Z,20,FALSE)+VLOOKUP($A191,A:AL,28,FALSE)-50)),"-",(VLOOKUP($A191,'SegEnds_NonXtal_BW#'!$A:$Z,20,FALSE)+VLOOKUP($A191,A:AL,28,FALSE)-50))</f>
        <v>246</v>
      </c>
      <c r="AD191" s="3">
        <f>IF(ISERROR(VLOOKUP($A191,'SegEnds_NonXtal_BW#'!$A:$Z,21,FALSE)+VLOOKUP($A191,A:AL,31,FALSE)-50),"-",(VLOOKUP($A191,'SegEnds_NonXtal_BW#'!$A:$Z,21,FALSE)+VLOOKUP($A191,A:AL,31,FALSE)-50))</f>
        <v>255</v>
      </c>
      <c r="AE191" s="3">
        <v>281</v>
      </c>
      <c r="AF191" s="3">
        <f>IF(ISERROR((VLOOKUP($A191,'SegEnds_NonXtal_BW#'!$A:$Z,22,FALSE)+VLOOKUP($A191,A:AL,31,FALSE)-50)),"-",(VLOOKUP($A191,'SegEnds_NonXtal_BW#'!$A:$Z,22,FALSE)+VLOOKUP($A191,A:AL,31,FALSE)-50))</f>
        <v>292</v>
      </c>
      <c r="AG191" s="3">
        <f>IF(ISERROR(VLOOKUP($A191,'SegEnds_NonXtal_BW#'!$A:$Z,23,FALSE)+VLOOKUP($A191,A:AL,34,FALSE)-50),"-",(VLOOKUP($A191,'SegEnds_NonXtal_BW#'!$A:$Z,23,FALSE)+VLOOKUP($A191,A:AL,34,FALSE)-50))</f>
        <v>299</v>
      </c>
      <c r="AH191" s="3">
        <v>321</v>
      </c>
      <c r="AI191" s="3">
        <f>IF(ISERROR((VLOOKUP($A191,'SegEnds_NonXtal_BW#'!$A:$Z,24,FALSE)+VLOOKUP($A191,A:AL,34,FALSE)-50)),"-",(VLOOKUP($A191,'SegEnds_NonXtal_BW#'!$A:$Z,24,FALSE)+VLOOKUP($A191,A:AL,34,FALSE)-50))</f>
        <v>327</v>
      </c>
      <c r="AJ191" s="3">
        <f>IF(ISERROR(VLOOKUP($A191,'SegEnds_NonXtal_BW#'!$A:$Z,25,FALSE)+VLOOKUP($A191,A:AL,37,FALSE)-50),"-",(VLOOKUP($A191,'SegEnds_NonXtal_BW#'!$A:$Z,25,FALSE)+VLOOKUP($A191,A:AL,37,FALSE)-50))</f>
        <v>328</v>
      </c>
      <c r="AK191" s="3">
        <v>331</v>
      </c>
      <c r="AL191" s="3">
        <f>IF(ISERROR((VLOOKUP($A191,'SegEnds_NonXtal_BW#'!$A:$Z,26,FALSE)+VLOOKUP($A191,A:AL,37,FALSE)-50)),"-",(VLOOKUP($A191,'SegEnds_NonXtal_BW#'!$A:$Z,26,FALSE)+VLOOKUP($A191,A:AL,37,FALSE)-50))</f>
        <v>341</v>
      </c>
      <c r="AM191" s="28" t="str">
        <f>VLOOKUP(A191,Classification!A:B,2,FALSE)</f>
        <v>A</v>
      </c>
      <c r="AN191" s="28" t="b">
        <f>AND(IF(Y191="-",IF(AA191-W191&gt;3,TRUE,FALSE),TRUE),IF(M191="-",IF(O191-K191&gt;3,TRUE,FALSE),TRUE),C191&lt;E191,OR(E191&lt;F191,F191="-"),OR(F191&lt;H191,F191="-"),OR(H191&lt;I191,H191="-"),I191&lt;K191,OR(K191&lt;L191,L191="-"),OR(L191&lt;N191,L191="-"),OR(N191&lt;O191,N191="-"),O191&lt;Q191,OR(Q191&lt;R191,R191="-"),OR(R191&lt;T191,R191="-"),OR(T191&lt;U191,T191="-"),U191&lt;W191,OR(W191&lt;X191,X191="-"),OR(X191&lt;Z191,X191="-"),OR(Z191&lt;AA191,Z191="-"),AA191&lt;AC191,AC191&lt;AD191,AD191&lt;AF191,AF191&lt;AG191,AG191&lt;AI191,OR(AI191&lt;AJ191,AJ191="-"),OR(AJ191&lt;AL191,AJ191="-"))</f>
        <v>1</v>
      </c>
      <c r="AO191" s="3" t="str">
        <f>IF(ISERROR(MATCH(A191,'SegEnds_Xtal_Prot#'!B:B, 0)), "NoXtal", "Xtal")</f>
        <v>NoXtal</v>
      </c>
      <c r="AP191" s="3">
        <f>IF(ISERROR(F191-E191),"-",F191-E191)</f>
        <v>1</v>
      </c>
      <c r="AQ191" s="3">
        <f>IF(ISERROR(I191-H191),"-",I191-H191)</f>
        <v>1</v>
      </c>
      <c r="AR191" s="3">
        <f>IF(ISERROR(L191-K191),"-",L191-K191)</f>
        <v>2</v>
      </c>
      <c r="AS191" s="3">
        <f>IF(ISERROR(O191-N191),"-",O191-N191)</f>
        <v>1</v>
      </c>
      <c r="AT191" s="3">
        <f>IF(ISERROR(R191-Q191),"-",R191-Q191)</f>
        <v>1</v>
      </c>
      <c r="AU191" s="3">
        <f>IF(ISERROR(U191-T191),"-",U191-T191)</f>
        <v>1</v>
      </c>
      <c r="AV191" s="3">
        <f>IF(ISERROR(X191-W191),"-",X191-W191)</f>
        <v>16</v>
      </c>
      <c r="AW191" s="3">
        <f>IF(ISERROR(AA191-Z191),"-",AA191-Z191)</f>
        <v>2</v>
      </c>
      <c r="AX191" s="3">
        <f>IF(ISERROR(AD191-AC191),"-",AD191-AC191)</f>
        <v>9</v>
      </c>
      <c r="AY191" s="3">
        <f>IF(ISERROR(AG191-AF191),"-",AG191-AF191)</f>
        <v>7</v>
      </c>
      <c r="AZ191" s="3">
        <f>IF(ISERROR(AJ191-AI191),"-",AJ191-AI191)</f>
        <v>1</v>
      </c>
      <c r="BA191" s="3">
        <f>IF(ISERROR(LEN(VLOOKUP(A191,Seqs!A:E,2,FALSE))-AL191),"-",LEN(VLOOKUP(A191,Seqs!A:E,2,FALSE))-AL191)</f>
        <v>49</v>
      </c>
      <c r="BB191" s="16">
        <f>J191-D191</f>
        <v>28</v>
      </c>
      <c r="BC191" s="9">
        <f>IF(ISERROR(V191-S191),"-",V191-S191)</f>
        <v>20</v>
      </c>
      <c r="BD191" s="3">
        <f>J191-D191</f>
        <v>28</v>
      </c>
      <c r="BE191" s="3">
        <f>AE191-AB191</f>
        <v>57</v>
      </c>
    </row>
    <row r="192" spans="1:58" s="3" customFormat="1" x14ac:dyDescent="0.2">
      <c r="A192" s="3" t="s">
        <v>318</v>
      </c>
      <c r="B192" s="3" t="str">
        <f>LOWER(VLOOKUP(A192,Xtal_Templ!A:B,2,FALSE))</f>
        <v>ntr1_rat</v>
      </c>
      <c r="C192" s="3">
        <f>VLOOKUP($A192,'SegEnds_NonXtal_BW#'!$A:$Z,3,FALSE)+D192-50</f>
        <v>57</v>
      </c>
      <c r="D192" s="3">
        <v>78</v>
      </c>
      <c r="E192" s="3">
        <f>IF(ISERROR(VLOOKUP($A192,'SegEnds_NonXtal_BW#'!$A:$Z,4,FALSE)+VLOOKUP($A192,A:AL,4,FALSE)-50),"-",(VLOOKUP($A192,'SegEnds_NonXtal_BW#'!$A:$Z,4,FALSE)+VLOOKUP($A192,A:AL,4,FALSE)-50))</f>
        <v>88</v>
      </c>
      <c r="F192" s="3">
        <f>G192-2</f>
        <v>89</v>
      </c>
      <c r="G192" s="3">
        <v>91</v>
      </c>
      <c r="H192" s="3">
        <f>G192+1</f>
        <v>92</v>
      </c>
      <c r="I192" s="3">
        <f>H192+1</f>
        <v>93</v>
      </c>
      <c r="J192" s="3">
        <v>106</v>
      </c>
      <c r="K192" s="3">
        <f>VLOOKUP($A192,'SegEnds_NonXtal_BW#'!$A:$Z,8,FALSE)+VLOOKUP($A192,A:AL,10,FALSE)-50</f>
        <v>122</v>
      </c>
      <c r="L192" s="3">
        <f>M192-1</f>
        <v>124</v>
      </c>
      <c r="M192" s="3">
        <v>125</v>
      </c>
      <c r="N192" s="3">
        <f>M192+2</f>
        <v>127</v>
      </c>
      <c r="O192" s="3">
        <f>N192+1</f>
        <v>128</v>
      </c>
      <c r="P192" s="3">
        <v>159</v>
      </c>
      <c r="Q192" s="3">
        <f>VLOOKUP($A192,'SegEnds_NonXtal_BW#'!$A:$Z,12,FALSE)+VLOOKUP($A192,A:AL,16,FALSE)-50</f>
        <v>165</v>
      </c>
      <c r="R192" s="3">
        <f>IF(ISERROR(VLOOKUP($A192,'SegEnds_NonXtal_BW#'!$A:$Z,13,FALSE)+VLOOKUP($A192,A:AL,19,FALSE)-50),"-",VLOOKUP($A192,'SegEnds_NonXtal_BW#'!$A:$Z,13,FALSE)+VLOOKUP($A192,A:AL,19,FALSE)-50)</f>
        <v>166</v>
      </c>
      <c r="S192" s="3">
        <v>166</v>
      </c>
      <c r="T192" s="103">
        <f>IF(ISERROR(VLOOKUP($A192,'SegEnds_NonXtal_BW#'!$A:$Z,14,FALSE)+VLOOKUP($A192,A:AL,19,FALSE)-50),"-",(VLOOKUP($A192,'SegEnds_NonXtal_BW#'!$A:$Z,14,FALSE)+VLOOKUP($A192,A:AL,19,FALSE)-50))</f>
        <v>173</v>
      </c>
      <c r="U192" s="9">
        <f>IF(ISERROR(VLOOKUP($A192,'SegEnds_NonXtal_BW#'!$A:$Z,15,FALSE)+VLOOKUP($A192,A:AL,22,FALSE)-50),"-",VLOOKUP($A192,'SegEnds_NonXtal_BW#'!$A:$Z,15,FALSE)+VLOOKUP($A192,A:AL,22,FALSE)-50)</f>
        <v>174</v>
      </c>
      <c r="V192" s="3">
        <v>186</v>
      </c>
      <c r="W192" s="3">
        <f>IF(ISERROR(VLOOKUP($A192,'SegEnds_NonXtal_BW#'!$A:$Z,16,FALSE)+VLOOKUP($A192,A:AL,22,FALSE)-50),"-",(VLOOKUP($A192,'SegEnds_NonXtal_BW#'!$A:$Z,16,FALSE)+VLOOKUP($A192,A:AL,22,FALSE)-50))</f>
        <v>200</v>
      </c>
      <c r="X192" s="3">
        <f>IF(ISERROR(VLOOKUP($A192,'SegEnds_NonXtal_BW#'!$A:$Z,17,FALSE)+VLOOKUP($A192,A:AL,25,FALSE)-50),"-",(VLOOKUP($A192,'SegEnds_NonXtal_BW#'!$A:$Z,17,FALSE)+VLOOKUP($A192,A:AL,25,FALSE)-50))</f>
        <v>219</v>
      </c>
      <c r="Y192" s="3">
        <v>219</v>
      </c>
      <c r="Z192" s="3">
        <f>Y192+2</f>
        <v>221</v>
      </c>
      <c r="AA192" s="3">
        <f>IF(ISERROR(VLOOKUP($A192,'SegEnds_NonXtal_BW#'!$A:$Z,19,FALSE)+VLOOKUP($A192,A:AL,28,FALSE)-50),"-",(VLOOKUP($A192,'SegEnds_NonXtal_BW#'!$A:$Z,19,FALSE)+VLOOKUP($A192,A:AL,28,FALSE)-50))</f>
        <v>225</v>
      </c>
      <c r="AB192" s="3">
        <v>243</v>
      </c>
      <c r="AC192" s="3">
        <f>IF(ISERROR((VLOOKUP($A192,'SegEnds_NonXtal_BW#'!$A:$Z,20,FALSE)+VLOOKUP($A192,A:AL,28,FALSE)-50)),"-",(VLOOKUP($A192,'SegEnds_NonXtal_BW#'!$A:$Z,20,FALSE)+VLOOKUP($A192,A:AL,28,FALSE)-50))</f>
        <v>269</v>
      </c>
      <c r="AD192" s="3">
        <f>IF(ISERROR(VLOOKUP($A192,'SegEnds_NonXtal_BW#'!$A:$Z,21,FALSE)+VLOOKUP($A192,A:AL,31,FALSE)-50),"-",(VLOOKUP($A192,'SegEnds_NonXtal_BW#'!$A:$Z,21,FALSE)+VLOOKUP($A192,A:AL,31,FALSE)-50))</f>
        <v>286</v>
      </c>
      <c r="AE192" s="3">
        <v>312</v>
      </c>
      <c r="AF192" s="3">
        <f>IF(ISERROR((VLOOKUP($A192,'SegEnds_NonXtal_BW#'!$A:$Z,22,FALSE)+VLOOKUP($A192,A:AL,31,FALSE)-50)),"-",(VLOOKUP($A192,'SegEnds_NonXtal_BW#'!$A:$Z,22,FALSE)+VLOOKUP($A192,A:AL,31,FALSE)-50))</f>
        <v>323</v>
      </c>
      <c r="AG192" s="3">
        <f>IF(ISERROR(VLOOKUP($A192,'SegEnds_NonXtal_BW#'!$A:$Z,23,FALSE)+VLOOKUP($A192,A:AL,34,FALSE)-50),"-",(VLOOKUP($A192,'SegEnds_NonXtal_BW#'!$A:$Z,23,FALSE)+VLOOKUP($A192,A:AL,34,FALSE)-50))</f>
        <v>331</v>
      </c>
      <c r="AH192" s="3">
        <v>353</v>
      </c>
      <c r="AI192" s="3">
        <f>IF(ISERROR((VLOOKUP($A192,'SegEnds_NonXtal_BW#'!$A:$Z,24,FALSE)+VLOOKUP($A192,A:AL,34,FALSE)-50)),"-",(VLOOKUP($A192,'SegEnds_NonXtal_BW#'!$A:$Z,24,FALSE)+VLOOKUP($A192,A:AL,34,FALSE)-50))</f>
        <v>359</v>
      </c>
      <c r="AJ192" s="3">
        <f>IF(ISERROR(VLOOKUP($A192,'SegEnds_NonXtal_BW#'!$A:$Z,25,FALSE)+VLOOKUP($A192,A:AL,37,FALSE)-50),"-",(VLOOKUP($A192,'SegEnds_NonXtal_BW#'!$A:$Z,25,FALSE)+VLOOKUP($A192,A:AL,37,FALSE)-50))</f>
        <v>360</v>
      </c>
      <c r="AK192" s="3">
        <v>363</v>
      </c>
      <c r="AL192" s="3">
        <f>IF(ISERROR((VLOOKUP($A192,'SegEnds_NonXtal_BW#'!$A:$Z,26,FALSE)+VLOOKUP($A192,A:AL,37,FALSE)-50)),"-",(VLOOKUP($A192,'SegEnds_NonXtal_BW#'!$A:$Z,26,FALSE)+VLOOKUP($A192,A:AL,37,FALSE)-50))</f>
        <v>371</v>
      </c>
      <c r="AM192" s="28" t="str">
        <f>VLOOKUP(A192,Classification!A:B,2,FALSE)</f>
        <v>A</v>
      </c>
      <c r="AN192" s="28" t="b">
        <f>AND(IF(Y192="-",IF(AA192-W192&gt;3,TRUE,FALSE),TRUE),IF(M192="-",IF(O192-K192&gt;3,TRUE,FALSE),TRUE),C192&lt;E192,OR(E192&lt;F192,F192="-"),OR(F192&lt;H192,F192="-"),OR(H192&lt;I192,H192="-"),I192&lt;K192,OR(K192&lt;L192,L192="-"),OR(L192&lt;N192,L192="-"),OR(N192&lt;O192,N192="-"),O192&lt;Q192,OR(Q192&lt;R192,R192="-"),OR(R192&lt;T192,R192="-"),OR(T192&lt;U192,T192="-"),U192&lt;W192,OR(W192&lt;X192,X192="-"),OR(X192&lt;Z192,X192="-"),OR(Z192&lt;AA192,Z192="-"),AA192&lt;AC192,AC192&lt;AD192,AD192&lt;AF192,AF192&lt;AG192,AG192&lt;AI192,OR(AI192&lt;AJ192,AJ192="-"),OR(AJ192&lt;AL192,AJ192="-"))</f>
        <v>1</v>
      </c>
      <c r="AO192" s="3" t="str">
        <f>IF(ISERROR(MATCH(A192,'SegEnds_Xtal_Prot#'!B:B, 0)), "NoXtal", "Xtal")</f>
        <v>NoXtal</v>
      </c>
      <c r="AP192" s="3">
        <f>IF(ISERROR(F192-E192),"-",F192-E192)</f>
        <v>1</v>
      </c>
      <c r="AQ192" s="3">
        <f>IF(ISERROR(I192-H192),"-",I192-H192)</f>
        <v>1</v>
      </c>
      <c r="AR192" s="3">
        <f>IF(ISERROR(L192-K192),"-",L192-K192)</f>
        <v>2</v>
      </c>
      <c r="AS192" s="3">
        <f>IF(ISERROR(O192-N192),"-",O192-N192)</f>
        <v>1</v>
      </c>
      <c r="AT192" s="3">
        <f>IF(ISERROR(R192-Q192),"-",R192-Q192)</f>
        <v>1</v>
      </c>
      <c r="AU192" s="3">
        <f>IF(ISERROR(U192-T192),"-",U192-T192)</f>
        <v>1</v>
      </c>
      <c r="AV192" s="3">
        <f>IF(ISERROR(X192-W192),"-",X192-W192)</f>
        <v>19</v>
      </c>
      <c r="AW192" s="3">
        <f>IF(ISERROR(AA192-Z192),"-",AA192-Z192)</f>
        <v>4</v>
      </c>
      <c r="AX192" s="3">
        <f>IF(ISERROR(AD192-AC192),"-",AD192-AC192)</f>
        <v>17</v>
      </c>
      <c r="AY192" s="3">
        <f>IF(ISERROR(AG192-AF192),"-",AG192-AF192)</f>
        <v>8</v>
      </c>
      <c r="AZ192" s="3">
        <f>IF(ISERROR(AJ192-AI192),"-",AJ192-AI192)</f>
        <v>1</v>
      </c>
      <c r="BA192" s="3">
        <f>IF(ISERROR(LEN(VLOOKUP(A192,Seqs!A:E,2,FALSE))-AL192),"-",LEN(VLOOKUP(A192,Seqs!A:E,2,FALSE))-AL192)</f>
        <v>55</v>
      </c>
      <c r="BB192" s="16">
        <f>J192-D192</f>
        <v>28</v>
      </c>
      <c r="BC192" s="9">
        <f>IF(ISERROR(V192-S192),"-",V192-S192)</f>
        <v>20</v>
      </c>
      <c r="BD192" s="3">
        <f>J192-D192</f>
        <v>28</v>
      </c>
      <c r="BE192" s="3">
        <f>AE192-AB192</f>
        <v>69</v>
      </c>
    </row>
    <row r="193" spans="1:58" s="3" customFormat="1" x14ac:dyDescent="0.2">
      <c r="A193" s="3" t="s">
        <v>319</v>
      </c>
      <c r="B193" s="3" t="str">
        <f>LOWER(VLOOKUP(A193,Xtal_Templ!A:B,2,FALSE))</f>
        <v>ntr1_rat</v>
      </c>
      <c r="C193" s="3">
        <f>VLOOKUP($A193,'SegEnds_NonXtal_BW#'!$A:$Z,3,FALSE)+D193-50</f>
        <v>42</v>
      </c>
      <c r="D193" s="3">
        <v>63</v>
      </c>
      <c r="E193" s="3">
        <f>IF(ISERROR(VLOOKUP($A193,'SegEnds_NonXtal_BW#'!$A:$Z,4,FALSE)+VLOOKUP($A193,A:AL,4,FALSE)-50),"-",(VLOOKUP($A193,'SegEnds_NonXtal_BW#'!$A:$Z,4,FALSE)+VLOOKUP($A193,A:AL,4,FALSE)-50))</f>
        <v>73</v>
      </c>
      <c r="F193" s="3">
        <f>G193-2</f>
        <v>74</v>
      </c>
      <c r="G193" s="3">
        <v>76</v>
      </c>
      <c r="H193" s="3">
        <f>G193+1</f>
        <v>77</v>
      </c>
      <c r="I193" s="3">
        <f>H193+1</f>
        <v>78</v>
      </c>
      <c r="J193" s="3">
        <v>91</v>
      </c>
      <c r="K193" s="3">
        <f>VLOOKUP($A193,'SegEnds_NonXtal_BW#'!$A:$Z,8,FALSE)+VLOOKUP($A193,A:AL,10,FALSE)-50</f>
        <v>107</v>
      </c>
      <c r="L193" s="3">
        <f>M193-1</f>
        <v>109</v>
      </c>
      <c r="M193" s="3">
        <v>110</v>
      </c>
      <c r="N193" s="3">
        <f>M193+2</f>
        <v>112</v>
      </c>
      <c r="O193" s="3">
        <f>N193+1</f>
        <v>113</v>
      </c>
      <c r="P193" s="3">
        <v>144</v>
      </c>
      <c r="Q193" s="3">
        <f>VLOOKUP($A193,'SegEnds_NonXtal_BW#'!$A:$Z,12,FALSE)+VLOOKUP($A193,A:AL,16,FALSE)-50</f>
        <v>150</v>
      </c>
      <c r="R193" s="3">
        <f>IF(ISERROR(VLOOKUP($A193,'SegEnds_NonXtal_BW#'!$A:$Z,13,FALSE)+VLOOKUP($A193,A:AL,19,FALSE)-50),"-",VLOOKUP($A193,'SegEnds_NonXtal_BW#'!$A:$Z,13,FALSE)+VLOOKUP($A193,A:AL,19,FALSE)-50)</f>
        <v>151</v>
      </c>
      <c r="S193" s="3">
        <v>151</v>
      </c>
      <c r="T193" s="103">
        <f>IF(ISERROR(VLOOKUP($A193,'SegEnds_NonXtal_BW#'!$A:$Z,14,FALSE)+VLOOKUP($A193,A:AL,19,FALSE)-50),"-",(VLOOKUP($A193,'SegEnds_NonXtal_BW#'!$A:$Z,14,FALSE)+VLOOKUP($A193,A:AL,19,FALSE)-50))</f>
        <v>158</v>
      </c>
      <c r="U193" s="9">
        <f>IF(ISERROR(VLOOKUP($A193,'SegEnds_NonXtal_BW#'!$A:$Z,15,FALSE)+VLOOKUP($A193,A:AL,22,FALSE)-50),"-",VLOOKUP($A193,'SegEnds_NonXtal_BW#'!$A:$Z,15,FALSE)+VLOOKUP($A193,A:AL,22,FALSE)-50)</f>
        <v>159</v>
      </c>
      <c r="V193" s="3">
        <v>171</v>
      </c>
      <c r="W193" s="3">
        <f>IF(ISERROR(VLOOKUP($A193,'SegEnds_NonXtal_BW#'!$A:$Z,16,FALSE)+VLOOKUP($A193,A:AL,22,FALSE)-50),"-",(VLOOKUP($A193,'SegEnds_NonXtal_BW#'!$A:$Z,16,FALSE)+VLOOKUP($A193,A:AL,22,FALSE)-50))</f>
        <v>185</v>
      </c>
      <c r="X193" s="3">
        <f>IF(ISERROR(VLOOKUP($A193,'SegEnds_NonXtal_BW#'!$A:$Z,17,FALSE)+VLOOKUP($A193,A:AL,25,FALSE)-50),"-",(VLOOKUP($A193,'SegEnds_NonXtal_BW#'!$A:$Z,17,FALSE)+VLOOKUP($A193,A:AL,25,FALSE)-50))</f>
        <v>204</v>
      </c>
      <c r="Y193" s="3">
        <v>204</v>
      </c>
      <c r="Z193" s="3">
        <f>Y193+2</f>
        <v>206</v>
      </c>
      <c r="AA193" s="3">
        <f>IF(ISERROR(VLOOKUP($A193,'SegEnds_NonXtal_BW#'!$A:$Z,19,FALSE)+VLOOKUP($A193,A:AL,28,FALSE)-50),"-",(VLOOKUP($A193,'SegEnds_NonXtal_BW#'!$A:$Z,19,FALSE)+VLOOKUP($A193,A:AL,28,FALSE)-50))</f>
        <v>210</v>
      </c>
      <c r="AB193" s="3">
        <v>228</v>
      </c>
      <c r="AC193" s="3">
        <f>IF(ISERROR((VLOOKUP($A193,'SegEnds_NonXtal_BW#'!$A:$Z,20,FALSE)+VLOOKUP($A193,A:AL,28,FALSE)-50)),"-",(VLOOKUP($A193,'SegEnds_NonXtal_BW#'!$A:$Z,20,FALSE)+VLOOKUP($A193,A:AL,28,FALSE)-50))</f>
        <v>251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283</v>
      </c>
      <c r="AF193" s="3">
        <f>IF(ISERROR((VLOOKUP($A193,'SegEnds_NonXtal_BW#'!$A:$Z,22,FALSE)+VLOOKUP($A193,A:AL,31,FALSE)-50)),"-",(VLOOKUP($A193,'SegEnds_NonXtal_BW#'!$A:$Z,22,FALSE)+VLOOKUP($A193,A:AL,31,FALSE)-50))</f>
        <v>294</v>
      </c>
      <c r="AG193" s="3">
        <f>IF(ISERROR(VLOOKUP($A193,'SegEnds_NonXtal_BW#'!$A:$Z,23,FALSE)+VLOOKUP($A193,A:AL,34,FALSE)-50),"-",(VLOOKUP($A193,'SegEnds_NonXtal_BW#'!$A:$Z,23,FALSE)+VLOOKUP($A193,A:AL,34,FALSE)-50))</f>
        <v>302</v>
      </c>
      <c r="AH193" s="3">
        <v>324</v>
      </c>
      <c r="AI193" s="3">
        <f>IF(ISERROR((VLOOKUP($A193,'SegEnds_NonXtal_BW#'!$A:$Z,24,FALSE)+VLOOKUP($A193,A:AL,34,FALSE)-50)),"-",(VLOOKUP($A193,'SegEnds_NonXtal_BW#'!$A:$Z,24,FALSE)+VLOOKUP($A193,A:AL,34,FALSE)-50))</f>
        <v>330</v>
      </c>
      <c r="AJ193" s="3">
        <f>IF(ISERROR(VLOOKUP($A193,'SegEnds_NonXtal_BW#'!$A:$Z,25,FALSE)+VLOOKUP($A193,A:AL,37,FALSE)-50),"-",(VLOOKUP($A193,'SegEnds_NonXtal_BW#'!$A:$Z,25,FALSE)+VLOOKUP($A193,A:AL,37,FALSE)-50))</f>
        <v>331</v>
      </c>
      <c r="AK193" s="3">
        <v>334</v>
      </c>
      <c r="AL193" s="3">
        <f>IF(ISERROR((VLOOKUP($A193,'SegEnds_NonXtal_BW#'!$A:$Z,26,FALSE)+VLOOKUP($A193,A:AL,37,FALSE)-50)),"-",(VLOOKUP($A193,'SegEnds_NonXtal_BW#'!$A:$Z,26,FALSE)+VLOOKUP($A193,A:AL,37,FALSE)-50))</f>
        <v>342</v>
      </c>
      <c r="AM193" s="28" t="str">
        <f>VLOOKUP(A193,Classification!A:B,2,FALSE)</f>
        <v>A</v>
      </c>
      <c r="AN193" s="28" t="b">
        <f>AND(IF(Y193="-",IF(AA193-W193&gt;3,TRUE,FALSE),TRUE),IF(M193="-",IF(O193-K193&gt;3,TRUE,FALSE),TRUE),C193&lt;E193,OR(E193&lt;F193,F193="-"),OR(F193&lt;H193,F193="-"),OR(H193&lt;I193,H193="-"),I193&lt;K193,OR(K193&lt;L193,L193="-"),OR(L193&lt;N193,L193="-"),OR(N193&lt;O193,N193="-"),O193&lt;Q193,OR(Q193&lt;R193,R193="-"),OR(R193&lt;T193,R193="-"),OR(T193&lt;U193,T193="-"),U193&lt;W193,OR(W193&lt;X193,X193="-"),OR(X193&lt;Z193,X193="-"),OR(Z193&lt;AA193,Z193="-"),AA193&lt;AC193,AC193&lt;AD193,AD193&lt;AF193,AF193&lt;AG193,AG193&lt;AI193,OR(AI193&lt;AJ193,AJ193="-"),OR(AJ193&lt;AL193,AJ193="-"))</f>
        <v>1</v>
      </c>
      <c r="AO193" s="3" t="str">
        <f>IF(ISERROR(MATCH(A193,'SegEnds_Xtal_Prot#'!B:B, 0)), "NoXtal", "Xtal")</f>
        <v>NoXtal</v>
      </c>
      <c r="AP193" s="3">
        <f>IF(ISERROR(F193-E193),"-",F193-E193)</f>
        <v>1</v>
      </c>
      <c r="AQ193" s="3">
        <f>IF(ISERROR(I193-H193),"-",I193-H193)</f>
        <v>1</v>
      </c>
      <c r="AR193" s="3">
        <f>IF(ISERROR(L193-K193),"-",L193-K193)</f>
        <v>2</v>
      </c>
      <c r="AS193" s="3">
        <f>IF(ISERROR(O193-N193),"-",O193-N193)</f>
        <v>1</v>
      </c>
      <c r="AT193" s="3">
        <f>IF(ISERROR(R193-Q193),"-",R193-Q193)</f>
        <v>1</v>
      </c>
      <c r="AU193" s="3">
        <f>IF(ISERROR(U193-T193),"-",U193-T193)</f>
        <v>1</v>
      </c>
      <c r="AV193" s="3">
        <f>IF(ISERROR(X193-W193),"-",X193-W193)</f>
        <v>19</v>
      </c>
      <c r="AW193" s="3">
        <f>IF(ISERROR(AA193-Z193),"-",AA193-Z193)</f>
        <v>4</v>
      </c>
      <c r="AX193" s="3">
        <f>IF(ISERROR(AD193-AC193),"-",AD193-AC193)</f>
        <v>4</v>
      </c>
      <c r="AY193" s="3">
        <f>IF(ISERROR(AG193-AF193),"-",AG193-AF193)</f>
        <v>8</v>
      </c>
      <c r="AZ193" s="3">
        <f>IF(ISERROR(AJ193-AI193),"-",AJ193-AI193)</f>
        <v>1</v>
      </c>
      <c r="BA193" s="3">
        <f>IF(ISERROR(LEN(VLOOKUP(A193,Seqs!A:E,2,FALSE))-AL193),"-",LEN(VLOOKUP(A193,Seqs!A:E,2,FALSE))-AL193)</f>
        <v>73</v>
      </c>
      <c r="BB193" s="16">
        <f>J193-D193</f>
        <v>28</v>
      </c>
      <c r="BC193" s="9">
        <f>IF(ISERROR(V193-S193),"-",V193-S193)</f>
        <v>20</v>
      </c>
      <c r="BD193" s="3">
        <f>J193-D193</f>
        <v>28</v>
      </c>
      <c r="BE193" s="3">
        <f>AE193-AB193</f>
        <v>55</v>
      </c>
    </row>
    <row r="194" spans="1:58" s="3" customFormat="1" x14ac:dyDescent="0.2">
      <c r="A194" s="3" t="s">
        <v>127</v>
      </c>
      <c r="B194" s="3" t="str">
        <f>LOWER(VLOOKUP(A194,Xtal_Templ!A:B,2,FALSE))</f>
        <v>ntr1_rat</v>
      </c>
      <c r="C194" s="3">
        <f>VLOOKUP($A194,'SegEnds_NonXtal_BW#'!$A:$Z,3,FALSE)+D194-50</f>
        <v>60</v>
      </c>
      <c r="D194" s="3">
        <v>81</v>
      </c>
      <c r="E194" s="3">
        <f>IF(ISERROR(VLOOKUP($A194,'SegEnds_NonXtal_BW#'!$A:$Z,4,FALSE)+VLOOKUP($A194,A:AL,4,FALSE)-50),"-",(VLOOKUP($A194,'SegEnds_NonXtal_BW#'!$A:$Z,4,FALSE)+VLOOKUP($A194,A:AL,4,FALSE)-50))</f>
        <v>91</v>
      </c>
      <c r="F194" s="3">
        <f>G194-2</f>
        <v>92</v>
      </c>
      <c r="G194" s="3">
        <v>94</v>
      </c>
      <c r="H194" s="3">
        <f>G194+1</f>
        <v>95</v>
      </c>
      <c r="I194" s="3">
        <f>H194+1</f>
        <v>96</v>
      </c>
      <c r="J194" s="3">
        <v>112</v>
      </c>
      <c r="K194" s="3">
        <f>VLOOKUP($A194,'SegEnds_NonXtal_BW#'!$A:$Z,8,FALSE)+VLOOKUP($A194,A:AL,10,FALSE)-50</f>
        <v>130</v>
      </c>
      <c r="L194" s="3">
        <f>M194-1</f>
        <v>133</v>
      </c>
      <c r="M194" s="3">
        <v>134</v>
      </c>
      <c r="N194" s="3">
        <f>M194+2</f>
        <v>136</v>
      </c>
      <c r="O194" s="3">
        <f>N194+1</f>
        <v>137</v>
      </c>
      <c r="P194" s="3">
        <v>166</v>
      </c>
      <c r="Q194" s="3">
        <f>VLOOKUP($A194,'SegEnds_NonXtal_BW#'!$A:$Z,12,FALSE)+VLOOKUP($A194,A:AL,16,FALSE)-50</f>
        <v>172</v>
      </c>
      <c r="R194" s="3">
        <f>IF(ISERROR(VLOOKUP($A194,'SegEnds_NonXtal_BW#'!$A:$Z,13,FALSE)+VLOOKUP($A194,A:AL,19,FALSE)-50),"-",VLOOKUP($A194,'SegEnds_NonXtal_BW#'!$A:$Z,13,FALSE)+VLOOKUP($A194,A:AL,19,FALSE)-50)</f>
        <v>173</v>
      </c>
      <c r="S194" s="3">
        <v>173</v>
      </c>
      <c r="T194" s="103">
        <f>IF(ISERROR(VLOOKUP($A194,'SegEnds_NonXtal_BW#'!$A:$Z,14,FALSE)+VLOOKUP($A194,A:AL,19,FALSE)-50),"-",(VLOOKUP($A194,'SegEnds_NonXtal_BW#'!$A:$Z,14,FALSE)+VLOOKUP($A194,A:AL,19,FALSE)-50))</f>
        <v>180</v>
      </c>
      <c r="U194" s="9">
        <f>IF(ISERROR(VLOOKUP($A194,'SegEnds_NonXtal_BW#'!$A:$Z,15,FALSE)+VLOOKUP($A194,A:AL,22,FALSE)-50),"-",VLOOKUP($A194,'SegEnds_NonXtal_BW#'!$A:$Z,15,FALSE)+VLOOKUP($A194,A:AL,22,FALSE)-50)</f>
        <v>181</v>
      </c>
      <c r="V194" s="3">
        <v>193</v>
      </c>
      <c r="W194" s="3">
        <f>IF(ISERROR(VLOOKUP($A194,'SegEnds_NonXtal_BW#'!$A:$Z,16,FALSE)+VLOOKUP($A194,A:AL,22,FALSE)-50),"-",(VLOOKUP($A194,'SegEnds_NonXtal_BW#'!$A:$Z,16,FALSE)+VLOOKUP($A194,A:AL,22,FALSE)-50))</f>
        <v>207</v>
      </c>
      <c r="X194" s="3">
        <f>IF(ISERROR(VLOOKUP($A194,'SegEnds_NonXtal_BW#'!$A:$Z,17,FALSE)+VLOOKUP($A194,A:AL,25,FALSE)-50),"-",(VLOOKUP($A194,'SegEnds_NonXtal_BW#'!$A:$Z,17,FALSE)+VLOOKUP($A194,A:AL,25,FALSE)-50))</f>
        <v>224</v>
      </c>
      <c r="Y194" s="3">
        <v>224</v>
      </c>
      <c r="Z194" s="3">
        <f>Y194+2</f>
        <v>226</v>
      </c>
      <c r="AA194" s="3">
        <f>IF(ISERROR(VLOOKUP($A194,'SegEnds_NonXtal_BW#'!$A:$Z,19,FALSE)+VLOOKUP($A194,A:AL,28,FALSE)-50),"-",(VLOOKUP($A194,'SegEnds_NonXtal_BW#'!$A:$Z,19,FALSE)+VLOOKUP($A194,A:AL,28,FALSE)-50))</f>
        <v>230</v>
      </c>
      <c r="AB194" s="3">
        <v>248</v>
      </c>
      <c r="AC194" s="3">
        <f>IF(ISERROR((VLOOKUP($A194,'SegEnds_NonXtal_BW#'!$A:$Z,20,FALSE)+VLOOKUP($A194,A:AL,28,FALSE)-50)),"-",(VLOOKUP($A194,'SegEnds_NonXtal_BW#'!$A:$Z,20,FALSE)+VLOOKUP($A194,A:AL,28,FALSE)-50))</f>
        <v>274</v>
      </c>
      <c r="AD194" s="3">
        <f>IF(ISERROR(VLOOKUP($A194,'SegEnds_NonXtal_BW#'!$A:$Z,21,FALSE)+VLOOKUP($A194,A:AL,31,FALSE)-50),"-",(VLOOKUP($A194,'SegEnds_NonXtal_BW#'!$A:$Z,21,FALSE)+VLOOKUP($A194,A:AL,31,FALSE)-50))</f>
        <v>292</v>
      </c>
      <c r="AE194" s="3">
        <v>318</v>
      </c>
      <c r="AF194" s="3">
        <f>IF(ISERROR((VLOOKUP($A194,'SegEnds_NonXtal_BW#'!$A:$Z,22,FALSE)+VLOOKUP($A194,A:AL,31,FALSE)-50)),"-",(VLOOKUP($A194,'SegEnds_NonXtal_BW#'!$A:$Z,22,FALSE)+VLOOKUP($A194,A:AL,31,FALSE)-50))</f>
        <v>329</v>
      </c>
      <c r="AG194" s="3">
        <f>IF(ISERROR(VLOOKUP($A194,'SegEnds_NonXtal_BW#'!$A:$Z,23,FALSE)+VLOOKUP($A194,A:AL,34,FALSE)-50),"-",(VLOOKUP($A194,'SegEnds_NonXtal_BW#'!$A:$Z,23,FALSE)+VLOOKUP($A194,A:AL,34,FALSE)-50))</f>
        <v>335</v>
      </c>
      <c r="AH194" s="3">
        <v>361</v>
      </c>
      <c r="AI194" s="3">
        <f>IF(ISERROR((VLOOKUP($A194,'SegEnds_NonXtal_BW#'!$A:$Z,24,FALSE)+VLOOKUP($A194,A:AL,34,FALSE)-50)),"-",(VLOOKUP($A194,'SegEnds_NonXtal_BW#'!$A:$Z,24,FALSE)+VLOOKUP($A194,A:AL,34,FALSE)-50))</f>
        <v>367</v>
      </c>
      <c r="AJ194" s="3">
        <f>IF(ISERROR(VLOOKUP($A194,'SegEnds_NonXtal_BW#'!$A:$Z,25,FALSE)+VLOOKUP($A194,A:AL,37,FALSE)-50),"-",(VLOOKUP($A194,'SegEnds_NonXtal_BW#'!$A:$Z,25,FALSE)+VLOOKUP($A194,A:AL,37,FALSE)-50))</f>
        <v>368</v>
      </c>
      <c r="AK194" s="3">
        <v>371</v>
      </c>
      <c r="AL194" s="3">
        <f>IF(ISERROR((VLOOKUP($A194,'SegEnds_NonXtal_BW#'!$A:$Z,26,FALSE)+VLOOKUP($A194,A:AL,37,FALSE)-50)),"-",(VLOOKUP($A194,'SegEnds_NonXtal_BW#'!$A:$Z,26,FALSE)+VLOOKUP($A194,A:AL,37,FALSE)-50))</f>
        <v>379</v>
      </c>
      <c r="AM194" s="28" t="str">
        <f>VLOOKUP(A194,Classification!A:B,2,FALSE)</f>
        <v>A</v>
      </c>
      <c r="AN194" s="28" t="b">
        <f>AND(IF(Y194="-",IF(AA194-W194&gt;3,TRUE,FALSE),TRUE),IF(M194="-",IF(O194-K194&gt;3,TRUE,FALSE),TRUE),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 t="str">
        <f>IF(ISERROR(MATCH(A194,'SegEnds_Xtal_Prot#'!B:B, 0)), "NoXtal", "Xtal")</f>
        <v>NoXtal</v>
      </c>
      <c r="AP194" s="3">
        <f>IF(ISERROR(F194-E194),"-",F194-E194)</f>
        <v>1</v>
      </c>
      <c r="AQ194" s="3">
        <f>IF(ISERROR(I194-H194),"-",I194-H194)</f>
        <v>1</v>
      </c>
      <c r="AR194" s="3">
        <f>IF(ISERROR(L194-K194),"-",L194-K194)</f>
        <v>3</v>
      </c>
      <c r="AS194" s="3">
        <f>IF(ISERROR(O194-N194),"-",O194-N194)</f>
        <v>1</v>
      </c>
      <c r="AT194" s="3">
        <f>IF(ISERROR(R194-Q194),"-",R194-Q194)</f>
        <v>1</v>
      </c>
      <c r="AU194" s="3">
        <f>IF(ISERROR(U194-T194),"-",U194-T194)</f>
        <v>1</v>
      </c>
      <c r="AV194" s="3">
        <f>IF(ISERROR(X194-W194),"-",X194-W194)</f>
        <v>17</v>
      </c>
      <c r="AW194" s="3">
        <f>IF(ISERROR(AA194-Z194),"-",AA194-Z194)</f>
        <v>4</v>
      </c>
      <c r="AX194" s="3">
        <f>IF(ISERROR(AD194-AC194),"-",AD194-AC194)</f>
        <v>18</v>
      </c>
      <c r="AY194" s="3">
        <f>IF(ISERROR(AG194-AF194),"-",AG194-AF194)</f>
        <v>6</v>
      </c>
      <c r="AZ194" s="3">
        <f>IF(ISERROR(AJ194-AI194),"-",AJ194-AI194)</f>
        <v>1</v>
      </c>
      <c r="BA194" s="3">
        <f>IF(ISERROR(LEN(VLOOKUP(A194,Seqs!A:E,2,FALSE))-AL194),"-",LEN(VLOOKUP(A194,Seqs!A:E,2,FALSE))-AL194)</f>
        <v>39</v>
      </c>
      <c r="BB194" s="16">
        <f>J194-D194</f>
        <v>31</v>
      </c>
      <c r="BC194" s="9">
        <f>IF(ISERROR(V194-S194),"-",V194-S194)</f>
        <v>20</v>
      </c>
      <c r="BD194" s="3">
        <f>J194-D194</f>
        <v>31</v>
      </c>
      <c r="BE194" s="3">
        <f>AE194-AB194</f>
        <v>70</v>
      </c>
    </row>
    <row r="195" spans="1:58" s="3" customFormat="1" x14ac:dyDescent="0.2">
      <c r="A195" s="3" t="s">
        <v>914</v>
      </c>
      <c r="B195" s="3" t="str">
        <f>LOWER(VLOOKUP(A195,Xtal_Templ!A:B,2,FALSE))</f>
        <v>ntr1_rat</v>
      </c>
      <c r="C195" s="3">
        <f>VLOOKUP($A195,'SegEnds_NonXtal_BW#'!$A:$Z,3,FALSE)+D195-50</f>
        <v>61</v>
      </c>
      <c r="D195" s="3">
        <v>82</v>
      </c>
      <c r="E195" s="3">
        <f>IF(ISERROR(VLOOKUP($A195,'SegEnds_NonXtal_BW#'!$A:$Z,4,FALSE)+VLOOKUP($A195,A:AL,4,FALSE)-50),"-",(VLOOKUP($A195,'SegEnds_NonXtal_BW#'!$A:$Z,4,FALSE)+VLOOKUP($A195,A:AL,4,FALSE)-50))</f>
        <v>92</v>
      </c>
      <c r="F195" s="3">
        <f>G195-2</f>
        <v>93</v>
      </c>
      <c r="G195" s="3">
        <v>95</v>
      </c>
      <c r="H195" s="3">
        <f>G195+1</f>
        <v>96</v>
      </c>
      <c r="I195" s="3">
        <f>H195+1</f>
        <v>97</v>
      </c>
      <c r="J195" s="3">
        <v>113</v>
      </c>
      <c r="K195" s="3">
        <f>VLOOKUP($A195,'SegEnds_NonXtal_BW#'!$A:$Z,8,FALSE)+VLOOKUP($A195,A:AL,10,FALSE)-50</f>
        <v>131</v>
      </c>
      <c r="L195" s="3">
        <f>IF(ISERROR(VLOOKUP($A195,'SegEnds_NonXtal_BW#'!$A:$Z,9,FALSE)+VLOOKUP($A195,A:AL,13,FALSE)-50),"-",(VLOOKUP($A195,'SegEnds_NonXtal_BW#'!$A:$Z,9,FALSE)+VLOOKUP($A195,A:AL,13,FALSE)-50))</f>
        <v>134</v>
      </c>
      <c r="M195" s="3">
        <v>135</v>
      </c>
      <c r="N195" s="3">
        <f>IF(ISERROR(VLOOKUP($A195,'SegEnds_NonXtal_BW#'!$A:$Z,10,FALSE)+VLOOKUP($A195,A:AL,13,FALSE)-50),"-",(VLOOKUP($A195,'SegEnds_NonXtal_BW#'!$A:$Z,10,FALSE)+VLOOKUP($A195,A:AL,13,FALSE)-50))</f>
        <v>137</v>
      </c>
      <c r="O195" s="3">
        <f>N195+1</f>
        <v>138</v>
      </c>
      <c r="P195" s="3">
        <v>167</v>
      </c>
      <c r="Q195" s="3">
        <f>VLOOKUP($A195,'SegEnds_NonXtal_BW#'!$A:$Z,12,FALSE)+VLOOKUP($A195,A:AL,16,FALSE)-50</f>
        <v>173</v>
      </c>
      <c r="R195" s="3">
        <f>IF(ISERROR(VLOOKUP($A195,'SegEnds_NonXtal_BW#'!$A:$Z,13,FALSE)+VLOOKUP($A195,A:AL,19,FALSE)-50),"-",VLOOKUP($A195,'SegEnds_NonXtal_BW#'!$A:$Z,13,FALSE)+VLOOKUP($A195,A:AL,19,FALSE)-50)</f>
        <v>174</v>
      </c>
      <c r="S195" s="3">
        <v>174</v>
      </c>
      <c r="T195" s="103">
        <f>IF(ISERROR(VLOOKUP($A195,'SegEnds_NonXtal_BW#'!$A:$Z,14,FALSE)+VLOOKUP($A195,A:AL,19,FALSE)-50),"-",(VLOOKUP($A195,'SegEnds_NonXtal_BW#'!$A:$Z,14,FALSE)+VLOOKUP($A195,A:AL,19,FALSE)-50))</f>
        <v>181</v>
      </c>
      <c r="U195" s="9">
        <f>IF(ISERROR(VLOOKUP($A195,'SegEnds_NonXtal_BW#'!$A:$Z,15,FALSE)+VLOOKUP($A195,A:AL,22,FALSE)-50),"-",VLOOKUP($A195,'SegEnds_NonXtal_BW#'!$A:$Z,15,FALSE)+VLOOKUP($A195,A:AL,22,FALSE)-50)</f>
        <v>182</v>
      </c>
      <c r="V195" s="3">
        <v>194</v>
      </c>
      <c r="W195" s="3">
        <f>IF(ISERROR(VLOOKUP($A195,'SegEnds_NonXtal_BW#'!$A:$Z,16,FALSE)+VLOOKUP($A195,A:AL,22,FALSE)-50),"-",(VLOOKUP($A195,'SegEnds_NonXtal_BW#'!$A:$Z,16,FALSE)+VLOOKUP($A195,A:AL,22,FALSE)-50))</f>
        <v>208</v>
      </c>
      <c r="X195" s="3">
        <f>IF(ISERROR(VLOOKUP($A195,'SegEnds_NonXtal_BW#'!$A:$Z,17,FALSE)+VLOOKUP($A195,A:AL,25,FALSE)-50),"-",(VLOOKUP($A195,'SegEnds_NonXtal_BW#'!$A:$Z,17,FALSE)+VLOOKUP($A195,A:AL,25,FALSE)-50))</f>
        <v>225</v>
      </c>
      <c r="Y195" s="3">
        <v>225</v>
      </c>
      <c r="Z195" s="3">
        <f>Y195+2</f>
        <v>227</v>
      </c>
      <c r="AA195" s="3">
        <f>IF(ISERROR(VLOOKUP($A195,'SegEnds_NonXtal_BW#'!$A:$Z,19,FALSE)+VLOOKUP($A195,A:AL,28,FALSE)-50),"-",(VLOOKUP($A195,'SegEnds_NonXtal_BW#'!$A:$Z,19,FALSE)+VLOOKUP($A195,A:AL,28,FALSE)-50))</f>
        <v>231</v>
      </c>
      <c r="AB195" s="3">
        <v>249</v>
      </c>
      <c r="AC195" s="3">
        <f>IF(ISERROR((VLOOKUP($A195,'SegEnds_NonXtal_BW#'!$A:$Z,20,FALSE)+VLOOKUP($A195,A:AL,28,FALSE)-50)),"-",(VLOOKUP($A195,'SegEnds_NonXtal_BW#'!$A:$Z,20,FALSE)+VLOOKUP($A195,A:AL,28,FALSE)-50))</f>
        <v>275</v>
      </c>
      <c r="AD195" s="3">
        <f>IF(ISERROR(VLOOKUP($A195,'SegEnds_NonXtal_BW#'!$A:$Z,21,FALSE)+VLOOKUP($A195,A:AL,31,FALSE)-50),"-",(VLOOKUP($A195,'SegEnds_NonXtal_BW#'!$A:$Z,21,FALSE)+VLOOKUP($A195,A:AL,31,FALSE)-50))</f>
        <v>297</v>
      </c>
      <c r="AE195" s="3">
        <v>323</v>
      </c>
      <c r="AF195" s="3">
        <f>IF(ISERROR((VLOOKUP($A195,'SegEnds_NonXtal_BW#'!$A:$Z,22,FALSE)+VLOOKUP($A195,A:AL,31,FALSE)-50)),"-",(VLOOKUP($A195,'SegEnds_NonXtal_BW#'!$A:$Z,22,FALSE)+VLOOKUP($A195,A:AL,31,FALSE)-50))</f>
        <v>334</v>
      </c>
      <c r="AG195" s="3">
        <f>IF(ISERROR(VLOOKUP($A195,'SegEnds_NonXtal_BW#'!$A:$Z,23,FALSE)+VLOOKUP($A195,A:AL,34,FALSE)-50),"-",(VLOOKUP($A195,'SegEnds_NonXtal_BW#'!$A:$Z,23,FALSE)+VLOOKUP($A195,A:AL,34,FALSE)-50))</f>
        <v>340</v>
      </c>
      <c r="AH195" s="3">
        <v>366</v>
      </c>
      <c r="AI195" s="3">
        <f>IF(ISERROR((VLOOKUP($A195,'SegEnds_NonXtal_BW#'!$A:$Z,24,FALSE)+VLOOKUP($A195,A:AL,34,FALSE)-50)),"-",(VLOOKUP($A195,'SegEnds_NonXtal_BW#'!$A:$Z,24,FALSE)+VLOOKUP($A195,A:AL,34,FALSE)-50))</f>
        <v>372</v>
      </c>
      <c r="AJ195" s="3">
        <f>IF(ISERROR(VLOOKUP($A195,'SegEnds_NonXtal_BW#'!$A:$Z,25,FALSE)+VLOOKUP($A195,A:AL,37,FALSE)-50),"-",(VLOOKUP($A195,'SegEnds_NonXtal_BW#'!$A:$Z,25,FALSE)+VLOOKUP($A195,A:AL,37,FALSE)-50))</f>
        <v>373</v>
      </c>
      <c r="AK195" s="3">
        <v>376</v>
      </c>
      <c r="AL195" s="3">
        <f>IF(ISERROR((VLOOKUP($A195,'SegEnds_NonXtal_BW#'!$A:$Z,26,FALSE)+VLOOKUP($A195,A:AL,37,FALSE)-50)),"-",(VLOOKUP($A195,'SegEnds_NonXtal_BW#'!$A:$Z,26,FALSE)+VLOOKUP($A195,A:AL,37,FALSE)-50))</f>
        <v>384</v>
      </c>
      <c r="AM195" s="28" t="str">
        <f>VLOOKUP(A195,Classification!A:B,2,FALSE)</f>
        <v>A</v>
      </c>
      <c r="AN195" s="28" t="b">
        <f>AND(IF(Y195="-",IF(AA195-W195&gt;3,TRUE,FALSE),TRUE),IF(M195="-",IF(O195-K195&gt;3,TRUE,FALSE),TRUE),C195&lt;E195,OR(E195&lt;F195,F195="-"),OR(F195&lt;H195,F195="-"),OR(H195&lt;I195,H195="-"),I195&lt;K195,OR(K195&lt;L195,L195="-"),OR(L195&lt;N195,L195="-"),OR(N195&lt;O195,N195="-"),O195&lt;Q195,OR(Q195&lt;R195,R195="-"),OR(R195&lt;T195,R195="-"),OR(T195&lt;U195,T195="-"),U195&lt;W195,OR(W195&lt;X195,X195="-"),OR(X195&lt;Z195,X195="-"),OR(Z195&lt;AA195,Z195="-"),AA195&lt;AC195,AC195&lt;AD195,AD195&lt;AF195,AF195&lt;AG195,AG195&lt;AI195,OR(AI195&lt;AJ195,AJ195="-"),OR(AJ195&lt;AL195,AJ195="-"))</f>
        <v>1</v>
      </c>
      <c r="AO195" s="3" t="str">
        <f>IF(ISERROR(MATCH(A195,'SegEnds_Xtal_Prot#'!B:B, 0)), "NoXtal", "Xtal")</f>
        <v>Xtal</v>
      </c>
      <c r="AP195" s="3">
        <f>IF(ISERROR(F195-E195),"-",F195-E195)</f>
        <v>1</v>
      </c>
      <c r="AQ195" s="3">
        <f>IF(ISERROR(I195-H195),"-",I195-H195)</f>
        <v>1</v>
      </c>
      <c r="AR195" s="3">
        <f>IF(ISERROR(L195-K195),"-",L195-K195)</f>
        <v>3</v>
      </c>
      <c r="AS195" s="3">
        <f>IF(ISERROR(O195-N195),"-",O195-N195)</f>
        <v>1</v>
      </c>
      <c r="AT195" s="3">
        <f>IF(ISERROR(R195-Q195),"-",R195-Q195)</f>
        <v>1</v>
      </c>
      <c r="AU195" s="3">
        <f>IF(ISERROR(U195-T195),"-",U195-T195)</f>
        <v>1</v>
      </c>
      <c r="AV195" s="3">
        <f>IF(ISERROR(X195-W195),"-",X195-W195)</f>
        <v>17</v>
      </c>
      <c r="AW195" s="3">
        <f>IF(ISERROR(AA195-Z195),"-",AA195-Z195)</f>
        <v>4</v>
      </c>
      <c r="AX195" s="3">
        <f>IF(ISERROR(AD195-AC195),"-",AD195-AC195)</f>
        <v>22</v>
      </c>
      <c r="AY195" s="3">
        <f>IF(ISERROR(AG195-AF195),"-",AG195-AF195)</f>
        <v>6</v>
      </c>
      <c r="AZ195" s="3">
        <f>IF(ISERROR(AJ195-AI195),"-",AJ195-AI195)</f>
        <v>1</v>
      </c>
      <c r="BA195" s="3">
        <f>IF(ISERROR(LEN(VLOOKUP(A195,Seqs!A:E,2,FALSE))-AL195),"-",LEN(VLOOKUP(A195,Seqs!A:E,2,FALSE))-AL195)</f>
        <v>40</v>
      </c>
      <c r="BB195" s="16">
        <f>J195-D195</f>
        <v>31</v>
      </c>
      <c r="BC195" s="9">
        <f>IF(ISERROR(V195-S195),"-",V195-S195)</f>
        <v>20</v>
      </c>
      <c r="BD195" s="3">
        <f>J195-D195</f>
        <v>31</v>
      </c>
      <c r="BE195" s="3">
        <f>AE195-AB195</f>
        <v>74</v>
      </c>
    </row>
    <row r="196" spans="1:58" s="3" customFormat="1" x14ac:dyDescent="0.2">
      <c r="A196" s="3" t="s">
        <v>330</v>
      </c>
      <c r="B196" s="3" t="str">
        <f>LOWER(VLOOKUP(A196,Xtal_Templ!A:B,2,FALSE))</f>
        <v>ntr1_rat</v>
      </c>
      <c r="C196" s="3">
        <f>VLOOKUP($A196,'SegEnds_NonXtal_BW#'!$A:$Z,3,FALSE)+D196-50</f>
        <v>29</v>
      </c>
      <c r="D196" s="3">
        <v>50</v>
      </c>
      <c r="E196" s="3">
        <f>IF(ISERROR(VLOOKUP($A196,'SegEnds_NonXtal_BW#'!$A:$Z,4,FALSE)+VLOOKUP($A196,A:AL,4,FALSE)-50),"-",(VLOOKUP($A196,'SegEnds_NonXtal_BW#'!$A:$Z,4,FALSE)+VLOOKUP($A196,A:AL,4,FALSE)-50))</f>
        <v>60</v>
      </c>
      <c r="F196" s="3" t="str">
        <f>IF(ISERROR(VLOOKUP($A196,'SegEnds_NonXtal_BW#'!$A:$Z,5,FALSE)+VLOOKUP($A196,A:AL,7,FALSE)-50),"-",(VLOOKUP($A196,'SegEnds_NonXtal_BW#'!$A:$Z,5,FALSE)+VLOOKUP($A196,A:AL,7,FALSE)-50))</f>
        <v>-</v>
      </c>
      <c r="G196" s="3" t="s">
        <v>23</v>
      </c>
      <c r="H196" s="3" t="str">
        <f>IF(ISERROR(VLOOKUP($A196,'SegEnds_NonXtal_BW#'!$A:$Z,6,FALSE)+VLOOKUP($A196,A:AL,7,FALSE)-50),"-",(VLOOKUP($A196,'SegEnds_NonXtal_BW#'!$A:$Z,6,FALSE)+VLOOKUP($A196,A:AL,7,FALSE)-50))</f>
        <v>-</v>
      </c>
      <c r="I196" s="3">
        <f>VLOOKUP($A196,'SegEnds_NonXtal_BW#'!$A:$Z,7,FALSE)+J196-50</f>
        <v>66</v>
      </c>
      <c r="J196" s="3">
        <v>79</v>
      </c>
      <c r="K196" s="3">
        <f>VLOOKUP($A196,'SegEnds_NonXtal_BW#'!$A:$Z,8,FALSE)+VLOOKUP($A196,A:AL,10,FALSE)-50</f>
        <v>97</v>
      </c>
      <c r="L196" s="3">
        <f>M196-1</f>
        <v>100</v>
      </c>
      <c r="M196" s="3">
        <v>101</v>
      </c>
      <c r="N196" s="3">
        <f>M196+2</f>
        <v>103</v>
      </c>
      <c r="O196" s="3">
        <f>N196+1</f>
        <v>104</v>
      </c>
      <c r="P196" s="3">
        <v>133</v>
      </c>
      <c r="Q196" s="3">
        <f>VLOOKUP($A196,'SegEnds_NonXtal_BW#'!$A:$Z,12,FALSE)+VLOOKUP($A196,A:AL,16,FALSE)-50</f>
        <v>139</v>
      </c>
      <c r="R196" s="3">
        <f>IF(ISERROR(VLOOKUP($A196,'SegEnds_NonXtal_BW#'!$A:$Z,13,FALSE)+VLOOKUP($A196,A:AL,19,FALSE)-50),"-",VLOOKUP($A196,'SegEnds_NonXtal_BW#'!$A:$Z,13,FALSE)+VLOOKUP($A196,A:AL,19,FALSE)-50)</f>
        <v>140</v>
      </c>
      <c r="S196" s="3">
        <v>140</v>
      </c>
      <c r="T196" s="103">
        <f>IF(ISERROR(VLOOKUP($A196,'SegEnds_NonXtal_BW#'!$A:$Z,14,FALSE)+VLOOKUP($A196,A:AL,19,FALSE)-50),"-",(VLOOKUP($A196,'SegEnds_NonXtal_BW#'!$A:$Z,14,FALSE)+VLOOKUP($A196,A:AL,19,FALSE)-50))</f>
        <v>147</v>
      </c>
      <c r="U196" s="9">
        <f>IF(ISERROR(VLOOKUP($A196,'SegEnds_NonXtal_BW#'!$A:$Z,15,FALSE)+VLOOKUP($A196,A:AL,22,FALSE)-50),"-",VLOOKUP($A196,'SegEnds_NonXtal_BW#'!$A:$Z,15,FALSE)+VLOOKUP($A196,A:AL,22,FALSE)-50)</f>
        <v>148</v>
      </c>
      <c r="V196" s="3">
        <v>160</v>
      </c>
      <c r="W196" s="3">
        <f>IF(ISERROR(VLOOKUP($A196,'SegEnds_NonXtal_BW#'!$A:$Z,16,FALSE)+VLOOKUP($A196,A:AL,22,FALSE)-50),"-",(VLOOKUP($A196,'SegEnds_NonXtal_BW#'!$A:$Z,16,FALSE)+VLOOKUP($A196,A:AL,22,FALSE)-50))</f>
        <v>174</v>
      </c>
      <c r="X196" s="3">
        <f>IF(ISERROR(VLOOKUP($A196,'SegEnds_NonXtal_BW#'!$A:$Z,17,FALSE)+VLOOKUP($A196,A:AL,25,FALSE)-50),"-",(VLOOKUP($A196,'SegEnds_NonXtal_BW#'!$A:$Z,17,FALSE)+VLOOKUP($A196,A:AL,25,FALSE)-50))</f>
        <v>194</v>
      </c>
      <c r="Y196" s="3">
        <v>194</v>
      </c>
      <c r="Z196" s="3">
        <f>Y196+2</f>
        <v>196</v>
      </c>
      <c r="AA196" s="3">
        <f>IF(ISERROR(VLOOKUP($A196,'SegEnds_NonXtal_BW#'!$A:$Z,19,FALSE)+VLOOKUP($A196,A:AL,28,FALSE)-50),"-",(VLOOKUP($A196,'SegEnds_NonXtal_BW#'!$A:$Z,19,FALSE)+VLOOKUP($A196,A:AL,28,FALSE)-50))</f>
        <v>200</v>
      </c>
      <c r="AB196" s="3">
        <v>218</v>
      </c>
      <c r="AC196" s="3">
        <f>IF(ISERROR((VLOOKUP($A196,'SegEnds_NonXtal_BW#'!$A:$Z,20,FALSE)+VLOOKUP($A196,A:AL,28,FALSE)-50)),"-",(VLOOKUP($A196,'SegEnds_NonXtal_BW#'!$A:$Z,20,FALSE)+VLOOKUP($A196,A:AL,28,FALSE)-50))</f>
        <v>242</v>
      </c>
      <c r="AD196" s="3">
        <f>IF(ISERROR(VLOOKUP($A196,'SegEnds_NonXtal_BW#'!$A:$Z,21,FALSE)+VLOOKUP($A196,A:AL,31,FALSE)-50),"-",(VLOOKUP($A196,'SegEnds_NonXtal_BW#'!$A:$Z,21,FALSE)+VLOOKUP($A196,A:AL,31,FALSE)-50))</f>
        <v>286</v>
      </c>
      <c r="AE196" s="3">
        <v>312</v>
      </c>
      <c r="AF196" s="3">
        <f>IF(ISERROR((VLOOKUP($A196,'SegEnds_NonXtal_BW#'!$A:$Z,22,FALSE)+VLOOKUP($A196,A:AL,31,FALSE)-50)),"-",(VLOOKUP($A196,'SegEnds_NonXtal_BW#'!$A:$Z,22,FALSE)+VLOOKUP($A196,A:AL,31,FALSE)-50))</f>
        <v>323</v>
      </c>
      <c r="AG196" s="3">
        <f>IF(ISERROR(VLOOKUP($A196,'SegEnds_NonXtal_BW#'!$A:$Z,23,FALSE)+VLOOKUP($A196,A:AL,34,FALSE)-50),"-",(VLOOKUP($A196,'SegEnds_NonXtal_BW#'!$A:$Z,23,FALSE)+VLOOKUP($A196,A:AL,34,FALSE)-50))</f>
        <v>329</v>
      </c>
      <c r="AH196" s="3">
        <v>355</v>
      </c>
      <c r="AI196" s="3">
        <f>IF(ISERROR((VLOOKUP($A196,'SegEnds_NonXtal_BW#'!$A:$Z,24,FALSE)+VLOOKUP($A196,A:AL,34,FALSE)-50)),"-",(VLOOKUP($A196,'SegEnds_NonXtal_BW#'!$A:$Z,24,FALSE)+VLOOKUP($A196,A:AL,34,FALSE)-50))</f>
        <v>361</v>
      </c>
      <c r="AJ196" s="3">
        <f>IF(ISERROR(VLOOKUP($A196,'SegEnds_NonXtal_BW#'!$A:$Z,25,FALSE)+VLOOKUP($A196,A:AL,37,FALSE)-50),"-",(VLOOKUP($A196,'SegEnds_NonXtal_BW#'!$A:$Z,25,FALSE)+VLOOKUP($A196,A:AL,37,FALSE)-50))</f>
        <v>362</v>
      </c>
      <c r="AK196" s="3">
        <v>365</v>
      </c>
      <c r="AL196" s="3">
        <f>IF(ISERROR((VLOOKUP($A196,'SegEnds_NonXtal_BW#'!$A:$Z,26,FALSE)+VLOOKUP($A196,A:AL,37,FALSE)-50)),"-",(VLOOKUP($A196,'SegEnds_NonXtal_BW#'!$A:$Z,26,FALSE)+VLOOKUP($A196,A:AL,37,FALSE)-50))</f>
        <v>373</v>
      </c>
      <c r="AM196" s="28" t="str">
        <f>VLOOKUP(A196,Classification!A:B,2,FALSE)</f>
        <v>A</v>
      </c>
      <c r="AN196" s="28" t="b">
        <f>AND(IF(Y196="-",IF(AA196-W196&gt;3,TRUE,FALSE),TRUE),IF(M196="-",IF(O196-K196&gt;3,TRUE,FALSE),TRUE),C196&lt;E196,OR(E196&lt;F196,F196="-"),OR(F196&lt;H196,F196="-"),OR(H196&lt;I196,H196="-"),I196&lt;K196,OR(K196&lt;L196,L196="-"),OR(L196&lt;N196,L196="-"),OR(N196&lt;O196,N196="-"),O196&lt;Q196,OR(Q196&lt;R196,R196="-"),OR(R196&lt;T196,R196="-"),OR(T196&lt;U196,T196="-"),U196&lt;W196,OR(W196&lt;X196,X196="-"),OR(X196&lt;Z196,X196="-"),OR(Z196&lt;AA196,Z196="-"),AA196&lt;AC196,AC196&lt;AD196,AD196&lt;AF196,AF196&lt;AG196,AG196&lt;AI196,OR(AI196&lt;AJ196,AJ196="-"),OR(AJ196&lt;AL196,AJ196="-"))</f>
        <v>1</v>
      </c>
      <c r="AO196" s="3" t="str">
        <f>IF(ISERROR(MATCH(A196,'SegEnds_Xtal_Prot#'!B:B, 0)), "NoXtal", "Xtal")</f>
        <v>NoXtal</v>
      </c>
      <c r="AP196" s="3" t="str">
        <f>IF(ISERROR(F196-E196),"-",F196-E196)</f>
        <v>-</v>
      </c>
      <c r="AQ196" s="3" t="str">
        <f>IF(ISERROR(I196-H196),"-",I196-H196)</f>
        <v>-</v>
      </c>
      <c r="AR196" s="3">
        <f>IF(ISERROR(L196-K196),"-",L196-K196)</f>
        <v>3</v>
      </c>
      <c r="AS196" s="3">
        <f>IF(ISERROR(O196-N196),"-",O196-N196)</f>
        <v>1</v>
      </c>
      <c r="AT196" s="3">
        <f>IF(ISERROR(R196-Q196),"-",R196-Q196)</f>
        <v>1</v>
      </c>
      <c r="AU196" s="3">
        <f>IF(ISERROR(U196-T196),"-",U196-T196)</f>
        <v>1</v>
      </c>
      <c r="AV196" s="3">
        <f>IF(ISERROR(X196-W196),"-",X196-W196)</f>
        <v>20</v>
      </c>
      <c r="AW196" s="3">
        <f>IF(ISERROR(AA196-Z196),"-",AA196-Z196)</f>
        <v>4</v>
      </c>
      <c r="AX196" s="3">
        <f>IF(ISERROR(AD196-AC196),"-",AD196-AC196)</f>
        <v>44</v>
      </c>
      <c r="AY196" s="3">
        <f>IF(ISERROR(AG196-AF196),"-",AG196-AF196)</f>
        <v>6</v>
      </c>
      <c r="AZ196" s="3">
        <f>IF(ISERROR(AJ196-AI196),"-",AJ196-AI196)</f>
        <v>1</v>
      </c>
      <c r="BA196" s="3">
        <f>IF(ISERROR(LEN(VLOOKUP(A196,Seqs!A:E,2,FALSE))-AL196),"-",LEN(VLOOKUP(A196,Seqs!A:E,2,FALSE))-AL196)</f>
        <v>37</v>
      </c>
      <c r="BB196" s="16">
        <f>J196-D196</f>
        <v>29</v>
      </c>
      <c r="BC196" s="9">
        <f>IF(ISERROR(V196-S196),"-",V196-S196)</f>
        <v>20</v>
      </c>
      <c r="BD196" s="3">
        <f>J196-D196</f>
        <v>29</v>
      </c>
      <c r="BE196" s="3">
        <f>AE196-AB196</f>
        <v>94</v>
      </c>
    </row>
    <row r="197" spans="1:58" s="3" customFormat="1" x14ac:dyDescent="0.2">
      <c r="A197" s="3" t="s">
        <v>331</v>
      </c>
      <c r="B197" s="3" t="str">
        <f>LOWER(VLOOKUP(A197,Xtal_Templ!A:B,2,FALSE))</f>
        <v>agtr1_human</v>
      </c>
      <c r="C197" s="3">
        <f>VLOOKUP($A197,'SegEnds_NonXtal_BW#'!$A:$Z,3,FALSE)+D197-50</f>
        <v>19</v>
      </c>
      <c r="D197" s="3">
        <v>39</v>
      </c>
      <c r="E197" s="3">
        <f>IF(ISERROR(VLOOKUP($A197,'SegEnds_NonXtal_BW#'!$A:$Z,4,FALSE)+VLOOKUP($A197,A:AL,4,FALSE)-50),"-",(VLOOKUP($A197,'SegEnds_NonXtal_BW#'!$A:$Z,4,FALSE)+VLOOKUP($A197,A:AL,4,FALSE)-50))</f>
        <v>49</v>
      </c>
      <c r="F197" s="3">
        <f>IF(ISERROR(VLOOKUP($A197,'SegEnds_NonXtal_BW#'!$A:$Z,5,FALSE)+VLOOKUP($A197,A:AL,7,FALSE)-50),"-",(VLOOKUP($A197,'SegEnds_NonXtal_BW#'!$A:$Z,5,FALSE)+VLOOKUP($A197,A:AL,7,FALSE)-50))</f>
        <v>50</v>
      </c>
      <c r="G197" s="3">
        <v>52</v>
      </c>
      <c r="H197" s="3">
        <f>IF(ISERROR(VLOOKUP($A197,'SegEnds_NonXtal_BW#'!$A:$Z,6,FALSE)+VLOOKUP($A197,A:AL,7,FALSE)-50),"-",(VLOOKUP($A197,'SegEnds_NonXtal_BW#'!$A:$Z,6,FALSE)+VLOOKUP($A197,A:AL,7,FALSE)-50))</f>
        <v>53</v>
      </c>
      <c r="I197" s="3">
        <f>VLOOKUP($A197,'SegEnds_NonXtal_BW#'!$A:$Z,7,FALSE)+J197-50</f>
        <v>54</v>
      </c>
      <c r="J197" s="3">
        <v>67</v>
      </c>
      <c r="K197" s="3">
        <f>VLOOKUP($A197,'SegEnds_NonXtal_BW#'!$A:$Z,8,FALSE)+VLOOKUP($A197,A:AL,10,FALSE)-50</f>
        <v>83</v>
      </c>
      <c r="L197" s="3">
        <f>M197-1</f>
        <v>86</v>
      </c>
      <c r="M197" s="3">
        <v>87</v>
      </c>
      <c r="N197" s="3">
        <f>M197+2</f>
        <v>89</v>
      </c>
      <c r="O197" s="3">
        <f>N197+1</f>
        <v>90</v>
      </c>
      <c r="P197" s="3">
        <v>119</v>
      </c>
      <c r="Q197" s="3">
        <f>VLOOKUP($A197,'SegEnds_NonXtal_BW#'!$A:$Z,12,FALSE)+VLOOKUP($A197,A:AL,16,FALSE)-50</f>
        <v>125</v>
      </c>
      <c r="R197" s="3">
        <f>IF(ISERROR(VLOOKUP($A197,'SegEnds_NonXtal_BW#'!$A:$Z,13,FALSE)+VLOOKUP($A197,A:AL,19,FALSE)-50),"-",VLOOKUP($A197,'SegEnds_NonXtal_BW#'!$A:$Z,13,FALSE)+VLOOKUP($A197,A:AL,19,FALSE)-50)</f>
        <v>126</v>
      </c>
      <c r="S197" s="3">
        <v>126</v>
      </c>
      <c r="T197" s="103">
        <f>IF(ISERROR(VLOOKUP($A197,'SegEnds_NonXtal_BW#'!$A:$Z,14,FALSE)+VLOOKUP($A197,A:AL,19,FALSE)-50),"-",(VLOOKUP($A197,'SegEnds_NonXtal_BW#'!$A:$Z,14,FALSE)+VLOOKUP($A197,A:AL,19,FALSE)-50))</f>
        <v>133</v>
      </c>
      <c r="U197" s="9">
        <f>IF(ISERROR(VLOOKUP($A197,'SegEnds_NonXtal_BW#'!$A:$Z,15,FALSE)+VLOOKUP($A197,A:AL,22,FALSE)-50),"-",VLOOKUP($A197,'SegEnds_NonXtal_BW#'!$A:$Z,15,FALSE)+VLOOKUP($A197,A:AL,22,FALSE)-50)</f>
        <v>134</v>
      </c>
      <c r="V197" s="3">
        <v>146</v>
      </c>
      <c r="W197" s="3">
        <f>IF(ISERROR(VLOOKUP($A197,'SegEnds_NonXtal_BW#'!$A:$Z,16,FALSE)+VLOOKUP($A197,A:AL,22,FALSE)-50),"-",(VLOOKUP($A197,'SegEnds_NonXtal_BW#'!$A:$Z,16,FALSE)+VLOOKUP($A197,A:AL,22,FALSE)-50))</f>
        <v>160</v>
      </c>
      <c r="X197" s="3">
        <f>IF(ISERROR(VLOOKUP($A197,'SegEnds_NonXtal_BW#'!$A:$Z,17,FALSE)+VLOOKUP($A197,A:AL,25,FALSE)-50),"-",(VLOOKUP($A197,'SegEnds_NonXtal_BW#'!$A:$Z,17,FALSE)+VLOOKUP($A197,A:AL,25,FALSE)-50))</f>
        <v>172</v>
      </c>
      <c r="Y197" s="3">
        <v>172</v>
      </c>
      <c r="Z197" s="3">
        <f>Y197+2</f>
        <v>174</v>
      </c>
      <c r="AA197" s="3">
        <f>IF(ISERROR(VLOOKUP($A197,'SegEnds_NonXtal_BW#'!$A:$Z,19,FALSE)+VLOOKUP($A197,A:AL,28,FALSE)-50),"-",(VLOOKUP($A197,'SegEnds_NonXtal_BW#'!$A:$Z,19,FALSE)+VLOOKUP($A197,A:AL,28,FALSE)-50))</f>
        <v>181</v>
      </c>
      <c r="AB197" s="3">
        <v>197</v>
      </c>
      <c r="AC197" s="3">
        <f>IF(ISERROR((VLOOKUP($A197,'SegEnds_NonXtal_BW#'!$A:$Z,20,FALSE)+VLOOKUP($A197,A:AL,28,FALSE)-50)),"-",(VLOOKUP($A197,'SegEnds_NonXtal_BW#'!$A:$Z,20,FALSE)+VLOOKUP($A197,A:AL,28,FALSE)-50))</f>
        <v>214</v>
      </c>
      <c r="AD197" s="3">
        <f>IF(ISERROR(VLOOKUP($A197,'SegEnds_NonXtal_BW#'!$A:$Z,21,FALSE)+VLOOKUP($A197,A:AL,31,FALSE)-50),"-",(VLOOKUP($A197,'SegEnds_NonXtal_BW#'!$A:$Z,21,FALSE)+VLOOKUP($A197,A:AL,31,FALSE)-50))</f>
        <v>219</v>
      </c>
      <c r="AE197" s="3">
        <v>243</v>
      </c>
      <c r="AF197" s="3">
        <f>IF(ISERROR((VLOOKUP($A197,'SegEnds_NonXtal_BW#'!$A:$Z,22,FALSE)+VLOOKUP($A197,A:AL,31,FALSE)-50)),"-",(VLOOKUP($A197,'SegEnds_NonXtal_BW#'!$A:$Z,22,FALSE)+VLOOKUP($A197,A:AL,31,FALSE)-50))</f>
        <v>254</v>
      </c>
      <c r="AG197" s="3">
        <f>IF(ISERROR(VLOOKUP($A197,'SegEnds_NonXtal_BW#'!$A:$Z,23,FALSE)+VLOOKUP($A197,A:AL,34,FALSE)-50),"-",(VLOOKUP($A197,'SegEnds_NonXtal_BW#'!$A:$Z,23,FALSE)+VLOOKUP($A197,A:AL,34,FALSE)-50))</f>
        <v>261</v>
      </c>
      <c r="AH197" s="3">
        <v>283</v>
      </c>
      <c r="AI197" s="3">
        <f>IF(ISERROR((VLOOKUP($A197,'SegEnds_NonXtal_BW#'!$A:$Z,24,FALSE)+VLOOKUP($A197,A:AL,34,FALSE)-50)),"-",(VLOOKUP($A197,'SegEnds_NonXtal_BW#'!$A:$Z,24,FALSE)+VLOOKUP($A197,A:AL,34,FALSE)-50))</f>
        <v>289</v>
      </c>
      <c r="AJ197" s="3">
        <f>IF(ISERROR(VLOOKUP($A197,'SegEnds_NonXtal_BW#'!$A:$Z,25,FALSE)+VLOOKUP($A197,A:AL,37,FALSE)-50),"-",(VLOOKUP($A197,'SegEnds_NonXtal_BW#'!$A:$Z,25,FALSE)+VLOOKUP($A197,A:AL,37,FALSE)-50))</f>
        <v>290</v>
      </c>
      <c r="AK197" s="3">
        <v>293</v>
      </c>
      <c r="AL197" s="3">
        <f>IF(ISERROR((VLOOKUP($A197,'SegEnds_NonXtal_BW#'!$A:$Z,26,FALSE)+VLOOKUP($A197,A:AL,37,FALSE)-50)),"-",(VLOOKUP($A197,'SegEnds_NonXtal_BW#'!$A:$Z,26,FALSE)+VLOOKUP($A197,A:AL,37,FALSE)-50))</f>
        <v>304</v>
      </c>
      <c r="AM197" s="28" t="str">
        <f>VLOOKUP(A197,Classification!A:B,2,FALSE)</f>
        <v>A</v>
      </c>
      <c r="AN197" s="28" t="b">
        <f>AND(IF(Y197="-",IF(AA197-W197&gt;3,TRUE,FALSE),TRUE),IF(M197="-",IF(O197-K197&gt;3,TRUE,FALSE),TRU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NoXtal</v>
      </c>
      <c r="AP197" s="3">
        <f>IF(ISERROR(F197-E197),"-",F197-E197)</f>
        <v>1</v>
      </c>
      <c r="AQ197" s="3">
        <f>IF(ISERROR(I197-H197),"-",I197-H197)</f>
        <v>1</v>
      </c>
      <c r="AR197" s="3">
        <f>IF(ISERROR(L197-K197),"-",L197-K197)</f>
        <v>3</v>
      </c>
      <c r="AS197" s="3">
        <f>IF(ISERROR(O197-N197),"-",O197-N197)</f>
        <v>1</v>
      </c>
      <c r="AT197" s="3">
        <f>IF(ISERROR(R197-Q197),"-",R197-Q197)</f>
        <v>1</v>
      </c>
      <c r="AU197" s="3">
        <f>IF(ISERROR(U197-T197),"-",U197-T197)</f>
        <v>1</v>
      </c>
      <c r="AV197" s="3">
        <f>IF(ISERROR(X197-W197),"-",X197-W197)</f>
        <v>12</v>
      </c>
      <c r="AW197" s="3">
        <f>IF(ISERROR(AA197-Z197),"-",AA197-Z197)</f>
        <v>7</v>
      </c>
      <c r="AX197" s="3">
        <f>IF(ISERROR(AD197-AC197),"-",AD197-AC197)</f>
        <v>5</v>
      </c>
      <c r="AY197" s="3">
        <f>IF(ISERROR(AG197-AF197),"-",AG197-AF197)</f>
        <v>7</v>
      </c>
      <c r="AZ197" s="3">
        <f>IF(ISERROR(AJ197-AI197),"-",AJ197-AI197)</f>
        <v>1</v>
      </c>
      <c r="BA197" s="3">
        <f>IF(ISERROR(LEN(VLOOKUP(A197,Seqs!A:E,2,FALSE))-AL197),"-",LEN(VLOOKUP(A197,Seqs!A:E,2,FALSE))-AL197)</f>
        <v>61</v>
      </c>
      <c r="BB197" s="16">
        <f>J197-D197</f>
        <v>28</v>
      </c>
      <c r="BC197" s="9">
        <f>IF(ISERROR(V197-S197),"-",V197-S197)</f>
        <v>20</v>
      </c>
      <c r="BD197" s="3">
        <f>J197-D197</f>
        <v>28</v>
      </c>
      <c r="BE197" s="3">
        <f>AE197-AB197</f>
        <v>46</v>
      </c>
    </row>
    <row r="198" spans="1:58" s="3" customFormat="1" x14ac:dyDescent="0.2">
      <c r="A198" s="3" t="s">
        <v>333</v>
      </c>
      <c r="B198" s="3" t="s">
        <v>920</v>
      </c>
      <c r="C198" s="3">
        <f>VLOOKUP($A198,'SegEnds_NonXtal_BW#'!$A:$Z,3,FALSE)+D198-50</f>
        <v>67</v>
      </c>
      <c r="D198" s="3">
        <v>88</v>
      </c>
      <c r="E198" s="3">
        <f>IF(ISERROR(VLOOKUP($A198,'SegEnds_NonXtal_BW#'!$A:$Z,4,FALSE)+VLOOKUP($A198,A:AL,4,FALSE)-50),"-",(VLOOKUP($A198,'SegEnds_NonXtal_BW#'!$A:$Z,4,FALSE)+VLOOKUP($A198,A:AL,4,FALSE)-50))</f>
        <v>98</v>
      </c>
      <c r="F198" s="3">
        <f>G198-2</f>
        <v>99</v>
      </c>
      <c r="G198" s="3">
        <v>101</v>
      </c>
      <c r="H198" s="3">
        <f>G198+1</f>
        <v>102</v>
      </c>
      <c r="I198" s="3">
        <f>H198+1</f>
        <v>103</v>
      </c>
      <c r="J198" s="3">
        <v>116</v>
      </c>
      <c r="K198" s="3">
        <v>134</v>
      </c>
      <c r="L198" s="3">
        <f>M198-1</f>
        <v>135</v>
      </c>
      <c r="M198" s="3">
        <v>136</v>
      </c>
      <c r="N198" s="3">
        <f>M198+2</f>
        <v>138</v>
      </c>
      <c r="O198" s="3">
        <f>N198+1</f>
        <v>139</v>
      </c>
      <c r="P198" s="3">
        <v>168</v>
      </c>
      <c r="Q198" s="3">
        <f>VLOOKUP($A198,'SegEnds_NonXtal_BW#'!$A:$Z,12,FALSE)+VLOOKUP($A198,A:AL,16,FALSE)-50</f>
        <v>174</v>
      </c>
      <c r="R198" s="3">
        <f>IF(ISERROR(VLOOKUP($A198,'SegEnds_NonXtal_BW#'!$A:$Z,13,FALSE)+VLOOKUP($A198,A:AL,19,FALSE)-50),"-",VLOOKUP($A198,'SegEnds_NonXtal_BW#'!$A:$Z,13,FALSE)+VLOOKUP($A198,A:AL,19,FALSE)-50)</f>
        <v>175</v>
      </c>
      <c r="S198" s="3">
        <v>175</v>
      </c>
      <c r="T198" s="103">
        <f>IF(ISERROR(VLOOKUP($A198,'SegEnds_NonXtal_BW#'!$A:$Z,14,FALSE)+VLOOKUP($A198,A:AL,19,FALSE)-50),"-",(VLOOKUP($A198,'SegEnds_NonXtal_BW#'!$A:$Z,14,FALSE)+VLOOKUP($A198,A:AL,19,FALSE)-50))</f>
        <v>182</v>
      </c>
      <c r="U198" s="9">
        <f>IF(ISERROR(VLOOKUP($A198,'SegEnds_NonXtal_BW#'!$A:$Z,15,FALSE)+VLOOKUP($A198,A:AL,22,FALSE)-50),"-",VLOOKUP($A198,'SegEnds_NonXtal_BW#'!$A:$Z,15,FALSE)+VLOOKUP($A198,A:AL,22,FALSE)-50)</f>
        <v>183</v>
      </c>
      <c r="V198" s="3">
        <v>195</v>
      </c>
      <c r="W198" s="3">
        <f>IF(ISERROR(VLOOKUP($A198,'SegEnds_NonXtal_BW#'!$A:$Z,16,FALSE)+VLOOKUP($A198,A:AL,22,FALSE)-50),"-",(VLOOKUP($A198,'SegEnds_NonXtal_BW#'!$A:$Z,16,FALSE)+VLOOKUP($A198,A:AL,22,FALSE)-50))</f>
        <v>207</v>
      </c>
      <c r="X198" s="3">
        <f>IF(ISERROR(VLOOKUP($A198,'SegEnds_NonXtal_BW#'!$A:$Z,17,FALSE)+VLOOKUP($A198,A:AL,25,FALSE)-50),"-",(VLOOKUP($A198,'SegEnds_NonXtal_BW#'!$A:$Z,17,FALSE)+VLOOKUP($A198,A:AL,25,FALSE)-50))</f>
        <v>221</v>
      </c>
      <c r="Y198" s="3">
        <v>221</v>
      </c>
      <c r="Z198" s="3">
        <f>Y198+2</f>
        <v>223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247</v>
      </c>
      <c r="AC198" s="3">
        <f>IF(ISERROR((VLOOKUP($A198,'SegEnds_NonXtal_BW#'!$A:$Z,20,FALSE)+VLOOKUP($A198,A:AL,28,FALSE)-50)),"-",(VLOOKUP($A198,'SegEnds_NonXtal_BW#'!$A:$Z,20,FALSE)+VLOOKUP($A198,A:AL,28,FALSE)-50))</f>
        <v>271</v>
      </c>
      <c r="AD198" s="3">
        <f>IF(ISERROR(VLOOKUP($A198,'SegEnds_NonXtal_BW#'!$A:$Z,21,FALSE)+VLOOKUP($A198,A:AL,31,FALSE)-50),"-",(VLOOKUP($A198,'SegEnds_NonXtal_BW#'!$A:$Z,21,FALSE)+VLOOKUP($A198,A:AL,31,FALSE)-50))</f>
        <v>282</v>
      </c>
      <c r="AE198" s="3">
        <v>311</v>
      </c>
      <c r="AF198" s="3">
        <f>IF(ISERROR((VLOOKUP($A198,'SegEnds_NonXtal_BW#'!$A:$Z,22,FALSE)+VLOOKUP($A198,A:AL,31,FALSE)-50)),"-",(VLOOKUP($A198,'SegEnds_NonXtal_BW#'!$A:$Z,22,FALSE)+VLOOKUP($A198,A:AL,31,FALSE)-50))</f>
        <v>322</v>
      </c>
      <c r="AG198" s="3">
        <f>IF(ISERROR(VLOOKUP($A198,'SegEnds_NonXtal_BW#'!$A:$Z,23,FALSE)+VLOOKUP($A198,A:AL,34,FALSE)-50),"-",(VLOOKUP($A198,'SegEnds_NonXtal_BW#'!$A:$Z,23,FALSE)+VLOOKUP($A198,A:AL,34,FALSE)-50))</f>
        <v>328</v>
      </c>
      <c r="AH198" s="3">
        <v>347</v>
      </c>
      <c r="AI198" s="3">
        <f>IF(ISERROR((VLOOKUP($A198,'SegEnds_NonXtal_BW#'!$A:$Z,24,FALSE)+VLOOKUP($A198,A:AL,34,FALSE)-50)),"-",(VLOOKUP($A198,'SegEnds_NonXtal_BW#'!$A:$Z,24,FALSE)+VLOOKUP($A198,A:AL,34,FALSE)-50))</f>
        <v>353</v>
      </c>
      <c r="AJ198" s="3">
        <f>IF(ISERROR(VLOOKUP($A198,'SegEnds_NonXtal_BW#'!$A:$Z,25,FALSE)+VLOOKUP($A198,A:AL,37,FALSE)-50),"-",(VLOOKUP($A198,'SegEnds_NonXtal_BW#'!$A:$Z,25,FALSE)+VLOOKUP($A198,A:AL,37,FALSE)-50))</f>
        <v>354</v>
      </c>
      <c r="AK198" s="3">
        <v>357</v>
      </c>
      <c r="AL198" s="3">
        <f>IF(ISERROR((VLOOKUP($A198,'SegEnds_NonXtal_BW#'!$A:$Z,26,FALSE)+VLOOKUP($A198,A:AL,37,FALSE)-50)),"-",(VLOOKUP($A198,'SegEnds_NonXtal_BW#'!$A:$Z,26,FALSE)+VLOOKUP($A198,A:AL,37,FALSE)-50))</f>
        <v>366</v>
      </c>
      <c r="AM198" s="28" t="str">
        <f>VLOOKUP(A198,Classification!A:B,2,FALSE)</f>
        <v>A</v>
      </c>
      <c r="AN198" s="28" t="b">
        <f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>
        <f>IF(ISERROR(F198-E198),"-",F198-E198)</f>
        <v>1</v>
      </c>
      <c r="AQ198" s="3">
        <f>IF(ISERROR(I198-H198),"-",I198-H198)</f>
        <v>1</v>
      </c>
      <c r="AR198" s="3">
        <f>IF(ISERROR(L198-K198),"-",L198-K198)</f>
        <v>1</v>
      </c>
      <c r="AS198" s="3">
        <f>IF(ISERROR(O198-N198),"-",O198-N198)</f>
        <v>1</v>
      </c>
      <c r="AT198" s="3">
        <f>IF(ISERROR(R198-Q198),"-",R198-Q198)</f>
        <v>1</v>
      </c>
      <c r="AU198" s="3">
        <f>IF(ISERROR(U198-T198),"-",U198-T198)</f>
        <v>1</v>
      </c>
      <c r="AV198" s="3">
        <f>IF(ISERROR(X198-W198),"-",X198-W198)</f>
        <v>14</v>
      </c>
      <c r="AW198" s="3">
        <f>IF(ISERROR(AA198-Z198),"-",AA198-Z198)</f>
        <v>8</v>
      </c>
      <c r="AX198" s="3">
        <f>IF(ISERROR(AD198-AC198),"-",AD198-AC198)</f>
        <v>11</v>
      </c>
      <c r="AY198" s="3">
        <f>IF(ISERROR(AG198-AF198),"-",AG198-AF198)</f>
        <v>6</v>
      </c>
      <c r="AZ198" s="3">
        <f>IF(ISERROR(AJ198-AI198),"-",AJ198-AI198)</f>
        <v>1</v>
      </c>
      <c r="BA198" s="3">
        <f>IF(ISERROR(LEN(VLOOKUP(A198,Seqs!A:E,2,FALSE))-AL198),"-",LEN(VLOOKUP(A198,Seqs!A:E,2,FALSE))-AL198)</f>
        <v>112</v>
      </c>
      <c r="BB198" s="16">
        <f>J198-D198</f>
        <v>28</v>
      </c>
      <c r="BC198" s="9">
        <f>IF(ISERROR(V198-S198),"-",V198-S198)</f>
        <v>20</v>
      </c>
      <c r="BD198" s="3">
        <f>J198-D198</f>
        <v>28</v>
      </c>
      <c r="BE198" s="3">
        <f>AE198-AB198</f>
        <v>64</v>
      </c>
    </row>
    <row r="199" spans="1:58" s="3" customFormat="1" x14ac:dyDescent="0.2">
      <c r="A199" s="3" t="s">
        <v>335</v>
      </c>
      <c r="B199" s="3" t="str">
        <f>LOWER(VLOOKUP(A199,Xtal_Templ!A:B,2,FALSE))</f>
        <v>oprd_human</v>
      </c>
      <c r="C199" s="3">
        <f>VLOOKUP($A199,'SegEnds_NonXtal_BW#'!$A:$Z,3,FALSE)+D199-50</f>
        <v>39</v>
      </c>
      <c r="D199" s="3">
        <v>67</v>
      </c>
      <c r="E199" s="3">
        <f>IF(ISERROR(VLOOKUP($A199,'SegEnds_NonXtal_BW#'!$A:$Z,4,FALSE)+VLOOKUP($A199,A:AL,4,FALSE)-50),"-",(VLOOKUP($A199,'SegEnds_NonXtal_BW#'!$A:$Z,4,FALSE)+VLOOKUP($A199,A:AL,4,FALSE)-50))</f>
        <v>77</v>
      </c>
      <c r="F199" s="3">
        <f>G199-2</f>
        <v>78</v>
      </c>
      <c r="G199" s="3">
        <v>80</v>
      </c>
      <c r="H199" s="3">
        <f>G199+1</f>
        <v>81</v>
      </c>
      <c r="I199" s="3">
        <f>H199+1</f>
        <v>82</v>
      </c>
      <c r="J199" s="3">
        <v>95</v>
      </c>
      <c r="K199" s="3">
        <f>VLOOKUP($A199,'SegEnds_NonXtal_BW#'!$A:$Z,8,FALSE)+VLOOKUP($A199,A:AL,10,FALSE)-50</f>
        <v>111</v>
      </c>
      <c r="L199" s="3">
        <f>M199-1</f>
        <v>113</v>
      </c>
      <c r="M199" s="3">
        <v>114</v>
      </c>
      <c r="N199" s="3">
        <f>M199+2</f>
        <v>116</v>
      </c>
      <c r="O199" s="3">
        <f>N199+1</f>
        <v>117</v>
      </c>
      <c r="P199" s="3">
        <v>146</v>
      </c>
      <c r="Q199" s="3">
        <f>VLOOKUP($A199,'SegEnds_NonXtal_BW#'!$A:$Z,12,FALSE)+VLOOKUP($A199,A:AL,16,FALSE)-50</f>
        <v>152</v>
      </c>
      <c r="R199" s="3">
        <f>IF(ISERROR(VLOOKUP($A199,'SegEnds_NonXtal_BW#'!$A:$Z,13,FALSE)+VLOOKUP($A199,A:AL,19,FALSE)-50),"-",VLOOKUP($A199,'SegEnds_NonXtal_BW#'!$A:$Z,13,FALSE)+VLOOKUP($A199,A:AL,19,FALSE)-50)</f>
        <v>153</v>
      </c>
      <c r="S199" s="3">
        <v>153</v>
      </c>
      <c r="T199" s="103">
        <f>IF(ISERROR(VLOOKUP($A199,'SegEnds_NonXtal_BW#'!$A:$Z,14,FALSE)+VLOOKUP($A199,A:AL,19,FALSE)-50),"-",(VLOOKUP($A199,'SegEnds_NonXtal_BW#'!$A:$Z,14,FALSE)+VLOOKUP($A199,A:AL,19,FALSE)-50))</f>
        <v>160</v>
      </c>
      <c r="U199" s="9">
        <f>IF(ISERROR(VLOOKUP($A199,'SegEnds_NonXtal_BW#'!$A:$Z,15,FALSE)+VLOOKUP($A199,A:AL,22,FALSE)-50),"-",VLOOKUP($A199,'SegEnds_NonXtal_BW#'!$A:$Z,15,FALSE)+VLOOKUP($A199,A:AL,22,FALSE)-50)</f>
        <v>161</v>
      </c>
      <c r="V199" s="3">
        <v>173</v>
      </c>
      <c r="W199" s="3">
        <f>IF(ISERROR(VLOOKUP($A199,'SegEnds_NonXtal_BW#'!$A:$Z,16,FALSE)+VLOOKUP($A199,A:AL,22,FALSE)-50),"-",(VLOOKUP($A199,'SegEnds_NonXtal_BW#'!$A:$Z,16,FALSE)+VLOOKUP($A199,A:AL,22,FALSE)-50))</f>
        <v>187</v>
      </c>
      <c r="X199" s="3">
        <f>IF(ISERROR(VLOOKUP($A199,'SegEnds_NonXtal_BW#'!$A:$Z,17,FALSE)+VLOOKUP($A199,A:AL,25,FALSE)-50),"-",(VLOOKUP($A199,'SegEnds_NonXtal_BW#'!$A:$Z,17,FALSE)+VLOOKUP($A199,A:AL,25,FALSE)-50))</f>
        <v>198</v>
      </c>
      <c r="Y199" s="3">
        <v>198</v>
      </c>
      <c r="Z199" s="3">
        <f>Y199+2</f>
        <v>200</v>
      </c>
      <c r="AA199" s="3">
        <f>IF(ISERROR(VLOOKUP($A199,'SegEnds_NonXtal_BW#'!$A:$Z,19,FALSE)+VLOOKUP($A199,A:AL,28,FALSE)-50),"-",(VLOOKUP($A199,'SegEnds_NonXtal_BW#'!$A:$Z,19,FALSE)+VLOOKUP($A199,A:AL,28,FALSE)-50))</f>
        <v>206</v>
      </c>
      <c r="AB199" s="3">
        <v>225</v>
      </c>
      <c r="AC199" s="3">
        <f>IF(ISERROR((VLOOKUP($A199,'SegEnds_NonXtal_BW#'!$A:$Z,20,FALSE)+VLOOKUP($A199,A:AL,28,FALSE)-50)),"-",(VLOOKUP($A199,'SegEnds_NonXtal_BW#'!$A:$Z,20,FALSE)+VLOOKUP($A199,A:AL,28,FALSE)-50))</f>
        <v>243</v>
      </c>
      <c r="AD199" s="3">
        <f>IF(ISERROR(VLOOKUP($A199,'SegEnds_NonXtal_BW#'!$A:$Z,21,FALSE)+VLOOKUP($A199,A:AL,31,FALSE)-50),"-",(VLOOKUP($A199,'SegEnds_NonXtal_BW#'!$A:$Z,21,FALSE)+VLOOKUP($A199,A:AL,31,FALSE)-50))</f>
        <v>249</v>
      </c>
      <c r="AE199" s="3">
        <v>276</v>
      </c>
      <c r="AF199" s="3">
        <f>IF(ISERROR((VLOOKUP($A199,'SegEnds_NonXtal_BW#'!$A:$Z,22,FALSE)+VLOOKUP($A199,A:AL,31,FALSE)-50)),"-",(VLOOKUP($A199,'SegEnds_NonXtal_BW#'!$A:$Z,22,FALSE)+VLOOKUP($A199,A:AL,31,FALSE)-50))</f>
        <v>287</v>
      </c>
      <c r="AG199" s="3">
        <f>IF(ISERROR(VLOOKUP($A199,'SegEnds_NonXtal_BW#'!$A:$Z,23,FALSE)+VLOOKUP($A199,A:AL,34,FALSE)-50),"-",(VLOOKUP($A199,'SegEnds_NonXtal_BW#'!$A:$Z,23,FALSE)+VLOOKUP($A199,A:AL,34,FALSE)-50))</f>
        <v>293</v>
      </c>
      <c r="AH199" s="3">
        <v>315</v>
      </c>
      <c r="AI199" s="3">
        <f>IF(ISERROR((VLOOKUP($A199,'SegEnds_NonXtal_BW#'!$A:$Z,24,FALSE)+VLOOKUP($A199,A:AL,34,FALSE)-50)),"-",(VLOOKUP($A199,'SegEnds_NonXtal_BW#'!$A:$Z,24,FALSE)+VLOOKUP($A199,A:AL,34,FALSE)-50))</f>
        <v>321</v>
      </c>
      <c r="AJ199" s="3">
        <f>IF(ISERROR(VLOOKUP($A199,'SegEnds_NonXtal_BW#'!$A:$Z,25,FALSE)+VLOOKUP($A199,A:AL,37,FALSE)-50),"-",(VLOOKUP($A199,'SegEnds_NonXtal_BW#'!$A:$Z,25,FALSE)+VLOOKUP($A199,A:AL,37,FALSE)-50))</f>
        <v>322</v>
      </c>
      <c r="AK199" s="3">
        <v>325</v>
      </c>
      <c r="AL199" s="3">
        <f>IF(ISERROR((VLOOKUP($A199,'SegEnds_NonXtal_BW#'!$A:$Z,26,FALSE)+VLOOKUP($A199,A:AL,37,FALSE)-50)),"-",(VLOOKUP($A199,'SegEnds_NonXtal_BW#'!$A:$Z,26,FALSE)+VLOOKUP($A199,A:AL,37,FALSE)-50))</f>
        <v>335</v>
      </c>
      <c r="AM199" s="28" t="str">
        <f>VLOOKUP(A199,Classification!A:B,2,FALSE)</f>
        <v>A</v>
      </c>
      <c r="AN199" s="28" t="b">
        <f>AND(IF(Y199="-",IF(AA199-W199&gt;3,TRUE,FALSE),TRUE),IF(M199="-",IF(O199-K199&gt;3,TRUE,FALSE),TRUE),C199&lt;E199,OR(E199&lt;F199,F199="-"),OR(F199&lt;H199,F199="-"),OR(H199&lt;I199,H199="-"),I199&lt;K199,OR(K199&lt;L199,L199="-"),OR(L199&lt;N199,L199="-"),OR(N199&lt;O199,N199="-"),O199&lt;Q199,OR(Q199&lt;R199,R199="-"),OR(R199&lt;T199,R199="-"),OR(T199&lt;U199,T199="-"),U199&lt;W199,OR(W199&lt;X199,X199="-"),OR(X199&lt;Z199,X199="-"),OR(Z199&lt;AA199,Z199="-"),AA199&lt;AC199,AC199&lt;AD199,AD199&lt;AF199,AF199&lt;AG199,AG199&lt;AI199,OR(AI199&lt;AJ199,AJ199="-"),OR(AJ199&lt;AL199,AJ199="-"))</f>
        <v>1</v>
      </c>
      <c r="AO199" s="3" t="str">
        <f>IF(ISERROR(MATCH(A199,'SegEnds_Xtal_Prot#'!B:B, 0)), "NoXtal", "Xtal")</f>
        <v>Xtal</v>
      </c>
      <c r="AP199" s="3">
        <f>IF(ISERROR(F199-E199),"-",F199-E199)</f>
        <v>1</v>
      </c>
      <c r="AQ199" s="3">
        <f>IF(ISERROR(I199-H199),"-",I199-H199)</f>
        <v>1</v>
      </c>
      <c r="AR199" s="3">
        <f>IF(ISERROR(L199-K199),"-",L199-K199)</f>
        <v>2</v>
      </c>
      <c r="AS199" s="3">
        <f>IF(ISERROR(O199-N199),"-",O199-N199)</f>
        <v>1</v>
      </c>
      <c r="AT199" s="3">
        <f>IF(ISERROR(R199-Q199),"-",R199-Q199)</f>
        <v>1</v>
      </c>
      <c r="AU199" s="3">
        <f>IF(ISERROR(U199-T199),"-",U199-T199)</f>
        <v>1</v>
      </c>
      <c r="AV199" s="3">
        <f>IF(ISERROR(X199-W199),"-",X199-W199)</f>
        <v>11</v>
      </c>
      <c r="AW199" s="3">
        <f>IF(ISERROR(AA199-Z199),"-",AA199-Z199)</f>
        <v>6</v>
      </c>
      <c r="AX199" s="3">
        <f>IF(ISERROR(AD199-AC199),"-",AD199-AC199)</f>
        <v>6</v>
      </c>
      <c r="AY199" s="3">
        <f>IF(ISERROR(AG199-AF199),"-",AG199-AF199)</f>
        <v>6</v>
      </c>
      <c r="AZ199" s="3">
        <f>IF(ISERROR(AJ199-AI199),"-",AJ199-AI199)</f>
        <v>1</v>
      </c>
      <c r="BA199" s="3">
        <f>IF(ISERROR(LEN(VLOOKUP(A199,Seqs!A:E,2,FALSE))-AL199),"-",LEN(VLOOKUP(A199,Seqs!A:E,2,FALSE))-AL199)</f>
        <v>37</v>
      </c>
      <c r="BB199" s="16">
        <f>J199-D199</f>
        <v>28</v>
      </c>
      <c r="BC199" s="9">
        <f>IF(ISERROR(V199-S199),"-",V199-S199)</f>
        <v>20</v>
      </c>
      <c r="BD199" s="3">
        <f>J199-D199</f>
        <v>28</v>
      </c>
      <c r="BE199" s="3">
        <f>AE199-AB199</f>
        <v>51</v>
      </c>
    </row>
    <row r="200" spans="1:58" s="3" customFormat="1" x14ac:dyDescent="0.2">
      <c r="A200" s="3" t="s">
        <v>916</v>
      </c>
      <c r="B200" s="3" t="str">
        <f>LOWER(VLOOKUP(A200,Xtal_Templ!A:B,2,FALSE))</f>
        <v>oprd_human</v>
      </c>
      <c r="C200" s="3">
        <f>VLOOKUP($A200,'SegEnds_NonXtal_BW#'!$A:$Z,3,FALSE)+D200-50</f>
        <v>39</v>
      </c>
      <c r="D200" s="3">
        <v>67</v>
      </c>
      <c r="E200" s="3">
        <f>IF(ISERROR(VLOOKUP($A200,'SegEnds_NonXtal_BW#'!$A:$Z,4,FALSE)+VLOOKUP($A200,A:AL,4,FALSE)-50),"-",(VLOOKUP($A200,'SegEnds_NonXtal_BW#'!$A:$Z,4,FALSE)+VLOOKUP($A200,A:AL,4,FALSE)-50))</f>
        <v>77</v>
      </c>
      <c r="F200" s="3">
        <f>G200-2</f>
        <v>78</v>
      </c>
      <c r="G200" s="3">
        <v>80</v>
      </c>
      <c r="H200" s="3">
        <f>G200+1</f>
        <v>81</v>
      </c>
      <c r="I200" s="3">
        <f>H200+1</f>
        <v>82</v>
      </c>
      <c r="J200" s="3">
        <v>95</v>
      </c>
      <c r="K200" s="3">
        <f>VLOOKUP($A200,'SegEnds_NonXtal_BW#'!$A:$Z,8,FALSE)+VLOOKUP($A200,A:AL,10,FALSE)-50</f>
        <v>111</v>
      </c>
      <c r="L200" s="3">
        <f>IF(ISERROR(VLOOKUP($A200,'SegEnds_NonXtal_BW#'!$A:$Z,9,FALSE)+VLOOKUP($A200,A:AL,13,FALSE)-50),"-",(VLOOKUP($A200,'SegEnds_NonXtal_BW#'!$A:$Z,9,FALSE)+VLOOKUP($A200,A:AL,13,FALSE)-50))</f>
        <v>113</v>
      </c>
      <c r="M200" s="3">
        <v>114</v>
      </c>
      <c r="N200" s="3">
        <f>IF(ISERROR(VLOOKUP($A200,'SegEnds_NonXtal_BW#'!$A:$Z,10,FALSE)+VLOOKUP($A200,A:AL,13,FALSE)-50),"-",(VLOOKUP($A200,'SegEnds_NonXtal_BW#'!$A:$Z,10,FALSE)+VLOOKUP($A200,A:AL,13,FALSE)-50))</f>
        <v>116</v>
      </c>
      <c r="O200" s="3">
        <f>N200+1</f>
        <v>117</v>
      </c>
      <c r="P200" s="3">
        <v>146</v>
      </c>
      <c r="Q200" s="3">
        <f>VLOOKUP($A200,'SegEnds_NonXtal_BW#'!$A:$Z,12,FALSE)+VLOOKUP($A200,A:AL,16,FALSE)-50</f>
        <v>152</v>
      </c>
      <c r="R200" s="3">
        <f>IF(ISERROR(VLOOKUP($A200,'SegEnds_NonXtal_BW#'!$A:$Z,13,FALSE)+VLOOKUP($A200,A:AL,19,FALSE)-50),"-",VLOOKUP($A200,'SegEnds_NonXtal_BW#'!$A:$Z,13,FALSE)+VLOOKUP($A200,A:AL,19,FALSE)-50)</f>
        <v>153</v>
      </c>
      <c r="S200" s="3">
        <v>153</v>
      </c>
      <c r="T200" s="103">
        <f>IF(ISERROR(VLOOKUP($A200,'SegEnds_NonXtal_BW#'!$A:$Z,14,FALSE)+VLOOKUP($A200,A:AL,19,FALSE)-50),"-",(VLOOKUP($A200,'SegEnds_NonXtal_BW#'!$A:$Z,14,FALSE)+VLOOKUP($A200,A:AL,19,FALSE)-50))</f>
        <v>160</v>
      </c>
      <c r="U200" s="9">
        <f>IF(ISERROR(VLOOKUP($A200,'SegEnds_NonXtal_BW#'!$A:$Z,15,FALSE)+VLOOKUP($A200,A:AL,22,FALSE)-50),"-",VLOOKUP($A200,'SegEnds_NonXtal_BW#'!$A:$Z,15,FALSE)+VLOOKUP($A200,A:AL,22,FALSE)-50)</f>
        <v>161</v>
      </c>
      <c r="V200" s="3">
        <v>173</v>
      </c>
      <c r="W200" s="3">
        <f>IF(ISERROR(VLOOKUP($A200,'SegEnds_NonXtal_BW#'!$A:$Z,16,FALSE)+VLOOKUP($A200,A:AL,22,FALSE)-50),"-",(VLOOKUP($A200,'SegEnds_NonXtal_BW#'!$A:$Z,16,FALSE)+VLOOKUP($A200,A:AL,22,FALSE)-50))</f>
        <v>187</v>
      </c>
      <c r="X200" s="3">
        <f>IF(ISERROR(VLOOKUP($A200,'SegEnds_NonXtal_BW#'!$A:$Z,17,FALSE)+VLOOKUP($A200,A:AL,25,FALSE)-50),"-",(VLOOKUP($A200,'SegEnds_NonXtal_BW#'!$A:$Z,17,FALSE)+VLOOKUP($A200,A:AL,25,FALSE)-50))</f>
        <v>198</v>
      </c>
      <c r="Y200" s="3">
        <v>198</v>
      </c>
      <c r="Z200" s="3">
        <f>Y200+2</f>
        <v>200</v>
      </c>
      <c r="AA200" s="3">
        <f>IF(ISERROR(VLOOKUP($A200,'SegEnds_NonXtal_BW#'!$A:$Z,19,FALSE)+VLOOKUP($A200,A:AL,28,FALSE)-50),"-",(VLOOKUP($A200,'SegEnds_NonXtal_BW#'!$A:$Z,19,FALSE)+VLOOKUP($A200,A:AL,28,FALSE)-50))</f>
        <v>206</v>
      </c>
      <c r="AB200" s="3">
        <v>225</v>
      </c>
      <c r="AC200" s="3">
        <f>IF(ISERROR((VLOOKUP($A200,'SegEnds_NonXtal_BW#'!$A:$Z,20,FALSE)+VLOOKUP($A200,A:AL,28,FALSE)-50)),"-",(VLOOKUP($A200,'SegEnds_NonXtal_BW#'!$A:$Z,20,FALSE)+VLOOKUP($A200,A:AL,28,FALSE)-50))</f>
        <v>243</v>
      </c>
      <c r="AD200" s="3">
        <f>IF(ISERROR(VLOOKUP($A200,'SegEnds_NonXtal_BW#'!$A:$Z,21,FALSE)+VLOOKUP($A200,A:AL,31,FALSE)-50),"-",(VLOOKUP($A200,'SegEnds_NonXtal_BW#'!$A:$Z,21,FALSE)+VLOOKUP($A200,A:AL,31,FALSE)-50))</f>
        <v>249</v>
      </c>
      <c r="AE200" s="3">
        <v>276</v>
      </c>
      <c r="AF200" s="3">
        <f>IF(ISERROR((VLOOKUP($A200,'SegEnds_NonXtal_BW#'!$A:$Z,22,FALSE)+VLOOKUP($A200,A:AL,31,FALSE)-50)),"-",(VLOOKUP($A200,'SegEnds_NonXtal_BW#'!$A:$Z,22,FALSE)+VLOOKUP($A200,A:AL,31,FALSE)-50))</f>
        <v>287</v>
      </c>
      <c r="AG200" s="3">
        <f>IF(ISERROR(VLOOKUP($A200,'SegEnds_NonXtal_BW#'!$A:$Z,23,FALSE)+VLOOKUP($A200,A:AL,34,FALSE)-50),"-",(VLOOKUP($A200,'SegEnds_NonXtal_BW#'!$A:$Z,23,FALSE)+VLOOKUP($A200,A:AL,34,FALSE)-50))</f>
        <v>293</v>
      </c>
      <c r="AH200" s="3">
        <v>315</v>
      </c>
      <c r="AI200" s="3">
        <f>IF(ISERROR((VLOOKUP($A200,'SegEnds_NonXtal_BW#'!$A:$Z,24,FALSE)+VLOOKUP($A200,A:AL,34,FALSE)-50)),"-",(VLOOKUP($A200,'SegEnds_NonXtal_BW#'!$A:$Z,24,FALSE)+VLOOKUP($A200,A:AL,34,FALSE)-50))</f>
        <v>321</v>
      </c>
      <c r="AJ200" s="3">
        <f>IF(ISERROR(VLOOKUP($A200,'SegEnds_NonXtal_BW#'!$A:$Z,25,FALSE)+VLOOKUP($A200,A:AL,37,FALSE)-50),"-",(VLOOKUP($A200,'SegEnds_NonXtal_BW#'!$A:$Z,25,FALSE)+VLOOKUP($A200,A:AL,37,FALSE)-50))</f>
        <v>322</v>
      </c>
      <c r="AK200" s="3">
        <v>325</v>
      </c>
      <c r="AL200" s="3">
        <f>IF(ISERROR((VLOOKUP($A200,'SegEnds_NonXtal_BW#'!$A:$Z,26,FALSE)+VLOOKUP($A200,A:AL,37,FALSE)-50)),"-",(VLOOKUP($A200,'SegEnds_NonXtal_BW#'!$A:$Z,26,FALSE)+VLOOKUP($A200,A:AL,37,FALSE)-50))</f>
        <v>335</v>
      </c>
      <c r="AM200" s="28" t="str">
        <f>VLOOKUP(A200,Classification!A:B,2,FALSE)</f>
        <v>A</v>
      </c>
      <c r="AN200" s="28" t="b">
        <f>AND(IF(Y200="-",IF(AA200-W200&gt;3,TRUE,FALSE),TRUE),IF(M200="-",IF(O200-K200&gt;3,TRUE,FALSE),TRUE),C200&lt;E200,OR(E200&lt;F200,F200="-"),OR(F200&lt;H200,F200="-"),OR(H200&lt;I200,H200="-"),I200&lt;K200,OR(K200&lt;L200,L200="-"),OR(L200&lt;N200,L200="-"),OR(N200&lt;O200,N200="-"),O200&lt;Q200,OR(Q200&lt;R200,R200="-"),OR(R200&lt;T200,R200="-"),OR(T200&lt;U200,T200="-"),U200&lt;W200,OR(W200&lt;X200,X200="-"),OR(X200&lt;Z200,X200="-"),OR(Z200&lt;AA200,Z200="-"),AA200&lt;AC200,AC200&lt;AD200,AD200&lt;AF200,AF200&lt;AG200,AG200&lt;AI200,OR(AI200&lt;AJ200,AJ200="-"),OR(AJ200&lt;AL200,AJ200="-"))</f>
        <v>1</v>
      </c>
      <c r="AO200" s="3" t="str">
        <f>IF(ISERROR(MATCH(A200,'SegEnds_Xtal_Prot#'!B:B, 0)), "NoXtal", "Xtal")</f>
        <v>Xtal</v>
      </c>
      <c r="AP200" s="3">
        <f>IF(ISERROR(F200-E200),"-",F200-E200)</f>
        <v>1</v>
      </c>
      <c r="AQ200" s="3">
        <f>IF(ISERROR(I200-H200),"-",I200-H200)</f>
        <v>1</v>
      </c>
      <c r="AR200" s="3">
        <f>IF(ISERROR(L200-K200),"-",L200-K200)</f>
        <v>2</v>
      </c>
      <c r="AS200" s="3">
        <f>IF(ISERROR(O200-N200),"-",O200-N200)</f>
        <v>1</v>
      </c>
      <c r="AT200" s="3">
        <f>IF(ISERROR(R200-Q200),"-",R200-Q200)</f>
        <v>1</v>
      </c>
      <c r="AU200" s="3">
        <f>IF(ISERROR(U200-T200),"-",U200-T200)</f>
        <v>1</v>
      </c>
      <c r="AV200" s="3">
        <f>IF(ISERROR(X200-W200),"-",X200-W200)</f>
        <v>11</v>
      </c>
      <c r="AW200" s="3">
        <f>IF(ISERROR(AA200-Z200),"-",AA200-Z200)</f>
        <v>6</v>
      </c>
      <c r="AX200" s="3">
        <f>IF(ISERROR(AD200-AC200),"-",AD200-AC200)</f>
        <v>6</v>
      </c>
      <c r="AY200" s="3">
        <f>IF(ISERROR(AG200-AF200),"-",AG200-AF200)</f>
        <v>6</v>
      </c>
      <c r="AZ200" s="3">
        <f>IF(ISERROR(AJ200-AI200),"-",AJ200-AI200)</f>
        <v>1</v>
      </c>
      <c r="BA200" s="3">
        <f>IF(ISERROR(LEN(VLOOKUP(A200,Seqs!A:E,2,FALSE))-AL200),"-",LEN(VLOOKUP(A200,Seqs!A:E,2,FALSE))-AL200)</f>
        <v>37</v>
      </c>
      <c r="BB200" s="16">
        <f>J200-D200</f>
        <v>28</v>
      </c>
      <c r="BC200" s="9">
        <f>IF(ISERROR(V200-S200),"-",V200-S200)</f>
        <v>20</v>
      </c>
      <c r="BD200" s="3">
        <f>J200-D200</f>
        <v>28</v>
      </c>
      <c r="BE200" s="3">
        <f>AE200-AB200</f>
        <v>51</v>
      </c>
    </row>
    <row r="201" spans="1:58" s="3" customFormat="1" x14ac:dyDescent="0.2">
      <c r="A201" s="3" t="s">
        <v>336</v>
      </c>
      <c r="B201" s="3" t="str">
        <f>LOWER(VLOOKUP(A201,Xtal_Templ!A:B,2,FALSE))</f>
        <v>oprk_human</v>
      </c>
      <c r="C201" s="3">
        <f>VLOOKUP($A201,'SegEnds_NonXtal_BW#'!$A:$Z,3,FALSE)+D201-50</f>
        <v>57</v>
      </c>
      <c r="D201" s="3">
        <v>77</v>
      </c>
      <c r="E201" s="3">
        <f>IF(ISERROR(VLOOKUP($A201,'SegEnds_NonXtal_BW#'!$A:$Z,4,FALSE)+VLOOKUP($A201,A:AL,4,FALSE)-50),"-",(VLOOKUP($A201,'SegEnds_NonXtal_BW#'!$A:$Z,4,FALSE)+VLOOKUP($A201,A:AL,4,FALSE)-50))</f>
        <v>87</v>
      </c>
      <c r="F201" s="3">
        <f>G201-2</f>
        <v>88</v>
      </c>
      <c r="G201" s="3">
        <v>90</v>
      </c>
      <c r="H201" s="3">
        <f>G201+1</f>
        <v>91</v>
      </c>
      <c r="I201" s="3">
        <f>H201+1</f>
        <v>92</v>
      </c>
      <c r="J201" s="3">
        <v>105</v>
      </c>
      <c r="K201" s="3">
        <f>VLOOKUP($A201,'SegEnds_NonXtal_BW#'!$A:$Z,8,FALSE)+VLOOKUP($A201,A:AL,10,FALSE)-50</f>
        <v>121</v>
      </c>
      <c r="L201" s="3">
        <f>M201-1</f>
        <v>123</v>
      </c>
      <c r="M201" s="3">
        <v>124</v>
      </c>
      <c r="N201" s="3">
        <f>M201+2</f>
        <v>126</v>
      </c>
      <c r="O201" s="3">
        <f>N201+1</f>
        <v>127</v>
      </c>
      <c r="P201" s="3">
        <v>156</v>
      </c>
      <c r="Q201" s="3">
        <f>VLOOKUP($A201,'SegEnds_NonXtal_BW#'!$A:$Z,12,FALSE)+VLOOKUP($A201,A:AL,16,FALSE)-50</f>
        <v>162</v>
      </c>
      <c r="R201" s="3">
        <f>IF(ISERROR(VLOOKUP($A201,'SegEnds_NonXtal_BW#'!$A:$Z,13,FALSE)+VLOOKUP($A201,A:AL,19,FALSE)-50),"-",VLOOKUP($A201,'SegEnds_NonXtal_BW#'!$A:$Z,13,FALSE)+VLOOKUP($A201,A:AL,19,FALSE)-50)</f>
        <v>163</v>
      </c>
      <c r="S201" s="3">
        <v>163</v>
      </c>
      <c r="T201" s="103">
        <f>IF(ISERROR(VLOOKUP($A201,'SegEnds_NonXtal_BW#'!$A:$Z,14,FALSE)+VLOOKUP($A201,A:AL,19,FALSE)-50),"-",(VLOOKUP($A201,'SegEnds_NonXtal_BW#'!$A:$Z,14,FALSE)+VLOOKUP($A201,A:AL,19,FALSE)-50))</f>
        <v>170</v>
      </c>
      <c r="U201" s="9">
        <f>IF(ISERROR(VLOOKUP($A201,'SegEnds_NonXtal_BW#'!$A:$Z,15,FALSE)+VLOOKUP($A201,A:AL,22,FALSE)-50),"-",VLOOKUP($A201,'SegEnds_NonXtal_BW#'!$A:$Z,15,FALSE)+VLOOKUP($A201,A:AL,22,FALSE)-50)</f>
        <v>171</v>
      </c>
      <c r="V201" s="3">
        <v>183</v>
      </c>
      <c r="W201" s="3">
        <f>IF(ISERROR(VLOOKUP($A201,'SegEnds_NonXtal_BW#'!$A:$Z,16,FALSE)+VLOOKUP($A201,A:AL,22,FALSE)-50),"-",(VLOOKUP($A201,'SegEnds_NonXtal_BW#'!$A:$Z,16,FALSE)+VLOOKUP($A201,A:AL,22,FALSE)-50))</f>
        <v>197</v>
      </c>
      <c r="X201" s="3">
        <f>IF(ISERROR(VLOOKUP($A201,'SegEnds_NonXtal_BW#'!$A:$Z,17,FALSE)+VLOOKUP($A201,A:AL,25,FALSE)-50),"-",(VLOOKUP($A201,'SegEnds_NonXtal_BW#'!$A:$Z,17,FALSE)+VLOOKUP($A201,A:AL,25,FALSE)-50))</f>
        <v>210</v>
      </c>
      <c r="Y201" s="3">
        <v>210</v>
      </c>
      <c r="Z201" s="3">
        <f>Y201+2</f>
        <v>212</v>
      </c>
      <c r="AA201" s="3">
        <f>IF(ISERROR(VLOOKUP($A201,'SegEnds_NonXtal_BW#'!$A:$Z,19,FALSE)+VLOOKUP($A201,A:AL,28,FALSE)-50),"-",(VLOOKUP($A201,'SegEnds_NonXtal_BW#'!$A:$Z,19,FALSE)+VLOOKUP($A201,A:AL,28,FALSE)-50))</f>
        <v>219</v>
      </c>
      <c r="AB201" s="3">
        <v>238</v>
      </c>
      <c r="AC201" s="3">
        <f>IF(ISERROR((VLOOKUP($A201,'SegEnds_NonXtal_BW#'!$A:$Z,20,FALSE)+VLOOKUP($A201,A:AL,28,FALSE)-50)),"-",(VLOOKUP($A201,'SegEnds_NonXtal_BW#'!$A:$Z,20,FALSE)+VLOOKUP($A201,A:AL,28,FALSE)-50))</f>
        <v>256</v>
      </c>
      <c r="AD201" s="3">
        <f>IF(ISERROR(VLOOKUP($A201,'SegEnds_NonXtal_BW#'!$A:$Z,21,FALSE)+VLOOKUP($A201,A:AL,31,FALSE)-50),"-",(VLOOKUP($A201,'SegEnds_NonXtal_BW#'!$A:$Z,21,FALSE)+VLOOKUP($A201,A:AL,31,FALSE)-50))</f>
        <v>262</v>
      </c>
      <c r="AE201" s="3">
        <v>289</v>
      </c>
      <c r="AF201" s="3">
        <f>IF(ISERROR((VLOOKUP($A201,'SegEnds_NonXtal_BW#'!$A:$Z,22,FALSE)+VLOOKUP($A201,A:AL,31,FALSE)-50)),"-",(VLOOKUP($A201,'SegEnds_NonXtal_BW#'!$A:$Z,22,FALSE)+VLOOKUP($A201,A:AL,31,FALSE)-50))</f>
        <v>300</v>
      </c>
      <c r="AG201" s="3">
        <f>IF(ISERROR(VLOOKUP($A201,'SegEnds_NonXtal_BW#'!$A:$Z,23,FALSE)+VLOOKUP($A201,A:AL,34,FALSE)-50),"-",(VLOOKUP($A201,'SegEnds_NonXtal_BW#'!$A:$Z,23,FALSE)+VLOOKUP($A201,A:AL,34,FALSE)-50))</f>
        <v>305</v>
      </c>
      <c r="AH201" s="3">
        <v>327</v>
      </c>
      <c r="AI201" s="3">
        <f>IF(ISERROR((VLOOKUP($A201,'SegEnds_NonXtal_BW#'!$A:$Z,24,FALSE)+VLOOKUP($A201,A:AL,34,FALSE)-50)),"-",(VLOOKUP($A201,'SegEnds_NonXtal_BW#'!$A:$Z,24,FALSE)+VLOOKUP($A201,A:AL,34,FALSE)-50))</f>
        <v>333</v>
      </c>
      <c r="AJ201" s="3">
        <f>IF(ISERROR(VLOOKUP($A201,'SegEnds_NonXtal_BW#'!$A:$Z,25,FALSE)+VLOOKUP($A201,A:AL,37,FALSE)-50),"-",(VLOOKUP($A201,'SegEnds_NonXtal_BW#'!$A:$Z,25,FALSE)+VLOOKUP($A201,A:AL,37,FALSE)-50))</f>
        <v>334</v>
      </c>
      <c r="AK201" s="3">
        <v>337</v>
      </c>
      <c r="AL201" s="3">
        <f>IF(ISERROR((VLOOKUP($A201,'SegEnds_NonXtal_BW#'!$A:$Z,26,FALSE)+VLOOKUP($A201,A:AL,37,FALSE)-50)),"-",(VLOOKUP($A201,'SegEnds_NonXtal_BW#'!$A:$Z,26,FALSE)+VLOOKUP($A201,A:AL,37,FALSE)-50))</f>
        <v>346</v>
      </c>
      <c r="AM201" s="28" t="str">
        <f>VLOOKUP(A201,Classification!A:B,2,FALSE)</f>
        <v>A</v>
      </c>
      <c r="AN201" s="28" t="b">
        <f>AND(IF(Y201="-",IF(AA201-W201&gt;3,TRUE,FALSE),TRUE),IF(M201="-",IF(O201-K201&gt;3,TRUE,FALSE),TRUE),C201&lt;E201,OR(E201&lt;F201,F201="-"),OR(F201&lt;H201,F201="-"),OR(H201&lt;I201,H201="-"),I201&lt;K201,OR(K201&lt;L201,L201="-"),OR(L201&lt;N201,L201="-"),OR(N201&lt;O201,N201="-"),O201&lt;Q201,OR(Q201&lt;R201,R201="-"),OR(R201&lt;T201,R201="-"),OR(T201&lt;U201,T201="-"),U201&lt;W201,OR(W201&lt;X201,X201="-"),OR(X201&lt;Z201,X201="-"),OR(Z201&lt;AA201,Z201="-"),AA201&lt;AC201,AC201&lt;AD201,AD201&lt;AF201,AF201&lt;AG201,AG201&lt;AI201,OR(AI201&lt;AJ201,AJ201="-"),OR(AJ201&lt;AL201,AJ201="-"))</f>
        <v>1</v>
      </c>
      <c r="AO201" s="3" t="str">
        <f>IF(ISERROR(MATCH(A201,'SegEnds_Xtal_Prot#'!B:B, 0)), "NoXtal", "Xtal")</f>
        <v>Xtal</v>
      </c>
      <c r="AP201" s="3">
        <f>IF(ISERROR(F201-E201),"-",F201-E201)</f>
        <v>1</v>
      </c>
      <c r="AQ201" s="3">
        <f>IF(ISERROR(I201-H201),"-",I201-H201)</f>
        <v>1</v>
      </c>
      <c r="AR201" s="3">
        <f>IF(ISERROR(L201-K201),"-",L201-K201)</f>
        <v>2</v>
      </c>
      <c r="AS201" s="3">
        <f>IF(ISERROR(O201-N201),"-",O201-N201)</f>
        <v>1</v>
      </c>
      <c r="AT201" s="3">
        <f>IF(ISERROR(R201-Q201),"-",R201-Q201)</f>
        <v>1</v>
      </c>
      <c r="AU201" s="3">
        <f>IF(ISERROR(U201-T201),"-",U201-T201)</f>
        <v>1</v>
      </c>
      <c r="AV201" s="3">
        <f>IF(ISERROR(X201-W201),"-",X201-W201)</f>
        <v>13</v>
      </c>
      <c r="AW201" s="3">
        <f>IF(ISERROR(AA201-Z201),"-",AA201-Z201)</f>
        <v>7</v>
      </c>
      <c r="AX201" s="3">
        <f>IF(ISERROR(AD201-AC201),"-",AD201-AC201)</f>
        <v>6</v>
      </c>
      <c r="AY201" s="3">
        <f>IF(ISERROR(AG201-AF201),"-",AG201-AF201)</f>
        <v>5</v>
      </c>
      <c r="AZ201" s="3">
        <f>IF(ISERROR(AJ201-AI201),"-",AJ201-AI201)</f>
        <v>1</v>
      </c>
      <c r="BA201" s="3">
        <f>IF(ISERROR(LEN(VLOOKUP(A201,Seqs!A:E,2,FALSE))-AL201),"-",LEN(VLOOKUP(A201,Seqs!A:E,2,FALSE))-AL201)</f>
        <v>34</v>
      </c>
      <c r="BB201" s="16">
        <f>J201-D201</f>
        <v>28</v>
      </c>
      <c r="BC201" s="9">
        <f>IF(ISERROR(V201-S201),"-",V201-S201)</f>
        <v>20</v>
      </c>
      <c r="BD201" s="3">
        <f>J201-D201</f>
        <v>28</v>
      </c>
      <c r="BE201" s="3">
        <f>AE201-AB201</f>
        <v>51</v>
      </c>
    </row>
    <row r="202" spans="1:58" s="3" customFormat="1" x14ac:dyDescent="0.2">
      <c r="A202" s="3" t="s">
        <v>337</v>
      </c>
      <c r="B202" s="3" t="str">
        <f>LOWER(VLOOKUP(A202,Xtal_Templ!A:B,2,FALSE))</f>
        <v>oprm_mouse</v>
      </c>
      <c r="C202" s="3">
        <f>VLOOKUP($A202,'SegEnds_NonXtal_BW#'!$A:$Z,3,FALSE)+D202-50</f>
        <v>67</v>
      </c>
      <c r="D202" s="3">
        <v>88</v>
      </c>
      <c r="E202" s="3">
        <f>IF(ISERROR(VLOOKUP($A202,'SegEnds_NonXtal_BW#'!$A:$Z,4,FALSE)+VLOOKUP($A202,A:AL,4,FALSE)-50),"-",(VLOOKUP($A202,'SegEnds_NonXtal_BW#'!$A:$Z,4,FALSE)+VLOOKUP($A202,A:AL,4,FALSE)-50))</f>
        <v>98</v>
      </c>
      <c r="F202" s="3">
        <f>G202-2</f>
        <v>99</v>
      </c>
      <c r="G202" s="3">
        <v>101</v>
      </c>
      <c r="H202" s="3">
        <f>G202+1</f>
        <v>102</v>
      </c>
      <c r="I202" s="3">
        <f>H202+1</f>
        <v>103</v>
      </c>
      <c r="J202" s="3">
        <v>116</v>
      </c>
      <c r="K202" s="3">
        <f>VLOOKUP($A202,'SegEnds_NonXtal_BW#'!$A:$Z,8,FALSE)+VLOOKUP($A202,A:AL,10,FALSE)-50</f>
        <v>132</v>
      </c>
      <c r="L202" s="3">
        <f>M202-1</f>
        <v>134</v>
      </c>
      <c r="M202" s="3">
        <v>135</v>
      </c>
      <c r="N202" s="3">
        <f>M202+2</f>
        <v>137</v>
      </c>
      <c r="O202" s="3">
        <f>N202+1</f>
        <v>138</v>
      </c>
      <c r="P202" s="3">
        <v>167</v>
      </c>
      <c r="Q202" s="3">
        <f>VLOOKUP($A202,'SegEnds_NonXtal_BW#'!$A:$Z,12,FALSE)+VLOOKUP($A202,A:AL,16,FALSE)-50</f>
        <v>173</v>
      </c>
      <c r="R202" s="3">
        <f>IF(ISERROR(VLOOKUP($A202,'SegEnds_NonXtal_BW#'!$A:$Z,13,FALSE)+VLOOKUP($A202,A:AL,19,FALSE)-50),"-",VLOOKUP($A202,'SegEnds_NonXtal_BW#'!$A:$Z,13,FALSE)+VLOOKUP($A202,A:AL,19,FALSE)-50)</f>
        <v>174</v>
      </c>
      <c r="S202" s="3">
        <v>174</v>
      </c>
      <c r="T202" s="103">
        <f>IF(ISERROR(VLOOKUP($A202,'SegEnds_NonXtal_BW#'!$A:$Z,14,FALSE)+VLOOKUP($A202,A:AL,19,FALSE)-50),"-",(VLOOKUP($A202,'SegEnds_NonXtal_BW#'!$A:$Z,14,FALSE)+VLOOKUP($A202,A:AL,19,FALSE)-50))</f>
        <v>181</v>
      </c>
      <c r="U202" s="9">
        <f>IF(ISERROR(VLOOKUP($A202,'SegEnds_NonXtal_BW#'!$A:$Z,15,FALSE)+VLOOKUP($A202,A:AL,22,FALSE)-50),"-",VLOOKUP($A202,'SegEnds_NonXtal_BW#'!$A:$Z,15,FALSE)+VLOOKUP($A202,A:AL,22,FALSE)-50)</f>
        <v>182</v>
      </c>
      <c r="V202" s="3">
        <v>194</v>
      </c>
      <c r="W202" s="3">
        <f>IF(ISERROR(VLOOKUP($A202,'SegEnds_NonXtal_BW#'!$A:$Z,16,FALSE)+VLOOKUP($A202,A:AL,22,FALSE)-50),"-",(VLOOKUP($A202,'SegEnds_NonXtal_BW#'!$A:$Z,16,FALSE)+VLOOKUP($A202,A:AL,22,FALSE)-50))</f>
        <v>208</v>
      </c>
      <c r="X202" s="3">
        <f>IF(ISERROR(VLOOKUP($A202,'SegEnds_NonXtal_BW#'!$A:$Z,17,FALSE)+VLOOKUP($A202,A:AL,25,FALSE)-50),"-",(VLOOKUP($A202,'SegEnds_NonXtal_BW#'!$A:$Z,17,FALSE)+VLOOKUP($A202,A:AL,25,FALSE)-50))</f>
        <v>219</v>
      </c>
      <c r="Y202" s="3">
        <v>219</v>
      </c>
      <c r="Z202" s="3">
        <f>Y202+2</f>
        <v>221</v>
      </c>
      <c r="AA202" s="3">
        <f>IF(ISERROR(VLOOKUP($A202,'SegEnds_NonXtal_BW#'!$A:$Z,19,FALSE)+VLOOKUP($A202,A:AL,28,FALSE)-50),"-",(VLOOKUP($A202,'SegEnds_NonXtal_BW#'!$A:$Z,19,FALSE)+VLOOKUP($A202,A:AL,28,FALSE)-50))</f>
        <v>227</v>
      </c>
      <c r="AB202" s="3">
        <v>246</v>
      </c>
      <c r="AC202" s="3">
        <f>IF(ISERROR((VLOOKUP($A202,'SegEnds_NonXtal_BW#'!$A:$Z,20,FALSE)+VLOOKUP($A202,A:AL,28,FALSE)-50)),"-",(VLOOKUP($A202,'SegEnds_NonXtal_BW#'!$A:$Z,20,FALSE)+VLOOKUP($A202,A:AL,28,FALSE)-50))</f>
        <v>264</v>
      </c>
      <c r="AD202" s="3">
        <f>IF(ISERROR(VLOOKUP($A202,'SegEnds_NonXtal_BW#'!$A:$Z,21,FALSE)+VLOOKUP($A202,A:AL,31,FALSE)-50),"-",(VLOOKUP($A202,'SegEnds_NonXtal_BW#'!$A:$Z,21,FALSE)+VLOOKUP($A202,A:AL,31,FALSE)-50))</f>
        <v>270</v>
      </c>
      <c r="AE202" s="3">
        <v>297</v>
      </c>
      <c r="AF202" s="3">
        <f>IF(ISERROR((VLOOKUP($A202,'SegEnds_NonXtal_BW#'!$A:$Z,22,FALSE)+VLOOKUP($A202,A:AL,31,FALSE)-50)),"-",(VLOOKUP($A202,'SegEnds_NonXtal_BW#'!$A:$Z,22,FALSE)+VLOOKUP($A202,A:AL,31,FALSE)-50))</f>
        <v>308</v>
      </c>
      <c r="AG202" s="3">
        <f>IF(ISERROR(VLOOKUP($A202,'SegEnds_NonXtal_BW#'!$A:$Z,23,FALSE)+VLOOKUP($A202,A:AL,34,FALSE)-50),"-",(VLOOKUP($A202,'SegEnds_NonXtal_BW#'!$A:$Z,23,FALSE)+VLOOKUP($A202,A:AL,34,FALSE)-50))</f>
        <v>313</v>
      </c>
      <c r="AH202" s="3">
        <v>335</v>
      </c>
      <c r="AI202" s="3">
        <f>IF(ISERROR((VLOOKUP($A202,'SegEnds_NonXtal_BW#'!$A:$Z,24,FALSE)+VLOOKUP($A202,A:AL,34,FALSE)-50)),"-",(VLOOKUP($A202,'SegEnds_NonXtal_BW#'!$A:$Z,24,FALSE)+VLOOKUP($A202,A:AL,34,FALSE)-50))</f>
        <v>341</v>
      </c>
      <c r="AJ202" s="3">
        <f>IF(ISERROR(VLOOKUP($A202,'SegEnds_NonXtal_BW#'!$A:$Z,25,FALSE)+VLOOKUP($A202,A:AL,37,FALSE)-50),"-",(VLOOKUP($A202,'SegEnds_NonXtal_BW#'!$A:$Z,25,FALSE)+VLOOKUP($A202,A:AL,37,FALSE)-50))</f>
        <v>342</v>
      </c>
      <c r="AK202" s="3">
        <v>345</v>
      </c>
      <c r="AL202" s="3">
        <f>IF(ISERROR((VLOOKUP($A202,'SegEnds_NonXtal_BW#'!$A:$Z,26,FALSE)+VLOOKUP($A202,A:AL,37,FALSE)-50)),"-",(VLOOKUP($A202,'SegEnds_NonXtal_BW#'!$A:$Z,26,FALSE)+VLOOKUP($A202,A:AL,37,FALSE)-50))</f>
        <v>354</v>
      </c>
      <c r="AM202" s="28" t="str">
        <f>VLOOKUP(A202,Classification!A:B,2,FALSE)</f>
        <v>A</v>
      </c>
      <c r="AN202" s="28" t="b">
        <f>AND(IF(Y202="-",IF(AA202-W202&gt;3,TRUE,FALSE),TRUE),IF(M202="-",IF(O202-K202&gt;3,TRUE,FALSE),TRUE),C202&lt;E202,OR(E202&lt;F202,F202="-"),OR(F202&lt;H202,F202="-"),OR(H202&lt;I202,H202="-"),I202&lt;K202,OR(K202&lt;L202,L202="-"),OR(L202&lt;N202,L202="-"),OR(N202&lt;O202,N202="-"),O202&lt;Q202,OR(Q202&lt;R202,R202="-"),OR(R202&lt;T202,R202="-"),OR(T202&lt;U202,T202="-"),U202&lt;W202,OR(W202&lt;X202,X202="-"),OR(X202&lt;Z202,X202="-"),OR(Z202&lt;AA202,Z202="-"),AA202&lt;AC202,AC202&lt;AD202,AD202&lt;AF202,AF202&lt;AG202,AG202&lt;AI202,OR(AI202&lt;AJ202,AJ202="-"),OR(AJ202&lt;AL202,AJ202="-"))</f>
        <v>1</v>
      </c>
      <c r="AO202" s="3" t="str">
        <f>IF(ISERROR(MATCH(A202,'SegEnds_Xtal_Prot#'!B:B, 0)), "NoXtal", "Xtal")</f>
        <v>NoXtal</v>
      </c>
      <c r="AP202" s="3">
        <f>IF(ISERROR(F202-E202),"-",F202-E202)</f>
        <v>1</v>
      </c>
      <c r="AQ202" s="3">
        <f>IF(ISERROR(I202-H202),"-",I202-H202)</f>
        <v>1</v>
      </c>
      <c r="AR202" s="3">
        <f>IF(ISERROR(L202-K202),"-",L202-K202)</f>
        <v>2</v>
      </c>
      <c r="AS202" s="3">
        <f>IF(ISERROR(O202-N202),"-",O202-N202)</f>
        <v>1</v>
      </c>
      <c r="AT202" s="3">
        <f>IF(ISERROR(R202-Q202),"-",R202-Q202)</f>
        <v>1</v>
      </c>
      <c r="AU202" s="3">
        <f>IF(ISERROR(U202-T202),"-",U202-T202)</f>
        <v>1</v>
      </c>
      <c r="AV202" s="3">
        <f>IF(ISERROR(X202-W202),"-",X202-W202)</f>
        <v>11</v>
      </c>
      <c r="AW202" s="3">
        <f>IF(ISERROR(AA202-Z202),"-",AA202-Z202)</f>
        <v>6</v>
      </c>
      <c r="AX202" s="3">
        <f>IF(ISERROR(AD202-AC202),"-",AD202-AC202)</f>
        <v>6</v>
      </c>
      <c r="AY202" s="3">
        <f>IF(ISERROR(AG202-AF202),"-",AG202-AF202)</f>
        <v>5</v>
      </c>
      <c r="AZ202" s="3">
        <f>IF(ISERROR(AJ202-AI202),"-",AJ202-AI202)</f>
        <v>1</v>
      </c>
      <c r="BA202" s="3">
        <f>IF(ISERROR(LEN(VLOOKUP(A202,Seqs!A:E,2,FALSE))-AL202),"-",LEN(VLOOKUP(A202,Seqs!A:E,2,FALSE))-AL202)</f>
        <v>46</v>
      </c>
      <c r="BB202" s="16">
        <f>J202-D202</f>
        <v>28</v>
      </c>
      <c r="BC202" s="9">
        <f>IF(ISERROR(V202-S202),"-",V202-S202)</f>
        <v>20</v>
      </c>
      <c r="BD202" s="3">
        <f>J202-D202</f>
        <v>28</v>
      </c>
      <c r="BE202" s="3">
        <f>AE202-AB202</f>
        <v>51</v>
      </c>
    </row>
    <row r="203" spans="1:58" s="3" customFormat="1" x14ac:dyDescent="0.2">
      <c r="A203" s="3" t="s">
        <v>918</v>
      </c>
      <c r="B203" s="3" t="str">
        <f>LOWER(VLOOKUP(A203,Xtal_Templ!A:B,2,FALSE))</f>
        <v>oprm_mouse</v>
      </c>
      <c r="C203" s="3">
        <f>VLOOKUP($A203,'SegEnds_NonXtal_BW#'!$A:$Z,3,FALSE)+D203-50</f>
        <v>65</v>
      </c>
      <c r="D203" s="3">
        <v>86</v>
      </c>
      <c r="E203" s="3">
        <f>IF(ISERROR(VLOOKUP($A203,'SegEnds_NonXtal_BW#'!$A:$Z,4,FALSE)+VLOOKUP($A203,A:AL,4,FALSE)-50),"-",(VLOOKUP($A203,'SegEnds_NonXtal_BW#'!$A:$Z,4,FALSE)+VLOOKUP($A203,A:AL,4,FALSE)-50))</f>
        <v>96</v>
      </c>
      <c r="F203" s="3">
        <f>G203-2</f>
        <v>97</v>
      </c>
      <c r="G203" s="3">
        <v>99</v>
      </c>
      <c r="H203" s="3">
        <f>G203+1</f>
        <v>100</v>
      </c>
      <c r="I203" s="3">
        <f>H203+1</f>
        <v>101</v>
      </c>
      <c r="J203" s="3">
        <v>114</v>
      </c>
      <c r="K203" s="3">
        <f>VLOOKUP($A203,'SegEnds_NonXtal_BW#'!$A:$Z,8,FALSE)+VLOOKUP($A203,A:AL,10,FALSE)-50</f>
        <v>130</v>
      </c>
      <c r="L203" s="3">
        <f>IF(ISERROR(VLOOKUP($A203,'SegEnds_NonXtal_BW#'!$A:$Z,9,FALSE)+VLOOKUP($A203,A:AL,13,FALSE)-50),"-",(VLOOKUP($A203,'SegEnds_NonXtal_BW#'!$A:$Z,9,FALSE)+VLOOKUP($A203,A:AL,13,FALSE)-50))</f>
        <v>132</v>
      </c>
      <c r="M203" s="3">
        <v>133</v>
      </c>
      <c r="N203" s="3">
        <f>IF(ISERROR(VLOOKUP($A203,'SegEnds_NonXtal_BW#'!$A:$Z,10,FALSE)+VLOOKUP($A203,A:AL,13,FALSE)-50),"-",(VLOOKUP($A203,'SegEnds_NonXtal_BW#'!$A:$Z,10,FALSE)+VLOOKUP($A203,A:AL,13,FALSE)-50))</f>
        <v>135</v>
      </c>
      <c r="O203" s="3">
        <f>N203+1</f>
        <v>136</v>
      </c>
      <c r="P203" s="3">
        <v>165</v>
      </c>
      <c r="Q203" s="3">
        <f>VLOOKUP($A203,'SegEnds_NonXtal_BW#'!$A:$Z,12,FALSE)+VLOOKUP($A203,A:AL,16,FALSE)-50</f>
        <v>171</v>
      </c>
      <c r="R203" s="3">
        <f>IF(ISERROR(VLOOKUP($A203,'SegEnds_NonXtal_BW#'!$A:$Z,13,FALSE)+VLOOKUP($A203,A:AL,19,FALSE)-50),"-",VLOOKUP($A203,'SegEnds_NonXtal_BW#'!$A:$Z,13,FALSE)+VLOOKUP($A203,A:AL,19,FALSE)-50)</f>
        <v>172</v>
      </c>
      <c r="S203" s="3">
        <v>172</v>
      </c>
      <c r="T203" s="103">
        <f>IF(ISERROR(VLOOKUP($A203,'SegEnds_NonXtal_BW#'!$A:$Z,14,FALSE)+VLOOKUP($A203,A:AL,19,FALSE)-50),"-",(VLOOKUP($A203,'SegEnds_NonXtal_BW#'!$A:$Z,14,FALSE)+VLOOKUP($A203,A:AL,19,FALSE)-50))</f>
        <v>179</v>
      </c>
      <c r="U203" s="9">
        <f>IF(ISERROR(VLOOKUP($A203,'SegEnds_NonXtal_BW#'!$A:$Z,15,FALSE)+VLOOKUP($A203,A:AL,22,FALSE)-50),"-",VLOOKUP($A203,'SegEnds_NonXtal_BW#'!$A:$Z,15,FALSE)+VLOOKUP($A203,A:AL,22,FALSE)-50)</f>
        <v>180</v>
      </c>
      <c r="V203" s="3">
        <v>192</v>
      </c>
      <c r="W203" s="3">
        <f>IF(ISERROR(VLOOKUP($A203,'SegEnds_NonXtal_BW#'!$A:$Z,16,FALSE)+VLOOKUP($A203,A:AL,22,FALSE)-50),"-",(VLOOKUP($A203,'SegEnds_NonXtal_BW#'!$A:$Z,16,FALSE)+VLOOKUP($A203,A:AL,22,FALSE)-50))</f>
        <v>206</v>
      </c>
      <c r="X203" s="3">
        <f>IF(ISERROR(VLOOKUP($A203,'SegEnds_NonXtal_BW#'!$A:$Z,17,FALSE)+VLOOKUP($A203,A:AL,25,FALSE)-50),"-",(VLOOKUP($A203,'SegEnds_NonXtal_BW#'!$A:$Z,17,FALSE)+VLOOKUP($A203,A:AL,25,FALSE)-50))</f>
        <v>217</v>
      </c>
      <c r="Y203" s="3">
        <v>217</v>
      </c>
      <c r="Z203" s="3">
        <f>Y203+2</f>
        <v>219</v>
      </c>
      <c r="AA203" s="3">
        <f>IF(ISERROR(VLOOKUP($A203,'SegEnds_NonXtal_BW#'!$A:$Z,19,FALSE)+VLOOKUP($A203,A:AL,28,FALSE)-50),"-",(VLOOKUP($A203,'SegEnds_NonXtal_BW#'!$A:$Z,19,FALSE)+VLOOKUP($A203,A:AL,28,FALSE)-50))</f>
        <v>225</v>
      </c>
      <c r="AB203" s="3">
        <v>244</v>
      </c>
      <c r="AC203" s="3">
        <f>IF(ISERROR((VLOOKUP($A203,'SegEnds_NonXtal_BW#'!$A:$Z,20,FALSE)+VLOOKUP($A203,A:AL,28,FALSE)-50)),"-",(VLOOKUP($A203,'SegEnds_NonXtal_BW#'!$A:$Z,20,FALSE)+VLOOKUP($A203,A:AL,28,FALSE)-50))</f>
        <v>262</v>
      </c>
      <c r="AD203" s="3">
        <f>IF(ISERROR(VLOOKUP($A203,'SegEnds_NonXtal_BW#'!$A:$Z,21,FALSE)+VLOOKUP($A203,A:AL,31,FALSE)-50),"-",(VLOOKUP($A203,'SegEnds_NonXtal_BW#'!$A:$Z,21,FALSE)+VLOOKUP($A203,A:AL,31,FALSE)-50))</f>
        <v>268</v>
      </c>
      <c r="AE203" s="3">
        <v>295</v>
      </c>
      <c r="AF203" s="3">
        <f>IF(ISERROR((VLOOKUP($A203,'SegEnds_NonXtal_BW#'!$A:$Z,22,FALSE)+VLOOKUP($A203,A:AL,31,FALSE)-50)),"-",(VLOOKUP($A203,'SegEnds_NonXtal_BW#'!$A:$Z,22,FALSE)+VLOOKUP($A203,A:AL,31,FALSE)-50))</f>
        <v>306</v>
      </c>
      <c r="AG203" s="3">
        <f>IF(ISERROR(VLOOKUP($A203,'SegEnds_NonXtal_BW#'!$A:$Z,23,FALSE)+VLOOKUP($A203,A:AL,34,FALSE)-50),"-",(VLOOKUP($A203,'SegEnds_NonXtal_BW#'!$A:$Z,23,FALSE)+VLOOKUP($A203,A:AL,34,FALSE)-50))</f>
        <v>311</v>
      </c>
      <c r="AH203" s="3">
        <v>333</v>
      </c>
      <c r="AI203" s="3">
        <f>IF(ISERROR((VLOOKUP($A203,'SegEnds_NonXtal_BW#'!$A:$Z,24,FALSE)+VLOOKUP($A203,A:AL,34,FALSE)-50)),"-",(VLOOKUP($A203,'SegEnds_NonXtal_BW#'!$A:$Z,24,FALSE)+VLOOKUP($A203,A:AL,34,FALSE)-50))</f>
        <v>339</v>
      </c>
      <c r="AJ203" s="3">
        <f>IF(ISERROR(VLOOKUP($A203,'SegEnds_NonXtal_BW#'!$A:$Z,25,FALSE)+VLOOKUP($A203,A:AL,37,FALSE)-50),"-",(VLOOKUP($A203,'SegEnds_NonXtal_BW#'!$A:$Z,25,FALSE)+VLOOKUP($A203,A:AL,37,FALSE)-50))</f>
        <v>340</v>
      </c>
      <c r="AK203" s="3">
        <v>343</v>
      </c>
      <c r="AL203" s="3">
        <f>IF(ISERROR((VLOOKUP($A203,'SegEnds_NonXtal_BW#'!$A:$Z,26,FALSE)+VLOOKUP($A203,A:AL,37,FALSE)-50)),"-",(VLOOKUP($A203,'SegEnds_NonXtal_BW#'!$A:$Z,26,FALSE)+VLOOKUP($A203,A:AL,37,FALSE)-50))</f>
        <v>352</v>
      </c>
      <c r="AM203" s="28" t="str">
        <f>VLOOKUP(A203,Classification!A:B,2,FALSE)</f>
        <v>A</v>
      </c>
      <c r="AN203" s="28" t="b">
        <f>AND(IF(Y203="-",IF(AA203-W203&gt;3,TRUE,FALSE),TRUE),IF(M203="-",IF(O203-K203&gt;3,TRUE,FALSE),TRUE),C203&lt;E203,OR(E203&lt;F203,F203="-"),OR(F203&lt;H203,F203="-"),OR(H203&lt;I203,H203="-"),I203&lt;K203,OR(K203&lt;L203,L203="-"),OR(L203&lt;N203,L203="-"),OR(N203&lt;O203,N203="-"),O203&lt;Q203,OR(Q203&lt;R203,R203="-"),OR(R203&lt;T203,R203="-"),OR(T203&lt;U203,T203="-"),U203&lt;W203,OR(W203&lt;X203,X203="-"),OR(X203&lt;Z203,X203="-"),OR(Z203&lt;AA203,Z203="-"),AA203&lt;AC203,AC203&lt;AD203,AD203&lt;AF203,AF203&lt;AG203,AG203&lt;AI203,OR(AI203&lt;AJ203,AJ203="-"),OR(AJ203&lt;AL203,AJ203="-"))</f>
        <v>1</v>
      </c>
      <c r="AO203" s="3" t="str">
        <f>IF(ISERROR(MATCH(A203,'SegEnds_Xtal_Prot#'!B:B, 0)), "NoXtal", "Xtal")</f>
        <v>Xtal</v>
      </c>
      <c r="AP203" s="3">
        <f>IF(ISERROR(F203-E203),"-",F203-E203)</f>
        <v>1</v>
      </c>
      <c r="AQ203" s="3">
        <f>IF(ISERROR(I203-H203),"-",I203-H203)</f>
        <v>1</v>
      </c>
      <c r="AR203" s="3">
        <f>IF(ISERROR(L203-K203),"-",L203-K203)</f>
        <v>2</v>
      </c>
      <c r="AS203" s="3">
        <f>IF(ISERROR(O203-N203),"-",O203-N203)</f>
        <v>1</v>
      </c>
      <c r="AT203" s="3">
        <f>IF(ISERROR(R203-Q203),"-",R203-Q203)</f>
        <v>1</v>
      </c>
      <c r="AU203" s="3">
        <f>IF(ISERROR(U203-T203),"-",U203-T203)</f>
        <v>1</v>
      </c>
      <c r="AV203" s="3">
        <f>IF(ISERROR(X203-W203),"-",X203-W203)</f>
        <v>11</v>
      </c>
      <c r="AW203" s="3">
        <f>IF(ISERROR(AA203-Z203),"-",AA203-Z203)</f>
        <v>6</v>
      </c>
      <c r="AX203" s="3">
        <f>IF(ISERROR(AD203-AC203),"-",AD203-AC203)</f>
        <v>6</v>
      </c>
      <c r="AY203" s="3">
        <f>IF(ISERROR(AG203-AF203),"-",AG203-AF203)</f>
        <v>5</v>
      </c>
      <c r="AZ203" s="3">
        <f>IF(ISERROR(AJ203-AI203),"-",AJ203-AI203)</f>
        <v>1</v>
      </c>
      <c r="BA203" s="3">
        <f>IF(ISERROR(LEN(VLOOKUP(A203,Seqs!A:E,2,FALSE))-AL203),"-",LEN(VLOOKUP(A203,Seqs!A:E,2,FALSE))-AL203)</f>
        <v>46</v>
      </c>
      <c r="BB203" s="16">
        <f>J203-D203</f>
        <v>28</v>
      </c>
      <c r="BC203" s="9">
        <f>IF(ISERROR(V203-S203),"-",V203-S203)</f>
        <v>20</v>
      </c>
      <c r="BD203" s="3">
        <f>J203-D203</f>
        <v>28</v>
      </c>
      <c r="BE203" s="3">
        <f>AE203-AB203</f>
        <v>51</v>
      </c>
    </row>
    <row r="204" spans="1:58" s="3" customFormat="1" x14ac:dyDescent="0.2">
      <c r="A204" s="3" t="s">
        <v>1174</v>
      </c>
      <c r="B204" s="3" t="str">
        <f>LOWER(VLOOKUP(A204,Xtal_Templ!A:B,2,FALSE))</f>
        <v>oprx_human</v>
      </c>
      <c r="C204" s="3">
        <f>VLOOKUP($A204,'SegEnds_NonXtal_BW#'!$A:$Z,3,FALSE)+D204-50</f>
        <v>48</v>
      </c>
      <c r="D204" s="3">
        <v>69</v>
      </c>
      <c r="E204" s="3">
        <f>IF(ISERROR(VLOOKUP($A204,'SegEnds_NonXtal_BW#'!$A:$Z,4,FALSE)+VLOOKUP($A204,A:AL,4,FALSE)-50),"-",(VLOOKUP($A204,'SegEnds_NonXtal_BW#'!$A:$Z,4,FALSE)+VLOOKUP($A204,A:AL,4,FALSE)-50))</f>
        <v>79</v>
      </c>
      <c r="F204" s="3">
        <f>G204-2</f>
        <v>80</v>
      </c>
      <c r="G204" s="3">
        <v>82</v>
      </c>
      <c r="H204" s="3">
        <f>G204+1</f>
        <v>83</v>
      </c>
      <c r="I204" s="3">
        <f>H204+1</f>
        <v>84</v>
      </c>
      <c r="J204" s="3">
        <v>97</v>
      </c>
      <c r="K204" s="3">
        <f>VLOOKUP($A204,'SegEnds_NonXtal_BW#'!$A:$Z,8,FALSE)+VLOOKUP($A204,A:AL,10,FALSE)-50</f>
        <v>113</v>
      </c>
      <c r="L204" s="3">
        <f>M204-1</f>
        <v>115</v>
      </c>
      <c r="M204" s="3">
        <v>116</v>
      </c>
      <c r="N204" s="3">
        <f>M204+2</f>
        <v>118</v>
      </c>
      <c r="O204" s="3">
        <f>N204+1</f>
        <v>119</v>
      </c>
      <c r="P204" s="3">
        <v>148</v>
      </c>
      <c r="Q204" s="3">
        <f>VLOOKUP($A204,'SegEnds_NonXtal_BW#'!$A:$Z,12,FALSE)+VLOOKUP($A204,A:AL,16,FALSE)-50</f>
        <v>154</v>
      </c>
      <c r="R204" s="3">
        <f>IF(ISERROR(VLOOKUP($A204,'SegEnds_NonXtal_BW#'!$A:$Z,13,FALSE)+VLOOKUP($A204,A:AL,19,FALSE)-50),"-",VLOOKUP($A204,'SegEnds_NonXtal_BW#'!$A:$Z,13,FALSE)+VLOOKUP($A204,A:AL,19,FALSE)-50)</f>
        <v>155</v>
      </c>
      <c r="S204" s="3">
        <v>155</v>
      </c>
      <c r="T204" s="103">
        <f>IF(ISERROR(VLOOKUP($A204,'SegEnds_NonXtal_BW#'!$A:$Z,14,FALSE)+VLOOKUP($A204,A:AL,19,FALSE)-50),"-",(VLOOKUP($A204,'SegEnds_NonXtal_BW#'!$A:$Z,14,FALSE)+VLOOKUP($A204,A:AL,19,FALSE)-50))</f>
        <v>162</v>
      </c>
      <c r="U204" s="9">
        <f>IF(ISERROR(VLOOKUP($A204,'SegEnds_NonXtal_BW#'!$A:$Z,15,FALSE)+VLOOKUP($A204,A:AL,22,FALSE)-50),"-",VLOOKUP($A204,'SegEnds_NonXtal_BW#'!$A:$Z,15,FALSE)+VLOOKUP($A204,A:AL,22,FALSE)-50)</f>
        <v>163</v>
      </c>
      <c r="V204" s="3">
        <v>175</v>
      </c>
      <c r="W204" s="3">
        <f>IF(ISERROR(VLOOKUP($A204,'SegEnds_NonXtal_BW#'!$A:$Z,16,FALSE)+VLOOKUP($A204,A:AL,22,FALSE)-50),"-",(VLOOKUP($A204,'SegEnds_NonXtal_BW#'!$A:$Z,16,FALSE)+VLOOKUP($A204,A:AL,22,FALSE)-50))</f>
        <v>189</v>
      </c>
      <c r="X204" s="3">
        <f>IF(ISERROR(VLOOKUP($A204,'SegEnds_NonXtal_BW#'!$A:$Z,17,FALSE)+VLOOKUP($A204,A:AL,25,FALSE)-50),"-",(VLOOKUP($A204,'SegEnds_NonXtal_BW#'!$A:$Z,17,FALSE)+VLOOKUP($A204,A:AL,25,FALSE)-50))</f>
        <v>200</v>
      </c>
      <c r="Y204" s="3">
        <v>200</v>
      </c>
      <c r="Z204" s="3">
        <f>Y204+2</f>
        <v>202</v>
      </c>
      <c r="AA204" s="3">
        <f>IF(ISERROR(VLOOKUP($A204,'SegEnds_NonXtal_BW#'!$A:$Z,19,FALSE)+VLOOKUP($A204,A:AL,28,FALSE)-50),"-",(VLOOKUP($A204,'SegEnds_NonXtal_BW#'!$A:$Z,19,FALSE)+VLOOKUP($A204,A:AL,28,FALSE)-50))</f>
        <v>208</v>
      </c>
      <c r="AB204" s="3">
        <v>227</v>
      </c>
      <c r="AC204" s="3">
        <f>IF(ISERROR((VLOOKUP($A204,'SegEnds_NonXtal_BW#'!$A:$Z,20,FALSE)+VLOOKUP($A204,A:AL,28,FALSE)-50)),"-",(VLOOKUP($A204,'SegEnds_NonXtal_BW#'!$A:$Z,20,FALSE)+VLOOKUP($A204,A:AL,28,FALSE)-50))</f>
        <v>245</v>
      </c>
      <c r="AD204" s="3">
        <f>IF(ISERROR(VLOOKUP($A204,'SegEnds_NonXtal_BW#'!$A:$Z,21,FALSE)+VLOOKUP($A204,A:AL,31,FALSE)-50),"-",(VLOOKUP($A204,'SegEnds_NonXtal_BW#'!$A:$Z,21,FALSE)+VLOOKUP($A204,A:AL,31,FALSE)-50))</f>
        <v>251</v>
      </c>
      <c r="AE204" s="3">
        <v>278</v>
      </c>
      <c r="AF204" s="3">
        <f>IF(ISERROR((VLOOKUP($A204,'SegEnds_NonXtal_BW#'!$A:$Z,22,FALSE)+VLOOKUP($A204,A:AL,31,FALSE)-50)),"-",(VLOOKUP($A204,'SegEnds_NonXtal_BW#'!$A:$Z,22,FALSE)+VLOOKUP($A204,A:AL,31,FALSE)-50))</f>
        <v>289</v>
      </c>
      <c r="AG204" s="3">
        <f>IF(ISERROR(VLOOKUP($A204,'SegEnds_NonXtal_BW#'!$A:$Z,23,FALSE)+VLOOKUP($A204,A:AL,34,FALSE)-50),"-",(VLOOKUP($A204,'SegEnds_NonXtal_BW#'!$A:$Z,23,FALSE)+VLOOKUP($A204,A:AL,34,FALSE)-50))</f>
        <v>294</v>
      </c>
      <c r="AH204" s="3">
        <v>316</v>
      </c>
      <c r="AI204" s="3">
        <f>IF(ISERROR((VLOOKUP($A204,'SegEnds_NonXtal_BW#'!$A:$Z,24,FALSE)+VLOOKUP($A204,A:AL,34,FALSE)-50)),"-",(VLOOKUP($A204,'SegEnds_NonXtal_BW#'!$A:$Z,24,FALSE)+VLOOKUP($A204,A:AL,34,FALSE)-50))</f>
        <v>322</v>
      </c>
      <c r="AJ204" s="3">
        <f>IF(ISERROR(VLOOKUP($A204,'SegEnds_NonXtal_BW#'!$A:$Z,25,FALSE)+VLOOKUP($A204,A:AL,37,FALSE)-50),"-",(VLOOKUP($A204,'SegEnds_NonXtal_BW#'!$A:$Z,25,FALSE)+VLOOKUP($A204,A:AL,37,FALSE)-50))</f>
        <v>323</v>
      </c>
      <c r="AK204" s="3">
        <v>326</v>
      </c>
      <c r="AL204" s="3">
        <f>IF(ISERROR((VLOOKUP($A204,'SegEnds_NonXtal_BW#'!$A:$Z,26,FALSE)+VLOOKUP($A204,A:AL,37,FALSE)-50)),"-",(VLOOKUP($A204,'SegEnds_NonXtal_BW#'!$A:$Z,26,FALSE)+VLOOKUP($A204,A:AL,37,FALSE)-50))</f>
        <v>335</v>
      </c>
      <c r="AM204" s="28" t="str">
        <f>VLOOKUP(A204,Classification!A:B,2,FALSE)</f>
        <v>A</v>
      </c>
      <c r="AN204" s="28" t="b">
        <f>AND(IF(Y204="-",IF(AA204-W204&gt;3,TRUE,FALSE),TRUE),IF(M204="-",IF(O204-K204&gt;3,TRUE,FALSE),TRUE),C204&lt;E204,OR(E204&lt;F204,F204="-"),OR(F204&lt;H204,F204="-"),OR(H204&lt;I204,H204="-"),I204&lt;K204,OR(K204&lt;L204,L204="-"),OR(L204&lt;N204,L204="-"),OR(N204&lt;O204,N204="-"),O204&lt;Q204,OR(Q204&lt;R204,R204="-"),OR(R204&lt;T204,R204="-"),OR(T204&lt;U204,T204="-"),U204&lt;W204,OR(W204&lt;X204,X204="-"),OR(X204&lt;Z204,X204="-"),OR(Z204&lt;AA204,Z204="-"),AA204&lt;AC204,AC204&lt;AD204,AD204&lt;AF204,AF204&lt;AG204,AG204&lt;AI204,OR(AI204&lt;AJ204,AJ204="-"),OR(AJ204&lt;AL204,AJ204="-"))</f>
        <v>1</v>
      </c>
      <c r="AO204" s="3" t="str">
        <f>IF(ISERROR(MATCH(A204,'SegEnds_Xtal_Prot#'!B:B, 0)), "NoXtal", "Xtal")</f>
        <v>Xtal</v>
      </c>
      <c r="AP204" s="3">
        <f>IF(ISERROR(F204-E204),"-",F204-E204)</f>
        <v>1</v>
      </c>
      <c r="AQ204" s="3">
        <f>IF(ISERROR(I204-H204),"-",I204-H204)</f>
        <v>1</v>
      </c>
      <c r="AR204" s="3">
        <f>IF(ISERROR(L204-K204),"-",L204-K204)</f>
        <v>2</v>
      </c>
      <c r="AS204" s="3">
        <f>IF(ISERROR(O204-N204),"-",O204-N204)</f>
        <v>1</v>
      </c>
      <c r="AT204" s="3">
        <f>IF(ISERROR(R204-Q204),"-",R204-Q204)</f>
        <v>1</v>
      </c>
      <c r="AU204" s="3">
        <f>IF(ISERROR(U204-T204),"-",U204-T204)</f>
        <v>1</v>
      </c>
      <c r="AV204" s="3">
        <f>IF(ISERROR(X204-W204),"-",X204-W204)</f>
        <v>11</v>
      </c>
      <c r="AW204" s="3">
        <f>IF(ISERROR(AA204-Z204),"-",AA204-Z204)</f>
        <v>6</v>
      </c>
      <c r="AX204" s="3">
        <f>IF(ISERROR(AD204-AC204),"-",AD204-AC204)</f>
        <v>6</v>
      </c>
      <c r="AY204" s="3">
        <f>IF(ISERROR(AG204-AF204),"-",AG204-AF204)</f>
        <v>5</v>
      </c>
      <c r="AZ204" s="3">
        <f>IF(ISERROR(AJ204-AI204),"-",AJ204-AI204)</f>
        <v>1</v>
      </c>
      <c r="BA204" s="3">
        <f>IF(ISERROR(LEN(VLOOKUP(A204,Seqs!A:E,2,FALSE))-AL204),"-",LEN(VLOOKUP(A204,Seqs!A:E,2,FALSE))-AL204)</f>
        <v>35</v>
      </c>
      <c r="BB204" s="16">
        <f>J204-D204</f>
        <v>28</v>
      </c>
      <c r="BC204" s="9">
        <f>IF(ISERROR(V204-S204),"-",V204-S204)</f>
        <v>20</v>
      </c>
      <c r="BD204" s="3">
        <f>J204-D204</f>
        <v>28</v>
      </c>
      <c r="BE204" s="3">
        <f>AE204-AB204</f>
        <v>51</v>
      </c>
    </row>
    <row r="205" spans="1:58" s="3" customFormat="1" x14ac:dyDescent="0.2">
      <c r="A205" s="3" t="s">
        <v>922</v>
      </c>
      <c r="B205" s="3" t="str">
        <f>LOWER(VLOOKUP(A205,Xtal_Templ!A:B,2,FALSE))</f>
        <v>opsd_todpa</v>
      </c>
      <c r="C205" s="3">
        <f>VLOOKUP($A205,'SegEnds_NonXtal_BW#'!$A:$Z,3,FALSE)+D205-50</f>
        <v>31</v>
      </c>
      <c r="D205" s="3">
        <v>52</v>
      </c>
      <c r="E205" s="3">
        <f>IF(ISERROR(VLOOKUP($A205,'SegEnds_NonXtal_BW#'!$A:$Z,4,FALSE)+VLOOKUP($A205,A:AL,4,FALSE)-50),"-",(VLOOKUP($A205,'SegEnds_NonXtal_BW#'!$A:$Z,4,FALSE)+VLOOKUP($A205,A:AL,4,FALSE)-50))</f>
        <v>62</v>
      </c>
      <c r="F205" s="3">
        <f>G205-2</f>
        <v>63</v>
      </c>
      <c r="G205" s="3">
        <v>65</v>
      </c>
      <c r="H205" s="3">
        <f>G205+1</f>
        <v>66</v>
      </c>
      <c r="I205" s="3">
        <f>H205+1</f>
        <v>67</v>
      </c>
      <c r="J205" s="3">
        <v>80</v>
      </c>
      <c r="K205" s="3">
        <f>VLOOKUP($A205,'SegEnds_NonXtal_BW#'!$A:$Z,8,FALSE)+VLOOKUP($A205,A:AL,10,FALSE)-50</f>
        <v>99</v>
      </c>
      <c r="L205" s="3">
        <f>IF(ISERROR(VLOOKUP($A205,'SegEnds_NonXtal_BW#'!$A:$Z,9,FALSE)+VLOOKUP($A205,A:AL,13,FALSE)-50),"-",(VLOOKUP($A205,'SegEnds_NonXtal_BW#'!$A:$Z,9,FALSE)+VLOOKUP($A205,A:AL,13,FALSE)-50))</f>
        <v>100</v>
      </c>
      <c r="M205" s="3">
        <v>101</v>
      </c>
      <c r="N205" s="3">
        <f>IF(ISERROR(VLOOKUP($A205,'SegEnds_NonXtal_BW#'!$A:$Z,10,FALSE)+VLOOKUP($A205,A:AL,13,FALSE)-50),"-",(VLOOKUP($A205,'SegEnds_NonXtal_BW#'!$A:$Z,10,FALSE)+VLOOKUP($A205,A:AL,13,FALSE)-50))</f>
        <v>103</v>
      </c>
      <c r="O205" s="3">
        <f>N205+1</f>
        <v>104</v>
      </c>
      <c r="P205" s="3">
        <v>133</v>
      </c>
      <c r="Q205" s="3">
        <f>VLOOKUP($A205,'SegEnds_NonXtal_BW#'!$A:$Z,12,FALSE)+VLOOKUP($A205,A:AL,16,FALSE)-50</f>
        <v>139</v>
      </c>
      <c r="R205" s="3">
        <f>IF(ISERROR(VLOOKUP($A205,'SegEnds_NonXtal_BW#'!$A:$Z,13,FALSE)+VLOOKUP($A205,A:AL,19,FALSE)-50),"-",VLOOKUP($A205,'SegEnds_NonXtal_BW#'!$A:$Z,13,FALSE)+VLOOKUP($A205,A:AL,19,FALSE)-50)</f>
        <v>140</v>
      </c>
      <c r="S205" s="3">
        <v>140</v>
      </c>
      <c r="T205" s="103">
        <f>IF(ISERROR(VLOOKUP($A205,'SegEnds_NonXtal_BW#'!$A:$Z,14,FALSE)+VLOOKUP($A205,A:AL,19,FALSE)-50),"-",(VLOOKUP($A205,'SegEnds_NonXtal_BW#'!$A:$Z,14,FALSE)+VLOOKUP($A205,A:AL,19,FALSE)-50))</f>
        <v>147</v>
      </c>
      <c r="U205" s="9">
        <f>IF(ISERROR(VLOOKUP($A205,'SegEnds_NonXtal_BW#'!$A:$Z,15,FALSE)+VLOOKUP($A205,A:AL,22,FALSE)-50),"-",VLOOKUP($A205,'SegEnds_NonXtal_BW#'!$A:$Z,15,FALSE)+VLOOKUP($A205,A:AL,22,FALSE)-50)</f>
        <v>148</v>
      </c>
      <c r="V205" s="3">
        <v>160</v>
      </c>
      <c r="W205" s="3">
        <f>IF(ISERROR(VLOOKUP($A205,'SegEnds_NonXtal_BW#'!$A:$Z,16,FALSE)+VLOOKUP($A205,A:AL,22,FALSE)-50),"-",(VLOOKUP($A205,'SegEnds_NonXtal_BW#'!$A:$Z,16,FALSE)+VLOOKUP($A205,A:AL,22,FALSE)-50))</f>
        <v>172</v>
      </c>
      <c r="X205" s="3">
        <f>IF(ISERROR(VLOOKUP($A205,'SegEnds_NonXtal_BW#'!$A:$Z,17,FALSE)+VLOOKUP($A205,A:AL,25,FALSE)-50),"-",(VLOOKUP($A205,'SegEnds_NonXtal_BW#'!$A:$Z,17,FALSE)+VLOOKUP($A205,A:AL,25,FALSE)-50))</f>
        <v>186</v>
      </c>
      <c r="Y205" s="3">
        <v>186</v>
      </c>
      <c r="Z205" s="3">
        <f>Y205+2</f>
        <v>188</v>
      </c>
      <c r="AA205" s="3">
        <f>IF(ISERROR(VLOOKUP($A205,'SegEnds_NonXtal_BW#'!$A:$Z,19,FALSE)+VLOOKUP($A205,A:AL,28,FALSE)-50),"-",(VLOOKUP($A205,'SegEnds_NonXtal_BW#'!$A:$Z,19,FALSE)+VLOOKUP($A205,A:AL,28,FALSE)-50))</f>
        <v>194</v>
      </c>
      <c r="AB205" s="3">
        <v>212</v>
      </c>
      <c r="AC205" s="3">
        <v>239</v>
      </c>
      <c r="AD205" s="3">
        <v>244</v>
      </c>
      <c r="AE205" s="3">
        <v>276</v>
      </c>
      <c r="AF205" s="3">
        <f>IF(ISERROR((VLOOKUP($A205,'SegEnds_NonXtal_BW#'!$A:$Z,22,FALSE)+VLOOKUP($A205,A:AL,31,FALSE)-50)),"-",(VLOOKUP($A205,'SegEnds_NonXtal_BW#'!$A:$Z,22,FALSE)+VLOOKUP($A205,A:AL,31,FALSE)-50))</f>
        <v>287</v>
      </c>
      <c r="AG205" s="3">
        <f>IF(ISERROR(VLOOKUP($A205,'SegEnds_NonXtal_BW#'!$A:$Z,23,FALSE)+VLOOKUP($A205,A:AL,34,FALSE)-50),"-",(VLOOKUP($A205,'SegEnds_NonXtal_BW#'!$A:$Z,23,FALSE)+VLOOKUP($A205,A:AL,34,FALSE)-50))</f>
        <v>293</v>
      </c>
      <c r="AH205" s="3">
        <v>312</v>
      </c>
      <c r="AI205" s="3">
        <f>IF(ISERROR((VLOOKUP($A205,'SegEnds_NonXtal_BW#'!$A:$Z,24,FALSE)+VLOOKUP($A205,A:AL,34,FALSE)-50)),"-",(VLOOKUP($A205,'SegEnds_NonXtal_BW#'!$A:$Z,24,FALSE)+VLOOKUP($A205,A:AL,34,FALSE)-50))</f>
        <v>318</v>
      </c>
      <c r="AJ205" s="3">
        <f>IF(ISERROR(VLOOKUP($A205,'SegEnds_NonXtal_BW#'!$A:$Z,25,FALSE)+VLOOKUP($A205,A:AL,37,FALSE)-50),"-",(VLOOKUP($A205,'SegEnds_NonXtal_BW#'!$A:$Z,25,FALSE)+VLOOKUP($A205,A:AL,37,FALSE)-50))</f>
        <v>319</v>
      </c>
      <c r="AK205" s="3">
        <v>322</v>
      </c>
      <c r="AL205" s="3">
        <f>IF(ISERROR((VLOOKUP($A205,'SegEnds_NonXtal_BW#'!$A:$Z,26,FALSE)+VLOOKUP($A205,A:AL,37,FALSE)-50)),"-",(VLOOKUP($A205,'SegEnds_NonXtal_BW#'!$A:$Z,26,FALSE)+VLOOKUP($A205,A:AL,37,FALSE)-50))</f>
        <v>330</v>
      </c>
      <c r="AM205" s="28" t="str">
        <f>VLOOKUP(A205,Classification!A:B,2,FALSE)</f>
        <v>A</v>
      </c>
      <c r="AN205" s="28" t="b">
        <f>AND(IF(Y205="-",IF(AA205-W205&gt;3,TRUE,FALSE),TRUE),IF(M205="-",IF(O205-K205&gt;3,TRUE,FALSE),TRUE),C205&lt;E205,OR(E205&lt;F205,F205="-"),OR(F205&lt;H205,F205="-"),OR(H205&lt;I205,H205="-"),I205&lt;K205,OR(K205&lt;L205,L205="-"),OR(L205&lt;N205,L205="-"),OR(N205&lt;O205,N205="-"),O205&lt;Q205,OR(Q205&lt;R205,R205="-"),OR(R205&lt;T205,R205="-"),OR(T205&lt;U205,T205="-"),U205&lt;W205,OR(W205&lt;X205,X205="-"),OR(X205&lt;Z205,X205="-"),OR(Z205&lt;AA205,Z205="-"),AA205&lt;AC205,AC205&lt;AD205,AD205&lt;AF205,AF205&lt;AG205,AG205&lt;AI205,OR(AI205&lt;AJ205,AJ205="-"),OR(AJ205&lt;AL205,AJ205="-"))</f>
        <v>1</v>
      </c>
      <c r="AO205" s="3" t="str">
        <f>IF(ISERROR(MATCH(A205,'SegEnds_Xtal_Prot#'!B:B, 0)), "NoXtal", "Xtal")</f>
        <v>Xtal</v>
      </c>
      <c r="AP205" s="3">
        <f>IF(ISERROR(F205-E205),"-",F205-E205)</f>
        <v>1</v>
      </c>
      <c r="AQ205" s="3">
        <f>IF(ISERROR(I205-H205),"-",I205-H205)</f>
        <v>1</v>
      </c>
      <c r="AR205" s="3">
        <f>IF(ISERROR(L205-K205),"-",L205-K205)</f>
        <v>1</v>
      </c>
      <c r="AS205" s="3">
        <f>IF(ISERROR(O205-N205),"-",O205-N205)</f>
        <v>1</v>
      </c>
      <c r="AT205" s="3">
        <f>IF(ISERROR(R205-Q205),"-",R205-Q205)</f>
        <v>1</v>
      </c>
      <c r="AU205" s="3">
        <f>IF(ISERROR(U205-T205),"-",U205-T205)</f>
        <v>1</v>
      </c>
      <c r="AV205" s="3">
        <f>IF(ISERROR(X205-W205),"-",X205-W205)</f>
        <v>14</v>
      </c>
      <c r="AW205" s="3">
        <f>IF(ISERROR(AA205-Z205),"-",AA205-Z205)</f>
        <v>6</v>
      </c>
      <c r="AX205" s="3">
        <f>IF(ISERROR(AD205-AC205),"-",AD205-AC205)</f>
        <v>5</v>
      </c>
      <c r="AY205" s="3">
        <f>IF(ISERROR(AG205-AF205),"-",AG205-AF205)</f>
        <v>6</v>
      </c>
      <c r="AZ205" s="3">
        <f>IF(ISERROR(AJ205-AI205),"-",AJ205-AI205)</f>
        <v>1</v>
      </c>
      <c r="BA205" s="3">
        <f>IF(ISERROR(LEN(VLOOKUP(A205,Seqs!A:E,2,FALSE))-AL205),"-",LEN(VLOOKUP(A205,Seqs!A:E,2,FALSE))-AL205)</f>
        <v>118</v>
      </c>
      <c r="BB205" s="16">
        <f>J205-D205</f>
        <v>28</v>
      </c>
      <c r="BC205" s="9">
        <f>IF(ISERROR(V205-S205),"-",V205-S205)</f>
        <v>20</v>
      </c>
      <c r="BD205" s="3">
        <f>J205-D205</f>
        <v>28</v>
      </c>
      <c r="BE205" s="3">
        <f>AE205-AB205</f>
        <v>64</v>
      </c>
    </row>
    <row r="206" spans="1:58" s="3" customFormat="1" x14ac:dyDescent="0.2">
      <c r="A206" s="3" t="s">
        <v>342</v>
      </c>
      <c r="B206" s="3" t="str">
        <f>LOWER(VLOOKUP(A206,Xtal_Templ!A:B,2,FALSE))</f>
        <v>oprk_human</v>
      </c>
      <c r="C206" s="3">
        <f>VLOOKUP($A206,'SegEnds_NonXtal_BW#'!$A:$Z,3,FALSE)+D206-50</f>
        <v>90</v>
      </c>
      <c r="D206" s="3">
        <v>110</v>
      </c>
      <c r="E206" s="3">
        <f>IF(ISERROR(VLOOKUP($A206,'SegEnds_NonXtal_BW#'!$A:$Z,4,FALSE)+VLOOKUP($A206,A:AL,4,FALSE)-50),"-",(VLOOKUP($A206,'SegEnds_NonXtal_BW#'!$A:$Z,4,FALSE)+VLOOKUP($A206,A:AL,4,FALSE)-50))</f>
        <v>120</v>
      </c>
      <c r="F206" s="3">
        <f>G206-2</f>
        <v>121</v>
      </c>
      <c r="G206" s="3">
        <v>123</v>
      </c>
      <c r="H206" s="3">
        <f>G206+1</f>
        <v>124</v>
      </c>
      <c r="I206" s="3">
        <f>H206+1</f>
        <v>125</v>
      </c>
      <c r="J206" s="3">
        <v>138</v>
      </c>
      <c r="K206" s="3">
        <f>VLOOKUP($A206,'SegEnds_NonXtal_BW#'!$A:$Z,8,FALSE)+VLOOKUP($A206,A:AL,10,FALSE)-50</f>
        <v>154</v>
      </c>
      <c r="L206" s="3">
        <f>M206-1</f>
        <v>157</v>
      </c>
      <c r="M206" s="3">
        <v>158</v>
      </c>
      <c r="N206" s="3">
        <f>M206+2</f>
        <v>160</v>
      </c>
      <c r="O206" s="3">
        <f>N206+1</f>
        <v>161</v>
      </c>
      <c r="P206" s="3">
        <v>190</v>
      </c>
      <c r="Q206" s="3">
        <f>VLOOKUP($A206,'SegEnds_NonXtal_BW#'!$A:$Z,12,FALSE)+VLOOKUP($A206,A:AL,16,FALSE)-50</f>
        <v>196</v>
      </c>
      <c r="R206" s="3">
        <f>IF(ISERROR(VLOOKUP($A206,'SegEnds_NonXtal_BW#'!$A:$Z,13,FALSE)+VLOOKUP($A206,A:AL,19,FALSE)-50),"-",VLOOKUP($A206,'SegEnds_NonXtal_BW#'!$A:$Z,13,FALSE)+VLOOKUP($A206,A:AL,19,FALSE)-50)</f>
        <v>197</v>
      </c>
      <c r="S206" s="3">
        <v>197</v>
      </c>
      <c r="T206" s="103">
        <f>IF(ISERROR(VLOOKUP($A206,'SegEnds_NonXtal_BW#'!$A:$Z,14,FALSE)+VLOOKUP($A206,A:AL,19,FALSE)-50),"-",(VLOOKUP($A206,'SegEnds_NonXtal_BW#'!$A:$Z,14,FALSE)+VLOOKUP($A206,A:AL,19,FALSE)-50))</f>
        <v>204</v>
      </c>
      <c r="U206" s="9">
        <f>IF(ISERROR(VLOOKUP($A206,'SegEnds_NonXtal_BW#'!$A:$Z,15,FALSE)+VLOOKUP($A206,A:AL,22,FALSE)-50),"-",VLOOKUP($A206,'SegEnds_NonXtal_BW#'!$A:$Z,15,FALSE)+VLOOKUP($A206,A:AL,22,FALSE)-50)</f>
        <v>205</v>
      </c>
      <c r="V206" s="3">
        <v>217</v>
      </c>
      <c r="W206" s="3">
        <f>IF(ISERROR(VLOOKUP($A206,'SegEnds_NonXtal_BW#'!$A:$Z,16,FALSE)+VLOOKUP($A206,A:AL,22,FALSE)-50),"-",(VLOOKUP($A206,'SegEnds_NonXtal_BW#'!$A:$Z,16,FALSE)+VLOOKUP($A206,A:AL,22,FALSE)-50))</f>
        <v>231</v>
      </c>
      <c r="X206" s="3">
        <f>IF(ISERROR(VLOOKUP($A206,'SegEnds_NonXtal_BW#'!$A:$Z,17,FALSE)+VLOOKUP($A206,A:AL,25,FALSE)-50),"-",(VLOOKUP($A206,'SegEnds_NonXtal_BW#'!$A:$Z,17,FALSE)+VLOOKUP($A206,A:AL,25,FALSE)-50))</f>
        <v>237</v>
      </c>
      <c r="Y206" s="3">
        <v>237</v>
      </c>
      <c r="Z206" s="3">
        <f>Y206+2</f>
        <v>239</v>
      </c>
      <c r="AA206" s="3">
        <f>IF(ISERROR(VLOOKUP($A206,'SegEnds_NonXtal_BW#'!$A:$Z,19,FALSE)+VLOOKUP($A206,A:AL,28,FALSE)-50),"-",(VLOOKUP($A206,'SegEnds_NonXtal_BW#'!$A:$Z,19,FALSE)+VLOOKUP($A206,A:AL,28,FALSE)-50))</f>
        <v>245</v>
      </c>
      <c r="AB206" s="3">
        <v>264</v>
      </c>
      <c r="AC206" s="3">
        <f>IF(ISERROR((VLOOKUP($A206,'SegEnds_NonXtal_BW#'!$A:$Z,20,FALSE)+VLOOKUP($A206,A:AL,28,FALSE)-50)),"-",(VLOOKUP($A206,'SegEnds_NonXtal_BW#'!$A:$Z,20,FALSE)+VLOOKUP($A206,A:AL,28,FALSE)-50))</f>
        <v>281</v>
      </c>
      <c r="AD206" s="3">
        <f>IF(ISERROR(VLOOKUP($A206,'SegEnds_NonXtal_BW#'!$A:$Z,21,FALSE)+VLOOKUP($A206,A:AL,31,FALSE)-50),"-",(VLOOKUP($A206,'SegEnds_NonXtal_BW#'!$A:$Z,21,FALSE)+VLOOKUP($A206,A:AL,31,FALSE)-50))</f>
        <v>286</v>
      </c>
      <c r="AE206" s="3">
        <v>310</v>
      </c>
      <c r="AF206" s="3">
        <f>IF(ISERROR((VLOOKUP($A206,'SegEnds_NonXtal_BW#'!$A:$Z,22,FALSE)+VLOOKUP($A206,A:AL,31,FALSE)-50)),"-",(VLOOKUP($A206,'SegEnds_NonXtal_BW#'!$A:$Z,22,FALSE)+VLOOKUP($A206,A:AL,31,FALSE)-50))</f>
        <v>321</v>
      </c>
      <c r="AG206" s="3">
        <f>IF(ISERROR(VLOOKUP($A206,'SegEnds_NonXtal_BW#'!$A:$Z,23,FALSE)+VLOOKUP($A206,A:AL,34,FALSE)-50),"-",(VLOOKUP($A206,'SegEnds_NonXtal_BW#'!$A:$Z,23,FALSE)+VLOOKUP($A206,A:AL,34,FALSE)-50))</f>
        <v>330</v>
      </c>
      <c r="AH206" s="3">
        <v>352</v>
      </c>
      <c r="AI206" s="3">
        <f>IF(ISERROR((VLOOKUP($A206,'SegEnds_NonXtal_BW#'!$A:$Z,24,FALSE)+VLOOKUP($A206,A:AL,34,FALSE)-50)),"-",(VLOOKUP($A206,'SegEnds_NonXtal_BW#'!$A:$Z,24,FALSE)+VLOOKUP($A206,A:AL,34,FALSE)-50))</f>
        <v>358</v>
      </c>
      <c r="AJ206" s="3">
        <f>IF(ISERROR(VLOOKUP($A206,'SegEnds_NonXtal_BW#'!$A:$Z,25,FALSE)+VLOOKUP($A206,A:AL,37,FALSE)-50),"-",(VLOOKUP($A206,'SegEnds_NonXtal_BW#'!$A:$Z,25,FALSE)+VLOOKUP($A206,A:AL,37,FALSE)-50))</f>
        <v>359</v>
      </c>
      <c r="AK206" s="3">
        <v>362</v>
      </c>
      <c r="AL206" s="3">
        <f>IF(ISERROR((VLOOKUP($A206,'SegEnds_NonXtal_BW#'!$A:$Z,26,FALSE)+VLOOKUP($A206,A:AL,37,FALSE)-50)),"-",(VLOOKUP($A206,'SegEnds_NonXtal_BW#'!$A:$Z,26,FALSE)+VLOOKUP($A206,A:AL,37,FALSE)-50))</f>
        <v>371</v>
      </c>
      <c r="AM206" s="28" t="str">
        <f>VLOOKUP(A206,Classification!A:B,2,FALSE)</f>
        <v>A</v>
      </c>
      <c r="AN206" s="28" t="b">
        <f>AND(IF(Y206="-",IF(AA206-W206&gt;3,TRUE,FALSE),TRUE),IF(M206="-",IF(O206-K206&gt;3,TRUE,FALSE),TRUE),C206&lt;E206,OR(E206&lt;F206,F206="-"),OR(F206&lt;H206,F206="-"),OR(H206&lt;I206,H206="-"),I206&lt;K206,OR(K206&lt;L206,L206="-"),OR(L206&lt;N206,L206="-"),OR(N206&lt;O206,N206="-"),O206&lt;Q206,OR(Q206&lt;R206,R206="-"),OR(R206&lt;T206,R206="-"),OR(T206&lt;U206,T206="-"),U206&lt;W206,OR(W206&lt;X206,X206="-"),OR(X206&lt;Z206,X206="-"),OR(Z206&lt;AA206,Z206="-"),AA206&lt;AC206,AC206&lt;AD206,AD206&lt;AF206,AF206&lt;AG206,AG206&lt;AI206,OR(AI206&lt;AJ206,AJ206="-"),OR(AJ206&lt;AL206,AJ206="-"))</f>
        <v>1</v>
      </c>
      <c r="AO206" s="3" t="str">
        <f>IF(ISERROR(MATCH(A206,'SegEnds_Xtal_Prot#'!B:B, 0)), "NoXtal", "Xtal")</f>
        <v>NoXtal</v>
      </c>
      <c r="AP206" s="3">
        <f>IF(ISERROR(F206-E206),"-",F206-E206)</f>
        <v>1</v>
      </c>
      <c r="AQ206" s="3">
        <f>IF(ISERROR(I206-H206),"-",I206-H206)</f>
        <v>1</v>
      </c>
      <c r="AR206" s="3">
        <f>IF(ISERROR(L206-K206),"-",L206-K206)</f>
        <v>3</v>
      </c>
      <c r="AS206" s="3">
        <f>IF(ISERROR(O206-N206),"-",O206-N206)</f>
        <v>1</v>
      </c>
      <c r="AT206" s="3">
        <f>IF(ISERROR(R206-Q206),"-",R206-Q206)</f>
        <v>1</v>
      </c>
      <c r="AU206" s="3">
        <f>IF(ISERROR(U206-T206),"-",U206-T206)</f>
        <v>1</v>
      </c>
      <c r="AV206" s="3">
        <f>IF(ISERROR(X206-W206),"-",X206-W206)</f>
        <v>6</v>
      </c>
      <c r="AW206" s="3">
        <f>IF(ISERROR(AA206-Z206),"-",AA206-Z206)</f>
        <v>6</v>
      </c>
      <c r="AX206" s="3">
        <f>IF(ISERROR(AD206-AC206),"-",AD206-AC206)</f>
        <v>5</v>
      </c>
      <c r="AY206" s="3">
        <f>IF(ISERROR(AG206-AF206),"-",AG206-AF206)</f>
        <v>9</v>
      </c>
      <c r="AZ206" s="3">
        <f>IF(ISERROR(AJ206-AI206),"-",AJ206-AI206)</f>
        <v>1</v>
      </c>
      <c r="BA206" s="3">
        <f>IF(ISERROR(LEN(VLOOKUP(A206,Seqs!A:E,2,FALSE))-AL206),"-",LEN(VLOOKUP(A206,Seqs!A:E,2,FALSE))-AL206)</f>
        <v>52</v>
      </c>
      <c r="BB206" s="16">
        <f>J206-D206</f>
        <v>28</v>
      </c>
      <c r="BC206" s="9">
        <f>IF(ISERROR(V206-S206),"-",V206-S206)</f>
        <v>20</v>
      </c>
      <c r="BD206" s="3">
        <f>J206-D206</f>
        <v>28</v>
      </c>
      <c r="BE206" s="3">
        <f>AE206-AB206</f>
        <v>46</v>
      </c>
    </row>
    <row r="207" spans="1:58" s="3" customFormat="1" x14ac:dyDescent="0.2">
      <c r="A207" s="3" t="s">
        <v>343</v>
      </c>
      <c r="B207" s="3" t="str">
        <f>LOWER(VLOOKUP(A207,Xtal_Templ!A:B,2,FALSE))</f>
        <v>p2ry1_human</v>
      </c>
      <c r="C207" s="3">
        <f>VLOOKUP($A207,'SegEnds_NonXtal_BW#'!$A:$Z,3,FALSE)+D207-50</f>
        <v>31</v>
      </c>
      <c r="D207" s="3">
        <v>51</v>
      </c>
      <c r="E207" s="3">
        <f>IF(ISERROR(VLOOKUP($A207,'SegEnds_NonXtal_BW#'!$A:$Z,4,FALSE)+VLOOKUP($A207,A:AL,4,FALSE)-50),"-",(VLOOKUP($A207,'SegEnds_NonXtal_BW#'!$A:$Z,4,FALSE)+VLOOKUP($A207,A:AL,4,FALSE)-50))</f>
        <v>61</v>
      </c>
      <c r="F207" s="3" t="str">
        <f>IF(ISERROR(VLOOKUP($A207,'SegEnds_NonXtal_BW#'!$A:$Z,5,FALSE)+VLOOKUP($A207,A:AL,7,FALSE)-50),"-",(VLOOKUP($A207,'SegEnds_NonXtal_BW#'!$A:$Z,5,FALSE)+VLOOKUP($A207,A:AL,7,FALSE)-50))</f>
        <v>-</v>
      </c>
      <c r="G207" s="3" t="s">
        <v>23</v>
      </c>
      <c r="H207" s="3" t="str">
        <f>IF(ISERROR(VLOOKUP($A207,'SegEnds_NonXtal_BW#'!$A:$Z,6,FALSE)+VLOOKUP($A207,A:AL,7,FALSE)-50),"-",(VLOOKUP($A207,'SegEnds_NonXtal_BW#'!$A:$Z,6,FALSE)+VLOOKUP($A207,A:AL,7,FALSE)-50))</f>
        <v>-</v>
      </c>
      <c r="I207" s="3">
        <f>VLOOKUP($A207,'SegEnds_NonXtal_BW#'!$A:$Z,7,FALSE)+J207-50</f>
        <v>66</v>
      </c>
      <c r="J207" s="3">
        <v>79</v>
      </c>
      <c r="K207" s="3">
        <f>VLOOKUP($A207,'SegEnds_NonXtal_BW#'!$A:$Z,8,FALSE)+VLOOKUP($A207,A:AL,10,FALSE)-50</f>
        <v>95</v>
      </c>
      <c r="L207" s="3">
        <f>M207-1</f>
        <v>98</v>
      </c>
      <c r="M207" s="3">
        <v>99</v>
      </c>
      <c r="N207" s="3">
        <f>M207+2</f>
        <v>101</v>
      </c>
      <c r="O207" s="3">
        <f>N207+1</f>
        <v>102</v>
      </c>
      <c r="P207" s="3">
        <v>131</v>
      </c>
      <c r="Q207" s="3">
        <f>VLOOKUP($A207,'SegEnds_NonXtal_BW#'!$A:$Z,12,FALSE)+VLOOKUP($A207,A:AL,16,FALSE)-50</f>
        <v>137</v>
      </c>
      <c r="R207" s="3">
        <f>IF(ISERROR(VLOOKUP($A207,'SegEnds_NonXtal_BW#'!$A:$Z,13,FALSE)+VLOOKUP($A207,A:AL,19,FALSE)-50),"-",VLOOKUP($A207,'SegEnds_NonXtal_BW#'!$A:$Z,13,FALSE)+VLOOKUP($A207,A:AL,19,FALSE)-50)</f>
        <v>138</v>
      </c>
      <c r="S207" s="3">
        <v>138</v>
      </c>
      <c r="T207" s="103">
        <f>IF(ISERROR(VLOOKUP($A207,'SegEnds_NonXtal_BW#'!$A:$Z,14,FALSE)+VLOOKUP($A207,A:AL,19,FALSE)-50),"-",(VLOOKUP($A207,'SegEnds_NonXtal_BW#'!$A:$Z,14,FALSE)+VLOOKUP($A207,A:AL,19,FALSE)-50))</f>
        <v>145</v>
      </c>
      <c r="U207" s="9">
        <f>IF(ISERROR(VLOOKUP($A207,'SegEnds_NonXtal_BW#'!$A:$Z,15,FALSE)+VLOOKUP($A207,A:AL,22,FALSE)-50),"-",VLOOKUP($A207,'SegEnds_NonXtal_BW#'!$A:$Z,15,FALSE)+VLOOKUP($A207,A:AL,22,FALSE)-50)</f>
        <v>146</v>
      </c>
      <c r="V207" s="3">
        <v>158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183</v>
      </c>
      <c r="Y207" s="3">
        <v>183</v>
      </c>
      <c r="Z207" s="3">
        <f>Y207+2</f>
        <v>185</v>
      </c>
      <c r="AA207" s="3">
        <f>IF(ISERROR(VLOOKUP($A207,'SegEnds_NonXtal_BW#'!$A:$Z,19,FALSE)+VLOOKUP($A207,A:AL,28,FALSE)-50),"-",(VLOOKUP($A207,'SegEnds_NonXtal_BW#'!$A:$Z,19,FALSE)+VLOOKUP($A207,A:AL,28,FALSE)-50))</f>
        <v>192</v>
      </c>
      <c r="AB207" s="3">
        <v>210</v>
      </c>
      <c r="AC207" s="3">
        <f>IF(ISERROR((VLOOKUP($A207,'SegEnds_NonXtal_BW#'!$A:$Z,20,FALSE)+VLOOKUP($A207,A:AL,28,FALSE)-50)),"-",(VLOOKUP($A207,'SegEnds_NonXtal_BW#'!$A:$Z,20,FALSE)+VLOOKUP($A207,A:AL,28,FALSE)-50))</f>
        <v>227</v>
      </c>
      <c r="AD207" s="3">
        <f>IF(ISERROR(VLOOKUP($A207,'SegEnds_NonXtal_BW#'!$A:$Z,21,FALSE)+VLOOKUP($A207,A:AL,31,FALSE)-50),"-",(VLOOKUP($A207,'SegEnds_NonXtal_BW#'!$A:$Z,21,FALSE)+VLOOKUP($A207,A:AL,31,FALSE)-50))</f>
        <v>232</v>
      </c>
      <c r="AE207" s="3">
        <v>256</v>
      </c>
      <c r="AF207" s="3">
        <f>IF(ISERROR((VLOOKUP($A207,'SegEnds_NonXtal_BW#'!$A:$Z,22,FALSE)+VLOOKUP($A207,A:AL,31,FALSE)-50)),"-",(VLOOKUP($A207,'SegEnds_NonXtal_BW#'!$A:$Z,22,FALSE)+VLOOKUP($A207,A:AL,31,FALSE)-50))</f>
        <v>267</v>
      </c>
      <c r="AG207" s="3">
        <f>IF(ISERROR(VLOOKUP($A207,'SegEnds_NonXtal_BW#'!$A:$Z,23,FALSE)+VLOOKUP($A207,A:AL,34,FALSE)-50),"-",(VLOOKUP($A207,'SegEnds_NonXtal_BW#'!$A:$Z,23,FALSE)+VLOOKUP($A207,A:AL,34,FALSE)-50))</f>
        <v>273</v>
      </c>
      <c r="AH207" s="3">
        <v>299</v>
      </c>
      <c r="AI207" s="3">
        <f>IF(ISERROR((VLOOKUP($A207,'SegEnds_NonXtal_BW#'!$A:$Z,24,FALSE)+VLOOKUP($A207,A:AL,34,FALSE)-50)),"-",(VLOOKUP($A207,'SegEnds_NonXtal_BW#'!$A:$Z,24,FALSE)+VLOOKUP($A207,A:AL,34,FALSE)-50))</f>
        <v>305</v>
      </c>
      <c r="AJ207" s="3">
        <f>IF(ISERROR(VLOOKUP($A207,'SegEnds_NonXtal_BW#'!$A:$Z,25,FALSE)+VLOOKUP($A207,A:AL,37,FALSE)-50),"-",(VLOOKUP($A207,'SegEnds_NonXtal_BW#'!$A:$Z,25,FALSE)+VLOOKUP($A207,A:AL,37,FALSE)-50))</f>
        <v>306</v>
      </c>
      <c r="AK207" s="3">
        <v>309</v>
      </c>
      <c r="AL207" s="3">
        <f>IF(ISERROR((VLOOKUP($A207,'SegEnds_NonXtal_BW#'!$A:$Z,26,FALSE)+VLOOKUP($A207,A:AL,37,FALSE)-50)),"-",(VLOOKUP($A207,'SegEnds_NonXtal_BW#'!$A:$Z,26,FALSE)+VLOOKUP($A207,A:AL,37,FALSE)-50))</f>
        <v>318</v>
      </c>
      <c r="AM207" s="28" t="str">
        <f>VLOOKUP(A207,Classification!A:B,2,FALSE)</f>
        <v>A</v>
      </c>
      <c r="AN207" s="28" t="b">
        <f>AND(IF(Y207="-",IF(AA207-W207&gt;3,TRUE,FALSE),TRUE),IF(M207="-",IF(O207-K207&gt;3,TRUE,FALSE),TRUE),C207&lt;E207,OR(E207&lt;F207,F207="-"),OR(F207&lt;H207,F207="-"),OR(H207&lt;I207,H207="-"),I207&lt;K207,OR(K207&lt;L207,L207="-"),OR(L207&lt;N207,L207="-"),OR(N207&lt;O207,N207="-"),O207&lt;Q207,OR(Q207&lt;R207,R207="-"),OR(R207&lt;T207,R207="-"),OR(T207&lt;U207,T207="-"),U207&lt;W207,OR(W207&lt;X207,X207="-"),OR(X207&lt;Z207,X207="-"),OR(Z207&lt;AA207,Z207="-"),AA207&lt;AC207,AC207&lt;AD207,AD207&lt;AF207,AF207&lt;AG207,AG207&lt;AI207,OR(AI207&lt;AJ207,AJ207="-"),OR(AJ207&lt;AL207,AJ207="-"))</f>
        <v>1</v>
      </c>
      <c r="AO207" s="3" t="str">
        <f>IF(ISERROR(MATCH(A207,'SegEnds_Xtal_Prot#'!B:B, 0)), "NoXtal", "Xtal")</f>
        <v>NoXtal</v>
      </c>
      <c r="AP207" s="3" t="str">
        <f>IF(ISERROR(F207-E207),"-",F207-E207)</f>
        <v>-</v>
      </c>
      <c r="AQ207" s="3" t="str">
        <f>IF(ISERROR(I207-H207),"-",I207-H207)</f>
        <v>-</v>
      </c>
      <c r="AR207" s="3">
        <f>IF(ISERROR(L207-K207),"-",L207-K207)</f>
        <v>3</v>
      </c>
      <c r="AS207" s="3">
        <f>IF(ISERROR(O207-N207),"-",O207-N207)</f>
        <v>1</v>
      </c>
      <c r="AT207" s="3">
        <f>IF(ISERROR(R207-Q207),"-",R207-Q207)</f>
        <v>1</v>
      </c>
      <c r="AU207" s="3">
        <f>IF(ISERROR(U207-T207),"-",U207-T207)</f>
        <v>1</v>
      </c>
      <c r="AV207" s="3">
        <f>IF(ISERROR(X207-W207),"-",X207-W207)</f>
        <v>11</v>
      </c>
      <c r="AW207" s="3">
        <f>IF(ISERROR(AA207-Z207),"-",AA207-Z207)</f>
        <v>7</v>
      </c>
      <c r="AX207" s="3">
        <f>IF(ISERROR(AD207-AC207),"-",AD207-AC207)</f>
        <v>5</v>
      </c>
      <c r="AY207" s="3">
        <f>IF(ISERROR(AG207-AF207),"-",AG207-AF207)</f>
        <v>6</v>
      </c>
      <c r="AZ207" s="3">
        <f>IF(ISERROR(AJ207-AI207),"-",AJ207-AI207)</f>
        <v>1</v>
      </c>
      <c r="BA207" s="3">
        <f>IF(ISERROR(LEN(VLOOKUP(A207,Seqs!A:E,2,FALSE))-AL207),"-",LEN(VLOOKUP(A207,Seqs!A:E,2,FALSE))-AL207)</f>
        <v>19</v>
      </c>
      <c r="BB207" s="16">
        <f>J207-D207</f>
        <v>28</v>
      </c>
      <c r="BC207" s="9">
        <f>IF(ISERROR(V207-S207),"-",V207-S207)</f>
        <v>20</v>
      </c>
      <c r="BD207" s="3">
        <f>J207-D207</f>
        <v>28</v>
      </c>
      <c r="BE207" s="3">
        <f>AE207-AB207</f>
        <v>46</v>
      </c>
      <c r="BF207" s="3">
        <f>AH207-AE207</f>
        <v>43</v>
      </c>
    </row>
    <row r="208" spans="1:58" s="3" customFormat="1" x14ac:dyDescent="0.2">
      <c r="A208" s="3" t="s">
        <v>345</v>
      </c>
      <c r="B208" s="3" t="str">
        <f>LOWER(VLOOKUP(A208,Xtal_Templ!A:B,2,FALSE))</f>
        <v>p2ry1_human</v>
      </c>
      <c r="C208" s="3">
        <f>VLOOKUP($A208,'SegEnds_NonXtal_BW#'!$A:$Z,3,FALSE)+D208-50</f>
        <v>49</v>
      </c>
      <c r="D208" s="3">
        <v>69</v>
      </c>
      <c r="E208" s="3">
        <f>IF(ISERROR(VLOOKUP($A208,'SegEnds_NonXtal_BW#'!$A:$Z,4,FALSE)+VLOOKUP($A208,A:AL,4,FALSE)-50),"-",(VLOOKUP($A208,'SegEnds_NonXtal_BW#'!$A:$Z,4,FALSE)+VLOOKUP($A208,A:AL,4,FALSE)-50))</f>
        <v>79</v>
      </c>
      <c r="F208" s="3" t="str">
        <f>IF(ISERROR(VLOOKUP($A208,'SegEnds_NonXtal_BW#'!$A:$Z,5,FALSE)+VLOOKUP($A208,A:AL,7,FALSE)-50),"-",(VLOOKUP($A208,'SegEnds_NonXtal_BW#'!$A:$Z,5,FALSE)+VLOOKUP($A208,A:AL,7,FALSE)-50))</f>
        <v>-</v>
      </c>
      <c r="G208" s="3" t="s">
        <v>23</v>
      </c>
      <c r="H208" s="3" t="str">
        <f>IF(ISERROR(VLOOKUP($A208,'SegEnds_NonXtal_BW#'!$A:$Z,6,FALSE)+VLOOKUP($A208,A:AL,7,FALSE)-50),"-",(VLOOKUP($A208,'SegEnds_NonXtal_BW#'!$A:$Z,6,FALSE)+VLOOKUP($A208,A:AL,7,FALSE)-50))</f>
        <v>-</v>
      </c>
      <c r="I208" s="3">
        <f>VLOOKUP($A208,'SegEnds_NonXtal_BW#'!$A:$Z,7,FALSE)+J208-50</f>
        <v>84</v>
      </c>
      <c r="J208" s="3">
        <v>97</v>
      </c>
      <c r="K208" s="3">
        <f>VLOOKUP($A208,'SegEnds_NonXtal_BW#'!$A:$Z,8,FALSE)+VLOOKUP($A208,A:AL,10,FALSE)-50</f>
        <v>113</v>
      </c>
      <c r="L208" s="3">
        <f>M208-1</f>
        <v>116</v>
      </c>
      <c r="M208" s="3">
        <v>117</v>
      </c>
      <c r="N208" s="3">
        <f>M208+2</f>
        <v>119</v>
      </c>
      <c r="O208" s="3">
        <f>N208+1</f>
        <v>120</v>
      </c>
      <c r="P208" s="3">
        <v>149</v>
      </c>
      <c r="Q208" s="3">
        <f>VLOOKUP($A208,'SegEnds_NonXtal_BW#'!$A:$Z,12,FALSE)+VLOOKUP($A208,A:AL,16,FALSE)-50</f>
        <v>155</v>
      </c>
      <c r="R208" s="3">
        <f>IF(ISERROR(VLOOKUP($A208,'SegEnds_NonXtal_BW#'!$A:$Z,13,FALSE)+VLOOKUP($A208,A:AL,19,FALSE)-50),"-",VLOOKUP($A208,'SegEnds_NonXtal_BW#'!$A:$Z,13,FALSE)+VLOOKUP($A208,A:AL,19,FALSE)-50)</f>
        <v>156</v>
      </c>
      <c r="S208" s="3">
        <v>156</v>
      </c>
      <c r="T208" s="103">
        <f>IF(ISERROR(VLOOKUP($A208,'SegEnds_NonXtal_BW#'!$A:$Z,14,FALSE)+VLOOKUP($A208,A:AL,19,FALSE)-50),"-",(VLOOKUP($A208,'SegEnds_NonXtal_BW#'!$A:$Z,14,FALSE)+VLOOKUP($A208,A:AL,19,FALSE)-50))</f>
        <v>163</v>
      </c>
      <c r="U208" s="9">
        <f>IF(ISERROR(VLOOKUP($A208,'SegEnds_NonXtal_BW#'!$A:$Z,15,FALSE)+VLOOKUP($A208,A:AL,22,FALSE)-50),"-",VLOOKUP($A208,'SegEnds_NonXtal_BW#'!$A:$Z,15,FALSE)+VLOOKUP($A208,A:AL,22,FALSE)-50)</f>
        <v>164</v>
      </c>
      <c r="V208" s="3">
        <v>176</v>
      </c>
      <c r="W208" s="3">
        <f>IF(ISERROR(VLOOKUP($A208,'SegEnds_NonXtal_BW#'!$A:$Z,16,FALSE)+VLOOKUP($A208,A:AL,22,FALSE)-50),"-",(VLOOKUP($A208,'SegEnds_NonXtal_BW#'!$A:$Z,16,FALSE)+VLOOKUP($A208,A:AL,22,FALSE)-50))</f>
        <v>190</v>
      </c>
      <c r="X208" s="3">
        <f>IF(ISERROR(VLOOKUP($A208,'SegEnds_NonXtal_BW#'!$A:$Z,17,FALSE)+VLOOKUP($A208,A:AL,25,FALSE)-50),"-",(VLOOKUP($A208,'SegEnds_NonXtal_BW#'!$A:$Z,17,FALSE)+VLOOKUP($A208,A:AL,25,FALSE)-50))</f>
        <v>202</v>
      </c>
      <c r="Y208" s="3">
        <v>202</v>
      </c>
      <c r="Z208" s="3">
        <f>Y208+2</f>
        <v>204</v>
      </c>
      <c r="AA208" s="3">
        <f>IF(ISERROR(VLOOKUP($A208,'SegEnds_NonXtal_BW#'!$A:$Z,19,FALSE)+VLOOKUP($A208,A:AL,28,FALSE)-50),"-",(VLOOKUP($A208,'SegEnds_NonXtal_BW#'!$A:$Z,19,FALSE)+VLOOKUP($A208,A:AL,28,FALSE)-50))</f>
        <v>211</v>
      </c>
      <c r="AB208" s="3">
        <v>229</v>
      </c>
      <c r="AC208" s="3">
        <f>IF(ISERROR((VLOOKUP($A208,'SegEnds_NonXtal_BW#'!$A:$Z,20,FALSE)+VLOOKUP($A208,A:AL,28,FALSE)-50)),"-",(VLOOKUP($A208,'SegEnds_NonXtal_BW#'!$A:$Z,20,FALSE)+VLOOKUP($A208,A:AL,28,FALSE)-50))</f>
        <v>247</v>
      </c>
      <c r="AD208" s="3">
        <f>IF(ISERROR(VLOOKUP($A208,'SegEnds_NonXtal_BW#'!$A:$Z,21,FALSE)+VLOOKUP($A208,A:AL,31,FALSE)-50),"-",(VLOOKUP($A208,'SegEnds_NonXtal_BW#'!$A:$Z,21,FALSE)+VLOOKUP($A208,A:AL,31,FALSE)-50))</f>
        <v>253</v>
      </c>
      <c r="AE208" s="3">
        <v>275</v>
      </c>
      <c r="AF208" s="3">
        <f>IF(ISERROR((VLOOKUP($A208,'SegEnds_NonXtal_BW#'!$A:$Z,22,FALSE)+VLOOKUP($A208,A:AL,31,FALSE)-50)),"-",(VLOOKUP($A208,'SegEnds_NonXtal_BW#'!$A:$Z,22,FALSE)+VLOOKUP($A208,A:AL,31,FALSE)-50))</f>
        <v>289</v>
      </c>
      <c r="AG208" s="3">
        <f>IF(ISERROR(VLOOKUP($A208,'SegEnds_NonXtal_BW#'!$A:$Z,23,FALSE)+VLOOKUP($A208,A:AL,34,FALSE)-50),"-",(VLOOKUP($A208,'SegEnds_NonXtal_BW#'!$A:$Z,23,FALSE)+VLOOKUP($A208,A:AL,34,FALSE)-50))</f>
        <v>295</v>
      </c>
      <c r="AH208" s="3">
        <v>321</v>
      </c>
      <c r="AI208" s="3">
        <f>IF(ISERROR((VLOOKUP($A208,'SegEnds_NonXtal_BW#'!$A:$Z,24,FALSE)+VLOOKUP($A208,A:AL,34,FALSE)-50)),"-",(VLOOKUP($A208,'SegEnds_NonXtal_BW#'!$A:$Z,24,FALSE)+VLOOKUP($A208,A:AL,34,FALSE)-50))</f>
        <v>327</v>
      </c>
      <c r="AJ208" s="3">
        <f>IF(ISERROR(VLOOKUP($A208,'SegEnds_NonXtal_BW#'!$A:$Z,25,FALSE)+VLOOKUP($A208,A:AL,37,FALSE)-50),"-",(VLOOKUP($A208,'SegEnds_NonXtal_BW#'!$A:$Z,25,FALSE)+VLOOKUP($A208,A:AL,37,FALSE)-50))</f>
        <v>328</v>
      </c>
      <c r="AK208" s="3">
        <v>331</v>
      </c>
      <c r="AL208" s="3">
        <f>IF(ISERROR((VLOOKUP($A208,'SegEnds_NonXtal_BW#'!$A:$Z,26,FALSE)+VLOOKUP($A208,A:AL,37,FALSE)-50)),"-",(VLOOKUP($A208,'SegEnds_NonXtal_BW#'!$A:$Z,26,FALSE)+VLOOKUP($A208,A:AL,37,FALSE)-50))</f>
        <v>340</v>
      </c>
      <c r="AM208" s="28" t="str">
        <f>VLOOKUP(A208,Classification!A:B,2,FALSE)</f>
        <v>A</v>
      </c>
      <c r="AN208" s="28" t="b">
        <f>AND(IF(Y208="-",IF(AA208-W208&gt;3,TRUE,FALSE),TRUE),IF(M208="-",IF(O208-K208&gt;3,TRUE,FALSE),TRUE),C208&lt;E208,OR(E208&lt;F208,F208="-"),OR(F208&lt;H208,F208="-"),OR(H208&lt;I208,H208="-"),I208&lt;K208,OR(K208&lt;L208,L208="-"),OR(L208&lt;N208,L208="-"),OR(N208&lt;O208,N208="-"),O208&lt;Q208,OR(Q208&lt;R208,R208="-"),OR(R208&lt;T208,R208="-"),OR(T208&lt;U208,T208="-"),U208&lt;W208,OR(W208&lt;X208,X208="-"),OR(X208&lt;Z208,X208="-"),OR(Z208&lt;AA208,Z208="-"),AA208&lt;AC208,AC208&lt;AD208,AD208&lt;AF208,AF208&lt;AG208,AG208&lt;AI208,OR(AI208&lt;AJ208,AJ208="-"),OR(AJ208&lt;AL208,AJ208="-"))</f>
        <v>1</v>
      </c>
      <c r="AO208" s="3" t="str">
        <f>IF(ISERROR(MATCH(A208,'SegEnds_Xtal_Prot#'!B:B, 0)), "NoXtal", "Xtal")</f>
        <v>Xtal</v>
      </c>
      <c r="AP208" s="3" t="str">
        <f>IF(ISERROR(F208-E208),"-",F208-E208)</f>
        <v>-</v>
      </c>
      <c r="AQ208" s="3" t="str">
        <f>IF(ISERROR(I208-H208),"-",I208-H208)</f>
        <v>-</v>
      </c>
      <c r="AR208" s="3">
        <f>IF(ISERROR(L208-K208),"-",L208-K208)</f>
        <v>3</v>
      </c>
      <c r="AS208" s="3">
        <f>IF(ISERROR(O208-N208),"-",O208-N208)</f>
        <v>1</v>
      </c>
      <c r="AT208" s="3">
        <f>IF(ISERROR(R208-Q208),"-",R208-Q208)</f>
        <v>1</v>
      </c>
      <c r="AU208" s="3">
        <f>IF(ISERROR(U208-T208),"-",U208-T208)</f>
        <v>1</v>
      </c>
      <c r="AV208" s="3">
        <f>IF(ISERROR(X208-W208),"-",X208-W208)</f>
        <v>12</v>
      </c>
      <c r="AW208" s="3">
        <f>IF(ISERROR(AA208-Z208),"-",AA208-Z208)</f>
        <v>7</v>
      </c>
      <c r="AX208" s="3">
        <f>IF(ISERROR(AD208-AC208),"-",AD208-AC208)</f>
        <v>6</v>
      </c>
      <c r="AY208" s="3">
        <f>IF(ISERROR(AG208-AF208),"-",AG208-AF208)</f>
        <v>6</v>
      </c>
      <c r="AZ208" s="3">
        <f>IF(ISERROR(AJ208-AI208),"-",AJ208-AI208)</f>
        <v>1</v>
      </c>
      <c r="BA208" s="3">
        <f>IF(ISERROR(LEN(VLOOKUP(A208,Seqs!A:E,2,FALSE))-AL208),"-",LEN(VLOOKUP(A208,Seqs!A:E,2,FALSE))-AL208)</f>
        <v>33</v>
      </c>
      <c r="BB208" s="16">
        <f>J208-D208</f>
        <v>28</v>
      </c>
      <c r="BC208" s="9">
        <f>IF(ISERROR(V208-S208),"-",V208-S208)</f>
        <v>20</v>
      </c>
      <c r="BD208" s="3">
        <f>J208-D208</f>
        <v>28</v>
      </c>
      <c r="BE208" s="3">
        <f>AE208-AB208</f>
        <v>46</v>
      </c>
    </row>
    <row r="209" spans="1:59" s="3" customFormat="1" x14ac:dyDescent="0.2">
      <c r="A209" s="3" t="s">
        <v>346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>M209-1</f>
        <v>98</v>
      </c>
      <c r="M209" s="3">
        <v>99</v>
      </c>
      <c r="N209" s="3">
        <f>M209+2</f>
        <v>101</v>
      </c>
      <c r="O209" s="3">
        <f>N209+1</f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>Y209+2</f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232</v>
      </c>
      <c r="AD209" s="3">
        <f>IF(ISERROR(VLOOKUP($A209,'SegEnds_NonXtal_BW#'!$A:$Z,21,FALSE)+VLOOKUP($A209,A:AL,31,FALSE)-50),"-",(VLOOKUP($A209,'SegEnds_NonXtal_BW#'!$A:$Z,21,FALSE)+VLOOKUP($A209,A:AL,31,FALSE)-50))</f>
        <v>239</v>
      </c>
      <c r="AE209" s="3">
        <v>260</v>
      </c>
      <c r="AF209" s="3">
        <f>IF(ISERROR((VLOOKUP($A209,'SegEnds_NonXtal_BW#'!$A:$Z,22,FALSE)+VLOOKUP($A209,A:AL,31,FALSE)-50)),"-",(VLOOKUP($A209,'SegEnds_NonXtal_BW#'!$A:$Z,22,FALSE)+VLOOKUP($A209,A:AL,31,FALSE)-50))</f>
        <v>271</v>
      </c>
      <c r="AG209" s="3">
        <f>IF(ISERROR(VLOOKUP($A209,'SegEnds_NonXtal_BW#'!$A:$Z,23,FALSE)+VLOOKUP($A209,A:AL,34,FALSE)-50),"-",(VLOOKUP($A209,'SegEnds_NonXtal_BW#'!$A:$Z,23,FALSE)+VLOOKUP($A209,A:AL,34,FALSE)-50))</f>
        <v>277</v>
      </c>
      <c r="AH209" s="3">
        <v>303</v>
      </c>
      <c r="AI209" s="3">
        <f>IF(ISERROR((VLOOKUP($A209,'SegEnds_NonXtal_BW#'!$A:$Z,24,FALSE)+VLOOKUP($A209,A:AL,34,FALSE)-50)),"-",(VLOOKUP($A209,'SegEnds_NonXtal_BW#'!$A:$Z,24,FALSE)+VLOOKUP($A209,A:AL,34,FALSE)-50))</f>
        <v>309</v>
      </c>
      <c r="AJ209" s="3">
        <f>IF(ISERROR(VLOOKUP($A209,'SegEnds_NonXtal_BW#'!$A:$Z,25,FALSE)+VLOOKUP($A209,A:AL,37,FALSE)-50),"-",(VLOOKUP($A209,'SegEnds_NonXtal_BW#'!$A:$Z,25,FALSE)+VLOOKUP($A209,A:AL,37,FALSE)-50))</f>
        <v>310</v>
      </c>
      <c r="AK209" s="3">
        <v>313</v>
      </c>
      <c r="AL209" s="3">
        <f>IF(ISERROR((VLOOKUP($A209,'SegEnds_NonXtal_BW#'!$A:$Z,26,FALSE)+VLOOKUP($A209,A:AL,37,FALSE)-50)),"-",(VLOOKUP($A209,'SegEnds_NonXtal_BW#'!$A:$Z,26,FALSE)+VLOOKUP($A209,A:AL,37,FALSE)-50))</f>
        <v>322</v>
      </c>
      <c r="AM209" s="28" t="str">
        <f>VLOOKUP(A209,Classification!A:B,2,FALSE)</f>
        <v>A</v>
      </c>
      <c r="AN209" s="28" t="b">
        <f>AND(IF(Y209="-",IF(AA209-W209&gt;3,TRUE,FALSE),TRUE),IF(M209="-",IF(O209-K209&gt;3,TRUE,FALSE),TRUE),C209&lt;E209,OR(E209&lt;F209,F209="-"),OR(F209&lt;H209,F209="-"),OR(H209&lt;I209,H209="-"),I209&lt;K209,OR(K209&lt;L209,L209="-"),OR(L209&lt;N209,L209="-"),OR(N209&lt;O209,N209="-"),O209&lt;Q209,OR(Q209&lt;R209,R209="-"),OR(R209&lt;T209,R209="-"),OR(T209&lt;U209,T209="-"),U209&lt;W209,OR(W209&lt;X209,X209="-"),OR(X209&lt;Z209,X209="-"),OR(Z209&lt;AA209,Z209="-"),AA209&lt;AC209,AC209&lt;AD209,AD209&lt;AF209,AF209&lt;AG209,AG209&lt;AI209,OR(AI209&lt;AJ209,AJ209="-"),OR(AJ209&lt;AL209,AJ209="-"))</f>
        <v>1</v>
      </c>
      <c r="AO209" s="3" t="str">
        <f>IF(ISERROR(MATCH(A209,'SegEnds_Xtal_Prot#'!B:B, 0)), "NoXtal", "Xtal")</f>
        <v>NoXtal</v>
      </c>
      <c r="AP209" s="3" t="str">
        <f>IF(ISERROR(F209-E209),"-",F209-E209)</f>
        <v>-</v>
      </c>
      <c r="AQ209" s="3" t="str">
        <f>IF(ISERROR(I209-H209),"-",I209-H209)</f>
        <v>-</v>
      </c>
      <c r="AR209" s="3">
        <f>IF(ISERROR(L209-K209),"-",L209-K209)</f>
        <v>3</v>
      </c>
      <c r="AS209" s="3">
        <f>IF(ISERROR(O209-N209),"-",O209-N209)</f>
        <v>1</v>
      </c>
      <c r="AT209" s="3">
        <f>IF(ISERROR(R209-Q209),"-",R209-Q209)</f>
        <v>1</v>
      </c>
      <c r="AU209" s="3">
        <f>IF(ISERROR(U209-T209),"-",U209-T209)</f>
        <v>1</v>
      </c>
      <c r="AV209" s="3">
        <f>IF(ISERROR(X209-W209),"-",X209-W209)</f>
        <v>11</v>
      </c>
      <c r="AW209" s="3">
        <f>IF(ISERROR(AA209-Z209),"-",AA209-Z209)</f>
        <v>7</v>
      </c>
      <c r="AX209" s="3">
        <f>IF(ISERROR(AD209-AC209),"-",AD209-AC209)</f>
        <v>7</v>
      </c>
      <c r="AY209" s="3">
        <f>IF(ISERROR(AG209-AF209),"-",AG209-AF209)</f>
        <v>6</v>
      </c>
      <c r="AZ209" s="3">
        <f>IF(ISERROR(AJ209-AI209),"-",AJ209-AI209)</f>
        <v>1</v>
      </c>
      <c r="BA209" s="3">
        <f>IF(ISERROR(LEN(VLOOKUP(A209,Seqs!A:E,2,FALSE))-AL209),"-",LEN(VLOOKUP(A209,Seqs!A:E,2,FALSE))-AL209)</f>
        <v>55</v>
      </c>
      <c r="BB209" s="16">
        <f>J209-D209</f>
        <v>28</v>
      </c>
      <c r="BC209" s="9">
        <f>IF(ISERROR(V209-S209),"-",V209-S209)</f>
        <v>20</v>
      </c>
      <c r="BD209" s="3">
        <f>J209-D209</f>
        <v>28</v>
      </c>
      <c r="BE209" s="3">
        <f>AE209-AB209</f>
        <v>50</v>
      </c>
    </row>
    <row r="210" spans="1:59" s="3" customFormat="1" x14ac:dyDescent="0.2">
      <c r="A210" s="3" t="s">
        <v>347</v>
      </c>
      <c r="B210" s="3" t="str">
        <f>LOWER(VLOOKUP(A210,Xtal_Templ!A:B,2,FALSE))</f>
        <v>p2ry1_human</v>
      </c>
      <c r="C210" s="3">
        <f>VLOOKUP($A210,'SegEnds_NonXtal_BW#'!$A:$Z,3,FALSE)+D210-50</f>
        <v>33</v>
      </c>
      <c r="D210" s="3">
        <v>53</v>
      </c>
      <c r="E210" s="3">
        <f>IF(ISERROR(VLOOKUP($A210,'SegEnds_NonXtal_BW#'!$A:$Z,4,FALSE)+VLOOKUP($A210,A:AL,4,FALSE)-50),"-",(VLOOKUP($A210,'SegEnds_NonXtal_BW#'!$A:$Z,4,FALSE)+VLOOKUP($A210,A:AL,4,FALSE)-50))</f>
        <v>63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68</v>
      </c>
      <c r="J210" s="3">
        <v>81</v>
      </c>
      <c r="K210" s="3">
        <f>VLOOKUP($A210,'SegEnds_NonXtal_BW#'!$A:$Z,8,FALSE)+VLOOKUP($A210,A:AL,10,FALSE)-50</f>
        <v>97</v>
      </c>
      <c r="L210" s="3">
        <f>M210-1</f>
        <v>100</v>
      </c>
      <c r="M210" s="3">
        <v>101</v>
      </c>
      <c r="N210" s="3">
        <f>M210+2</f>
        <v>103</v>
      </c>
      <c r="O210" s="3">
        <f>N210+1</f>
        <v>104</v>
      </c>
      <c r="P210" s="3">
        <v>133</v>
      </c>
      <c r="Q210" s="3">
        <f>VLOOKUP($A210,'SegEnds_NonXtal_BW#'!$A:$Z,12,FALSE)+VLOOKUP($A210,A:AL,16,FALSE)-50</f>
        <v>139</v>
      </c>
      <c r="R210" s="3">
        <f>IF(ISERROR(VLOOKUP($A210,'SegEnds_NonXtal_BW#'!$A:$Z,13,FALSE)+VLOOKUP($A210,A:AL,19,FALSE)-50),"-",VLOOKUP($A210,'SegEnds_NonXtal_BW#'!$A:$Z,13,FALSE)+VLOOKUP($A210,A:AL,19,FALSE)-50)</f>
        <v>140</v>
      </c>
      <c r="S210" s="3">
        <v>140</v>
      </c>
      <c r="T210" s="103">
        <f>IF(ISERROR(VLOOKUP($A210,'SegEnds_NonXtal_BW#'!$A:$Z,14,FALSE)+VLOOKUP($A210,A:AL,19,FALSE)-50),"-",(VLOOKUP($A210,'SegEnds_NonXtal_BW#'!$A:$Z,14,FALSE)+VLOOKUP($A210,A:AL,19,FALSE)-50))</f>
        <v>147</v>
      </c>
      <c r="U210" s="9">
        <f>IF(ISERROR(VLOOKUP($A210,'SegEnds_NonXtal_BW#'!$A:$Z,15,FALSE)+VLOOKUP($A210,A:AL,22,FALSE)-50),"-",VLOOKUP($A210,'SegEnds_NonXtal_BW#'!$A:$Z,15,FALSE)+VLOOKUP($A210,A:AL,22,FALSE)-50)</f>
        <v>148</v>
      </c>
      <c r="V210" s="3">
        <v>160</v>
      </c>
      <c r="W210" s="3">
        <f>IF(ISERROR(VLOOKUP($A210,'SegEnds_NonXtal_BW#'!$A:$Z,16,FALSE)+VLOOKUP($A210,A:AL,22,FALSE)-50),"-",(VLOOKUP($A210,'SegEnds_NonXtal_BW#'!$A:$Z,16,FALSE)+VLOOKUP($A210,A:AL,22,FALSE)-50))</f>
        <v>174</v>
      </c>
      <c r="X210" s="3">
        <f>IF(ISERROR(VLOOKUP($A210,'SegEnds_NonXtal_BW#'!$A:$Z,17,FALSE)+VLOOKUP($A210,A:AL,25,FALSE)-50),"-",(VLOOKUP($A210,'SegEnds_NonXtal_BW#'!$A:$Z,17,FALSE)+VLOOKUP($A210,A:AL,25,FALSE)-50))</f>
        <v>185</v>
      </c>
      <c r="Y210" s="3">
        <v>185</v>
      </c>
      <c r="Z210" s="3">
        <f>Y210+2</f>
        <v>187</v>
      </c>
      <c r="AA210" s="3">
        <f>IF(ISERROR(VLOOKUP($A210,'SegEnds_NonXtal_BW#'!$A:$Z,19,FALSE)+VLOOKUP($A210,A:AL,28,FALSE)-50),"-",(VLOOKUP($A210,'SegEnds_NonXtal_BW#'!$A:$Z,19,FALSE)+VLOOKUP($A210,A:AL,28,FALSE)-50))</f>
        <v>194</v>
      </c>
      <c r="AB210" s="3">
        <v>212</v>
      </c>
      <c r="AC210" s="3">
        <f>IF(ISERROR((VLOOKUP($A210,'SegEnds_NonXtal_BW#'!$A:$Z,20,FALSE)+VLOOKUP($A210,A:AL,28,FALSE)-50)),"-",(VLOOKUP($A210,'SegEnds_NonXtal_BW#'!$A:$Z,20,FALSE)+VLOOKUP($A210,A:AL,28,FALSE)-50))</f>
        <v>230</v>
      </c>
      <c r="AD210" s="3">
        <f>IF(ISERROR(VLOOKUP($A210,'SegEnds_NonXtal_BW#'!$A:$Z,21,FALSE)+VLOOKUP($A210,A:AL,31,FALSE)-50),"-",(VLOOKUP($A210,'SegEnds_NonXtal_BW#'!$A:$Z,21,FALSE)+VLOOKUP($A210,A:AL,31,FALSE)-50))</f>
        <v>234</v>
      </c>
      <c r="AE210" s="3">
        <v>260</v>
      </c>
      <c r="AF210" s="3">
        <f>IF(ISERROR((VLOOKUP($A210,'SegEnds_NonXtal_BW#'!$A:$Z,22,FALSE)+VLOOKUP($A210,A:AL,31,FALSE)-50)),"-",(VLOOKUP($A210,'SegEnds_NonXtal_BW#'!$A:$Z,22,FALSE)+VLOOKUP($A210,A:AL,31,FALSE)-50))</f>
        <v>271</v>
      </c>
      <c r="AG210" s="3">
        <f>IF(ISERROR(VLOOKUP($A210,'SegEnds_NonXtal_BW#'!$A:$Z,23,FALSE)+VLOOKUP($A210,A:AL,34,FALSE)-50),"-",(VLOOKUP($A210,'SegEnds_NonXtal_BW#'!$A:$Z,23,FALSE)+VLOOKUP($A210,A:AL,34,FALSE)-50))</f>
        <v>277</v>
      </c>
      <c r="AH210" s="3">
        <v>303</v>
      </c>
      <c r="AI210" s="3">
        <f>IF(ISERROR((VLOOKUP($A210,'SegEnds_NonXtal_BW#'!$A:$Z,24,FALSE)+VLOOKUP($A210,A:AL,34,FALSE)-50)),"-",(VLOOKUP($A210,'SegEnds_NonXtal_BW#'!$A:$Z,24,FALSE)+VLOOKUP($A210,A:AL,34,FALSE)-50))</f>
        <v>309</v>
      </c>
      <c r="AJ210" s="3">
        <f>IF(ISERROR(VLOOKUP($A210,'SegEnds_NonXtal_BW#'!$A:$Z,25,FALSE)+VLOOKUP($A210,A:AL,37,FALSE)-50),"-",(VLOOKUP($A210,'SegEnds_NonXtal_BW#'!$A:$Z,25,FALSE)+VLOOKUP($A210,A:AL,37,FALSE)-50))</f>
        <v>310</v>
      </c>
      <c r="AK210" s="3">
        <v>313</v>
      </c>
      <c r="AL210" s="3">
        <f>IF(ISERROR((VLOOKUP($A210,'SegEnds_NonXtal_BW#'!$A:$Z,26,FALSE)+VLOOKUP($A210,A:AL,37,FALSE)-50)),"-",(VLOOKUP($A210,'SegEnds_NonXtal_BW#'!$A:$Z,26,FALSE)+VLOOKUP($A210,A:AL,37,FALSE)-50))</f>
        <v>322</v>
      </c>
      <c r="AM210" s="28" t="str">
        <f>VLOOKUP(A210,Classification!A:B,2,FALSE)</f>
        <v>A</v>
      </c>
      <c r="AN210" s="28" t="b">
        <f>AND(IF(Y210="-",IF(AA210-W210&gt;3,TRUE,FALSE),TRUE),IF(M210="-",IF(O210-K210&gt;3,TRUE,FALSE),TRUE),C210&lt;E210,OR(E210&lt;F210,F210="-"),OR(F210&lt;H210,F210="-"),OR(H210&lt;I210,H210="-"),I210&lt;K210,OR(K210&lt;L210,L210="-"),OR(L210&lt;N210,L210="-"),OR(N210&lt;O210,N210="-"),O210&lt;Q210,OR(Q210&lt;R210,R210="-"),OR(R210&lt;T210,R210="-"),OR(T210&lt;U210,T210="-"),U210&lt;W210,OR(W210&lt;X210,X210="-"),OR(X210&lt;Z210,X210="-"),OR(Z210&lt;AA210,Z210="-"),AA210&lt;AC210,AC210&lt;AD210,AD210&lt;AF210,AF210&lt;AG210,AG210&lt;AI210,OR(AI210&lt;AJ210,AJ210="-"),OR(AJ210&lt;AL210,AJ210="-"))</f>
        <v>1</v>
      </c>
      <c r="AO210" s="3" t="str">
        <f>IF(ISERROR(MATCH(A210,'SegEnds_Xtal_Prot#'!B:B, 0)), "NoXtal", "Xtal")</f>
        <v>NoXtal</v>
      </c>
      <c r="AP210" s="3" t="str">
        <f>IF(ISERROR(F210-E210),"-",F210-E210)</f>
        <v>-</v>
      </c>
      <c r="AQ210" s="3" t="str">
        <f>IF(ISERROR(I210-H210),"-",I210-H210)</f>
        <v>-</v>
      </c>
      <c r="AR210" s="3">
        <f>IF(ISERROR(L210-K210),"-",L210-K210)</f>
        <v>3</v>
      </c>
      <c r="AS210" s="3">
        <f>IF(ISERROR(O210-N210),"-",O210-N210)</f>
        <v>1</v>
      </c>
      <c r="AT210" s="3">
        <f>IF(ISERROR(R210-Q210),"-",R210-Q210)</f>
        <v>1</v>
      </c>
      <c r="AU210" s="3">
        <f>IF(ISERROR(U210-T210),"-",U210-T210)</f>
        <v>1</v>
      </c>
      <c r="AV210" s="3">
        <f>IF(ISERROR(X210-W210),"-",X210-W210)</f>
        <v>11</v>
      </c>
      <c r="AW210" s="3">
        <f>IF(ISERROR(AA210-Z210),"-",AA210-Z210)</f>
        <v>7</v>
      </c>
      <c r="AX210" s="3">
        <f>IF(ISERROR(AD210-AC210),"-",AD210-AC210)</f>
        <v>4</v>
      </c>
      <c r="AY210" s="3">
        <f>IF(ISERROR(AG210-AF210),"-",AG210-AF210)</f>
        <v>6</v>
      </c>
      <c r="AZ210" s="3">
        <f>IF(ISERROR(AJ210-AI210),"-",AJ210-AI210)</f>
        <v>1</v>
      </c>
      <c r="BA210" s="3">
        <f>IF(ISERROR(LEN(VLOOKUP(A210,Seqs!A:E,2,FALSE))-AL210),"-",LEN(VLOOKUP(A210,Seqs!A:E,2,FALSE))-AL210)</f>
        <v>43</v>
      </c>
      <c r="BB210" s="16">
        <f>J210-D210</f>
        <v>28</v>
      </c>
      <c r="BC210" s="9">
        <f>IF(ISERROR(V210-S210),"-",V210-S210)</f>
        <v>20</v>
      </c>
      <c r="BD210" s="3">
        <f>J210-D210</f>
        <v>28</v>
      </c>
      <c r="BE210" s="3">
        <f>AE210-AB210</f>
        <v>48</v>
      </c>
    </row>
    <row r="211" spans="1:59" s="3" customFormat="1" x14ac:dyDescent="0.2">
      <c r="A211" s="3" t="s">
        <v>349</v>
      </c>
      <c r="B211" s="3" t="str">
        <f>LOWER(VLOOKUP(A211,Xtal_Templ!A:B,2,FALSE))</f>
        <v>par1_human</v>
      </c>
      <c r="C211" s="3">
        <f>VLOOKUP($A211,'SegEnds_NonXtal_BW#'!$A:$Z,3,FALSE)+D211-50</f>
        <v>20</v>
      </c>
      <c r="D211" s="3">
        <v>41</v>
      </c>
      <c r="E211" s="3">
        <f>IF(ISERROR(VLOOKUP($A211,'SegEnds_NonXtal_BW#'!$A:$Z,4,FALSE)+VLOOKUP($A211,A:AL,4,FALSE)-50),"-",(VLOOKUP($A211,'SegEnds_NonXtal_BW#'!$A:$Z,4,FALSE)+VLOOKUP($A211,A:AL,4,FALSE)-50))</f>
        <v>51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56</v>
      </c>
      <c r="J211" s="3">
        <v>69</v>
      </c>
      <c r="K211" s="3">
        <f>VLOOKUP($A211,'SegEnds_NonXtal_BW#'!$A:$Z,8,FALSE)+VLOOKUP($A211,A:AL,10,FALSE)-50</f>
        <v>85</v>
      </c>
      <c r="L211" s="3">
        <f>M211-1</f>
        <v>88</v>
      </c>
      <c r="M211" s="3">
        <v>89</v>
      </c>
      <c r="N211" s="3">
        <f>M211+2</f>
        <v>91</v>
      </c>
      <c r="O211" s="3">
        <f>N211+1</f>
        <v>92</v>
      </c>
      <c r="P211" s="3">
        <v>121</v>
      </c>
      <c r="Q211" s="3">
        <f>VLOOKUP($A211,'SegEnds_NonXtal_BW#'!$A:$Z,12,FALSE)+VLOOKUP($A211,A:AL,16,FALSE)-50</f>
        <v>127</v>
      </c>
      <c r="R211" s="3">
        <f>IF(ISERROR(VLOOKUP($A211,'SegEnds_NonXtal_BW#'!$A:$Z,13,FALSE)+VLOOKUP($A211,A:AL,19,FALSE)-50),"-",VLOOKUP($A211,'SegEnds_NonXtal_BW#'!$A:$Z,13,FALSE)+VLOOKUP($A211,A:AL,19,FALSE)-50)</f>
        <v>128</v>
      </c>
      <c r="S211" s="3">
        <v>128</v>
      </c>
      <c r="T211" s="103">
        <f>IF(ISERROR(VLOOKUP($A211,'SegEnds_NonXtal_BW#'!$A:$Z,14,FALSE)+VLOOKUP($A211,A:AL,19,FALSE)-50),"-",(VLOOKUP($A211,'SegEnds_NonXtal_BW#'!$A:$Z,14,FALSE)+VLOOKUP($A211,A:AL,19,FALSE)-50))</f>
        <v>135</v>
      </c>
      <c r="U211" s="9">
        <f>IF(ISERROR(VLOOKUP($A211,'SegEnds_NonXtal_BW#'!$A:$Z,15,FALSE)+VLOOKUP($A211,A:AL,22,FALSE)-50),"-",VLOOKUP($A211,'SegEnds_NonXtal_BW#'!$A:$Z,15,FALSE)+VLOOKUP($A211,A:AL,22,FALSE)-50)</f>
        <v>136</v>
      </c>
      <c r="V211" s="3">
        <v>148</v>
      </c>
      <c r="W211" s="3">
        <f>IF(ISERROR(VLOOKUP($A211,'SegEnds_NonXtal_BW#'!$A:$Z,16,FALSE)+VLOOKUP($A211,A:AL,22,FALSE)-50),"-",(VLOOKUP($A211,'SegEnds_NonXtal_BW#'!$A:$Z,16,FALSE)+VLOOKUP($A211,A:AL,22,FALSE)-50))</f>
        <v>161</v>
      </c>
      <c r="X211" s="3">
        <f>IF(ISERROR(VLOOKUP($A211,'SegEnds_NonXtal_BW#'!$A:$Z,17,FALSE)+VLOOKUP($A211,A:AL,25,FALSE)-50),"-",(VLOOKUP($A211,'SegEnds_NonXtal_BW#'!$A:$Z,17,FALSE)+VLOOKUP($A211,A:AL,25,FALSE)-50))</f>
        <v>175</v>
      </c>
      <c r="Y211" s="3">
        <v>175</v>
      </c>
      <c r="Z211" s="3">
        <f>Y211+2</f>
        <v>177</v>
      </c>
      <c r="AA211" s="3">
        <f>IF(ISERROR(VLOOKUP($A211,'SegEnds_NonXtal_BW#'!$A:$Z,19,FALSE)+VLOOKUP($A211,A:AL,28,FALSE)-50),"-",(VLOOKUP($A211,'SegEnds_NonXtal_BW#'!$A:$Z,19,FALSE)+VLOOKUP($A211,A:AL,28,FALSE)-50))</f>
        <v>187</v>
      </c>
      <c r="AB211" s="3">
        <v>205</v>
      </c>
      <c r="AC211" s="3">
        <f>IF(ISERROR((VLOOKUP($A211,'SegEnds_NonXtal_BW#'!$A:$Z,20,FALSE)+VLOOKUP($A211,A:AL,28,FALSE)-50)),"-",(VLOOKUP($A211,'SegEnds_NonXtal_BW#'!$A:$Z,20,FALSE)+VLOOKUP($A211,A:AL,28,FALSE)-50))</f>
        <v>222</v>
      </c>
      <c r="AD211" s="3">
        <f>IF(ISERROR(VLOOKUP($A211,'SegEnds_NonXtal_BW#'!$A:$Z,21,FALSE)+VLOOKUP($A211,A:AL,31,FALSE)-50),"-",(VLOOKUP($A211,'SegEnds_NonXtal_BW#'!$A:$Z,21,FALSE)+VLOOKUP($A211,A:AL,31,FALSE)-50))</f>
        <v>228</v>
      </c>
      <c r="AE211" s="3">
        <v>252</v>
      </c>
      <c r="AF211" s="3">
        <f>IF(ISERROR((VLOOKUP($A211,'SegEnds_NonXtal_BW#'!$A:$Z,22,FALSE)+VLOOKUP($A211,A:AL,31,FALSE)-50)),"-",(VLOOKUP($A211,'SegEnds_NonXtal_BW#'!$A:$Z,22,FALSE)+VLOOKUP($A211,A:AL,31,FALSE)-50))</f>
        <v>263</v>
      </c>
      <c r="AG211" s="3">
        <f>IF(ISERROR(VLOOKUP($A211,'SegEnds_NonXtal_BW#'!$A:$Z,23,FALSE)+VLOOKUP($A211,A:AL,34,FALSE)-50),"-",(VLOOKUP($A211,'SegEnds_NonXtal_BW#'!$A:$Z,23,FALSE)+VLOOKUP($A211,A:AL,34,FALSE)-50))</f>
        <v>268</v>
      </c>
      <c r="AH211" s="3">
        <v>290</v>
      </c>
      <c r="AI211" s="3">
        <f>IF(ISERROR((VLOOKUP($A211,'SegEnds_NonXtal_BW#'!$A:$Z,24,FALSE)+VLOOKUP($A211,A:AL,34,FALSE)-50)),"-",(VLOOKUP($A211,'SegEnds_NonXtal_BW#'!$A:$Z,24,FALSE)+VLOOKUP($A211,A:AL,34,FALSE)-50))</f>
        <v>296</v>
      </c>
      <c r="AJ211" s="3">
        <f>IF(ISERROR(VLOOKUP($A211,'SegEnds_NonXtal_BW#'!$A:$Z,25,FALSE)+VLOOKUP($A211,A:AL,37,FALSE)-50),"-",(VLOOKUP($A211,'SegEnds_NonXtal_BW#'!$A:$Z,25,FALSE)+VLOOKUP($A211,A:AL,37,FALSE)-50))</f>
        <v>297</v>
      </c>
      <c r="AK211" s="3">
        <v>300</v>
      </c>
      <c r="AL211" s="3">
        <f>IF(ISERROR((VLOOKUP($A211,'SegEnds_NonXtal_BW#'!$A:$Z,26,FALSE)+VLOOKUP($A211,A:AL,37,FALSE)-50)),"-",(VLOOKUP($A211,'SegEnds_NonXtal_BW#'!$A:$Z,26,FALSE)+VLOOKUP($A211,A:AL,37,FALSE)-50))</f>
        <v>311</v>
      </c>
      <c r="AM211" s="28" t="str">
        <f>VLOOKUP(A211,Classification!A:B,2,FALSE)</f>
        <v>A</v>
      </c>
      <c r="AN211" s="28" t="b">
        <f>AND(IF(Y211="-",IF(AA211-W211&gt;3,TRUE,FALSE),TRUE),IF(M211="-",IF(O211-K211&gt;3,TRUE,FALSE),TRUE),C211&lt;E211,OR(E211&lt;F211,F211="-"),OR(F211&lt;H211,F211="-"),OR(H211&lt;I211,H211="-"),I211&lt;K211,OR(K211&lt;L211,L211="-"),OR(L211&lt;N211,L211="-"),OR(N211&lt;O211,N211="-"),O211&lt;Q211,OR(Q211&lt;R211,R211="-"),OR(R211&lt;T211,R211="-"),OR(T211&lt;U211,T211="-"),U211&lt;W211,OR(W211&lt;X211,X211="-"),OR(X211&lt;Z211,X211="-"),OR(Z211&lt;AA211,Z211="-"),AA211&lt;AC211,AC211&lt;AD211,AD211&lt;AF211,AF211&lt;AG211,AG211&lt;AI211,OR(AI211&lt;AJ211,AJ211="-"),OR(AJ211&lt;AL211,AJ211="-"))</f>
        <v>1</v>
      </c>
      <c r="AO211" s="3" t="str">
        <f>IF(ISERROR(MATCH(A211,'SegEnds_Xtal_Prot#'!B:B, 0)), "NoXtal", "Xtal")</f>
        <v>NoXtal</v>
      </c>
      <c r="AP211" s="3" t="str">
        <f>IF(ISERROR(F211-E211),"-",F211-E211)</f>
        <v>-</v>
      </c>
      <c r="AQ211" s="3" t="str">
        <f>IF(ISERROR(I211-H211),"-",I211-H211)</f>
        <v>-</v>
      </c>
      <c r="AR211" s="3">
        <f>IF(ISERROR(L211-K211),"-",L211-K211)</f>
        <v>3</v>
      </c>
      <c r="AS211" s="3">
        <f>IF(ISERROR(O211-N211),"-",O211-N211)</f>
        <v>1</v>
      </c>
      <c r="AT211" s="3">
        <f>IF(ISERROR(R211-Q211),"-",R211-Q211)</f>
        <v>1</v>
      </c>
      <c r="AU211" s="3">
        <f>IF(ISERROR(U211-T211),"-",U211-T211)</f>
        <v>1</v>
      </c>
      <c r="AV211" s="3">
        <f>IF(ISERROR(X211-W211),"-",X211-W211)</f>
        <v>14</v>
      </c>
      <c r="AW211" s="3">
        <f>IF(ISERROR(AA211-Z211),"-",AA211-Z211)</f>
        <v>10</v>
      </c>
      <c r="AX211" s="3">
        <f>IF(ISERROR(AD211-AC211),"-",AD211-AC211)</f>
        <v>6</v>
      </c>
      <c r="AY211" s="3">
        <f>IF(ISERROR(AG211-AF211),"-",AG211-AF211)</f>
        <v>5</v>
      </c>
      <c r="AZ211" s="3">
        <f>IF(ISERROR(AJ211-AI211),"-",AJ211-AI211)</f>
        <v>1</v>
      </c>
      <c r="BA211" s="3">
        <f>IF(ISERROR(LEN(VLOOKUP(A211,Seqs!A:E,2,FALSE))-AL211),"-",LEN(VLOOKUP(A211,Seqs!A:E,2,FALSE))-AL211)</f>
        <v>48</v>
      </c>
      <c r="BB211" s="16">
        <f>J211-D211</f>
        <v>28</v>
      </c>
      <c r="BC211" s="9">
        <f>IF(ISERROR(V211-S211),"-",V211-S211)</f>
        <v>20</v>
      </c>
      <c r="BD211" s="3">
        <f>J211-D211</f>
        <v>28</v>
      </c>
      <c r="BE211" s="3">
        <f>AE211-AB211</f>
        <v>47</v>
      </c>
    </row>
    <row r="212" spans="1:59" s="3" customFormat="1" x14ac:dyDescent="0.2">
      <c r="A212" s="3" t="s">
        <v>351</v>
      </c>
      <c r="B212" s="3" t="str">
        <f>LOWER(VLOOKUP(A212,Xtal_Templ!A:B,2,FALSE))</f>
        <v>p2ry1_human</v>
      </c>
      <c r="C212" s="3">
        <f>VLOOKUP($A212,'SegEnds_NonXtal_BW#'!$A:$Z,3,FALSE)+D212-50</f>
        <v>26</v>
      </c>
      <c r="D212" s="3">
        <v>46</v>
      </c>
      <c r="E212" s="3">
        <f>IF(ISERROR(VLOOKUP($A212,'SegEnds_NonXtal_BW#'!$A:$Z,4,FALSE)+VLOOKUP($A212,A:AL,4,FALSE)-50),"-",(VLOOKUP($A212,'SegEnds_NonXtal_BW#'!$A:$Z,4,FALSE)+VLOOKUP($A212,A:AL,4,FALSE)-50))</f>
        <v>56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62</v>
      </c>
      <c r="J212" s="3">
        <v>75</v>
      </c>
      <c r="K212" s="3">
        <f>VLOOKUP($A212,'SegEnds_NonXtal_BW#'!$A:$Z,8,FALSE)+VLOOKUP($A212,A:AL,10,FALSE)-50</f>
        <v>91</v>
      </c>
      <c r="L212" s="3">
        <f>M212-1</f>
        <v>94</v>
      </c>
      <c r="M212" s="3">
        <v>95</v>
      </c>
      <c r="N212" s="3">
        <f>M212+2</f>
        <v>97</v>
      </c>
      <c r="O212" s="3">
        <f>N212+1</f>
        <v>98</v>
      </c>
      <c r="P212" s="3">
        <v>127</v>
      </c>
      <c r="Q212" s="3">
        <f>VLOOKUP($A212,'SegEnds_NonXtal_BW#'!$A:$Z,12,FALSE)+VLOOKUP($A212,A:AL,16,FALSE)-50</f>
        <v>133</v>
      </c>
      <c r="R212" s="3">
        <f>IF(ISERROR(VLOOKUP($A212,'SegEnds_NonXtal_BW#'!$A:$Z,13,FALSE)+VLOOKUP($A212,A:AL,19,FALSE)-50),"-",VLOOKUP($A212,'SegEnds_NonXtal_BW#'!$A:$Z,13,FALSE)+VLOOKUP($A212,A:AL,19,FALSE)-50)</f>
        <v>134</v>
      </c>
      <c r="S212" s="3">
        <v>134</v>
      </c>
      <c r="T212" s="103">
        <f>IF(ISERROR(VLOOKUP($A212,'SegEnds_NonXtal_BW#'!$A:$Z,14,FALSE)+VLOOKUP($A212,A:AL,19,FALSE)-50),"-",(VLOOKUP($A212,'SegEnds_NonXtal_BW#'!$A:$Z,14,FALSE)+VLOOKUP($A212,A:AL,19,FALSE)-50))</f>
        <v>141</v>
      </c>
      <c r="U212" s="9">
        <f>IF(ISERROR(VLOOKUP($A212,'SegEnds_NonXtal_BW#'!$A:$Z,15,FALSE)+VLOOKUP($A212,A:AL,22,FALSE)-50),"-",VLOOKUP($A212,'SegEnds_NonXtal_BW#'!$A:$Z,15,FALSE)+VLOOKUP($A212,A:AL,22,FALSE)-50)</f>
        <v>142</v>
      </c>
      <c r="V212" s="3">
        <v>154</v>
      </c>
      <c r="W212" s="3">
        <f>IF(ISERROR(VLOOKUP($A212,'SegEnds_NonXtal_BW#'!$A:$Z,16,FALSE)+VLOOKUP($A212,A:AL,22,FALSE)-50),"-",(VLOOKUP($A212,'SegEnds_NonXtal_BW#'!$A:$Z,16,FALSE)+VLOOKUP($A212,A:AL,22,FALSE)-50))</f>
        <v>168</v>
      </c>
      <c r="X212" s="3">
        <f>IF(ISERROR(VLOOKUP($A212,'SegEnds_NonXtal_BW#'!$A:$Z,17,FALSE)+VLOOKUP($A212,A:AL,25,FALSE)-50),"-",(VLOOKUP($A212,'SegEnds_NonXtal_BW#'!$A:$Z,17,FALSE)+VLOOKUP($A212,A:AL,25,FALSE)-50))</f>
        <v>191</v>
      </c>
      <c r="Y212" s="3">
        <v>191</v>
      </c>
      <c r="Z212" s="3">
        <f>Y212+2</f>
        <v>193</v>
      </c>
      <c r="AA212" s="3">
        <f>IF(ISERROR(VLOOKUP($A212,'SegEnds_NonXtal_BW#'!$A:$Z,19,FALSE)+VLOOKUP($A212,A:AL,28,FALSE)-50),"-",(VLOOKUP($A212,'SegEnds_NonXtal_BW#'!$A:$Z,19,FALSE)+VLOOKUP($A212,A:AL,28,FALSE)-50))</f>
        <v>199</v>
      </c>
      <c r="AB212" s="3">
        <v>217</v>
      </c>
      <c r="AC212" s="3">
        <f>IF(ISERROR((VLOOKUP($A212,'SegEnds_NonXtal_BW#'!$A:$Z,20,FALSE)+VLOOKUP($A212,A:AL,28,FALSE)-50)),"-",(VLOOKUP($A212,'SegEnds_NonXtal_BW#'!$A:$Z,20,FALSE)+VLOOKUP($A212,A:AL,28,FALSE)-50))</f>
        <v>234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263</v>
      </c>
      <c r="AF212" s="3">
        <f>IF(ISERROR((VLOOKUP($A212,'SegEnds_NonXtal_BW#'!$A:$Z,22,FALSE)+VLOOKUP($A212,A:AL,31,FALSE)-50)),"-",(VLOOKUP($A212,'SegEnds_NonXtal_BW#'!$A:$Z,22,FALSE)+VLOOKUP($A212,A:AL,31,FALSE)-50))</f>
        <v>277</v>
      </c>
      <c r="AG212" s="3">
        <f>IF(ISERROR(VLOOKUP($A212,'SegEnds_NonXtal_BW#'!$A:$Z,23,FALSE)+VLOOKUP($A212,A:AL,34,FALSE)-50),"-",(VLOOKUP($A212,'SegEnds_NonXtal_BW#'!$A:$Z,23,FALSE)+VLOOKUP($A212,A:AL,34,FALSE)-50))</f>
        <v>292</v>
      </c>
      <c r="AH212" s="3">
        <v>318</v>
      </c>
      <c r="AI212" s="3">
        <f>IF(ISERROR((VLOOKUP($A212,'SegEnds_NonXtal_BW#'!$A:$Z,24,FALSE)+VLOOKUP($A212,A:AL,34,FALSE)-50)),"-",(VLOOKUP($A212,'SegEnds_NonXtal_BW#'!$A:$Z,24,FALSE)+VLOOKUP($A212,A:AL,34,FALSE)-50))</f>
        <v>324</v>
      </c>
      <c r="AJ212" s="3">
        <f>IF(ISERROR(VLOOKUP($A212,'SegEnds_NonXtal_BW#'!$A:$Z,25,FALSE)+VLOOKUP($A212,A:AL,37,FALSE)-50),"-",(VLOOKUP($A212,'SegEnds_NonXtal_BW#'!$A:$Z,25,FALSE)+VLOOKUP($A212,A:AL,37,FALSE)-50))</f>
        <v>325</v>
      </c>
      <c r="AK212" s="3">
        <v>328</v>
      </c>
      <c r="AL212" s="3">
        <f>IF(ISERROR((VLOOKUP($A212,'SegEnds_NonXtal_BW#'!$A:$Z,26,FALSE)+VLOOKUP($A212,A:AL,37,FALSE)-50)),"-",(VLOOKUP($A212,'SegEnds_NonXtal_BW#'!$A:$Z,26,FALSE)+VLOOKUP($A212,A:AL,37,FALSE)-50))</f>
        <v>337</v>
      </c>
      <c r="AM212" s="28" t="str">
        <f>VLOOKUP(A212,Classification!A:B,2,FALSE)</f>
        <v>A</v>
      </c>
      <c r="AN212" s="28" t="b">
        <f>AND(IF(Y212="-",IF(AA212-W212&gt;3,TRUE,FALSE),TRUE),IF(M212="-",IF(O212-K212&gt;3,TRUE,FALSE),TRUE),C212&lt;E212,OR(E212&lt;F212,F212="-"),OR(F212&lt;H212,F212="-"),OR(H212&lt;I212,H212="-"),I212&lt;K212,OR(K212&lt;L212,L212="-"),OR(L212&lt;N212,L212="-"),OR(N212&lt;O212,N212="-"),O212&lt;Q212,OR(Q212&lt;R212,R212="-"),OR(R212&lt;T212,R212="-"),OR(T212&lt;U212,T212="-"),U212&lt;W212,OR(W212&lt;X212,X212="-"),OR(X212&lt;Z212,X212="-"),OR(Z212&lt;AA212,Z212="-"),AA212&lt;AC212,AC212&lt;AD212,AD212&lt;AF212,AF212&lt;AG212,AG212&lt;AI212,OR(AI212&lt;AJ212,AJ212="-"),OR(AJ212&lt;AL212,AJ212="-"))</f>
        <v>1</v>
      </c>
      <c r="AO212" s="3" t="str">
        <f>IF(ISERROR(MATCH(A212,'SegEnds_Xtal_Prot#'!B:B, 0)), "NoXtal", "Xtal")</f>
        <v>NoXtal</v>
      </c>
      <c r="AP212" s="3" t="str">
        <f>IF(ISERROR(F212-E212),"-",F212-E212)</f>
        <v>-</v>
      </c>
      <c r="AQ212" s="3" t="str">
        <f>IF(ISERROR(I212-H212),"-",I212-H212)</f>
        <v>-</v>
      </c>
      <c r="AR212" s="3">
        <f>IF(ISERROR(L212-K212),"-",L212-K212)</f>
        <v>3</v>
      </c>
      <c r="AS212" s="3">
        <f>IF(ISERROR(O212-N212),"-",O212-N212)</f>
        <v>1</v>
      </c>
      <c r="AT212" s="3">
        <f>IF(ISERROR(R212-Q212),"-",R212-Q212)</f>
        <v>1</v>
      </c>
      <c r="AU212" s="3">
        <f>IF(ISERROR(U212-T212),"-",U212-T212)</f>
        <v>1</v>
      </c>
      <c r="AV212" s="3">
        <f>IF(ISERROR(X212-W212),"-",X212-W212)</f>
        <v>23</v>
      </c>
      <c r="AW212" s="3">
        <f>IF(ISERROR(AA212-Z212),"-",AA212-Z212)</f>
        <v>6</v>
      </c>
      <c r="AX212" s="3">
        <f>IF(ISERROR(AD212-AC212),"-",AD212-AC212)</f>
        <v>5</v>
      </c>
      <c r="AY212" s="3">
        <f>IF(ISERROR(AG212-AF212),"-",AG212-AF212)</f>
        <v>15</v>
      </c>
      <c r="AZ212" s="3">
        <f>IF(ISERROR(AJ212-AI212),"-",AJ212-AI212)</f>
        <v>1</v>
      </c>
      <c r="BA212" s="3">
        <f>IF(ISERROR(LEN(VLOOKUP(A212,Seqs!A:E,2,FALSE))-AL212),"-",LEN(VLOOKUP(A212,Seqs!A:E,2,FALSE))-AL212)</f>
        <v>37</v>
      </c>
      <c r="BB212" s="16">
        <f>J212-D212</f>
        <v>29</v>
      </c>
      <c r="BC212" s="9">
        <f>IF(ISERROR(V212-S212),"-",V212-S212)</f>
        <v>20</v>
      </c>
      <c r="BD212" s="3">
        <f>J212-D212</f>
        <v>29</v>
      </c>
      <c r="BE212" s="3">
        <f>AE212-AB212</f>
        <v>46</v>
      </c>
    </row>
    <row r="213" spans="1:59" s="3" customFormat="1" x14ac:dyDescent="0.2">
      <c r="A213" s="3" t="s">
        <v>352</v>
      </c>
      <c r="B213" s="3" t="str">
        <f>LOWER(VLOOKUP(A213,Xtal_Templ!A:B,2,FALSE))</f>
        <v>p2y12_human</v>
      </c>
      <c r="C213" s="3">
        <f>VLOOKUP($A213,'SegEnds_NonXtal_BW#'!$A:$Z,3,FALSE)+D213-50</f>
        <v>21</v>
      </c>
      <c r="D213" s="3">
        <v>43</v>
      </c>
      <c r="E213" s="3">
        <f>IF(ISERROR(VLOOKUP($A213,'SegEnds_NonXtal_BW#'!$A:$Z,4,FALSE)+VLOOKUP($A213,A:AL,4,FALSE)-50),"-",(VLOOKUP($A213,'SegEnds_NonXtal_BW#'!$A:$Z,4,FALSE)+VLOOKUP($A213,A:AL,4,FALSE)-50))</f>
        <v>53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57</v>
      </c>
      <c r="J213" s="3">
        <v>70</v>
      </c>
      <c r="K213" s="3">
        <f>VLOOKUP($A213,'SegEnds_NonXtal_BW#'!$A:$Z,8,FALSE)+VLOOKUP($A213,A:AL,10,FALSE)-50</f>
        <v>86</v>
      </c>
      <c r="L213" s="3" t="str">
        <f>IF(ISERROR(VLOOKUP($A213,'SegEnds_NonXtal_BW#'!$A:$Z,9,FALSE)+VLOOKUP($A213,A:AL,13,FALSE)-50),"-",(VLOOKUP($A213,'SegEnds_NonXtal_BW#'!$A:$Z,9,FALSE)+VLOOKUP($A213,A:AL,13,FALSE)-50))</f>
        <v>-</v>
      </c>
      <c r="M213" s="3" t="s">
        <v>23</v>
      </c>
      <c r="N213" s="3" t="str">
        <f>IF(ISERROR(VLOOKUP($A213,'SegEnds_NonXtal_BW#'!$A:$Z,10,FALSE)+VLOOKUP($A213,A:AL,13,FALSE)-50),"-",(VLOOKUP($A213,'SegEnds_NonXtal_BW#'!$A:$Z,10,FALSE)+VLOOKUP($A213,A:AL,13,FALSE)-50))</f>
        <v>-</v>
      </c>
      <c r="O213" s="3">
        <f>VLOOKUP($A213,'SegEnds_NonXtal_BW#'!$A:$Z,11,FALSE)+VLOOKUP($A213,A:AL,16,FALSE)-50</f>
        <v>90</v>
      </c>
      <c r="P213" s="3">
        <v>122</v>
      </c>
      <c r="Q213" s="3">
        <f>VLOOKUP($A213,'SegEnds_NonXtal_BW#'!$A:$Z,12,FALSE)+VLOOKUP($A213,A:AL,16,FALSE)-50</f>
        <v>128</v>
      </c>
      <c r="R213" s="3">
        <f>IF(ISERROR(VLOOKUP($A213,'SegEnds_NonXtal_BW#'!$A:$Z,13,FALSE)+VLOOKUP($A213,A:AL,19,FALSE)-50),"-",VLOOKUP($A213,'SegEnds_NonXtal_BW#'!$A:$Z,13,FALSE)+VLOOKUP($A213,A:AL,19,FALSE)-50)</f>
        <v>129</v>
      </c>
      <c r="S213" s="3">
        <v>129</v>
      </c>
      <c r="T213" s="103">
        <f>IF(ISERROR(VLOOKUP($A213,'SegEnds_NonXtal_BW#'!$A:$Z,14,FALSE)+VLOOKUP($A213,A:AL,19,FALSE)-50),"-",(VLOOKUP($A213,'SegEnds_NonXtal_BW#'!$A:$Z,14,FALSE)+VLOOKUP($A213,A:AL,19,FALSE)-50))</f>
        <v>136</v>
      </c>
      <c r="U213" s="9">
        <f>IF(ISERROR(VLOOKUP($A213,'SegEnds_NonXtal_BW#'!$A:$Z,15,FALSE)+VLOOKUP($A213,A:AL,22,FALSE)-50),"-",VLOOKUP($A213,'SegEnds_NonXtal_BW#'!$A:$Z,15,FALSE)+VLOOKUP($A213,A:AL,22,FALSE)-50)</f>
        <v>137</v>
      </c>
      <c r="V213" s="3">
        <v>149</v>
      </c>
      <c r="W213" s="3">
        <f>IF(ISERROR(VLOOKUP($A213,'SegEnds_NonXtal_BW#'!$A:$Z,16,FALSE)+VLOOKUP($A213,A:AL,22,FALSE)-50),"-",(VLOOKUP($A213,'SegEnds_NonXtal_BW#'!$A:$Z,16,FALSE)+VLOOKUP($A213,A:AL,22,FALSE)-50))</f>
        <v>163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>Y213+2</f>
        <v>177</v>
      </c>
      <c r="AA213" s="3">
        <f>IF(ISERROR(VLOOKUP($A213,'SegEnds_NonXtal_BW#'!$A:$Z,19,FALSE)+VLOOKUP($A213,A:AL,28,FALSE)-50),"-",(VLOOKUP($A213,'SegEnds_NonXtal_BW#'!$A:$Z,19,FALSE)+VLOOKUP($A213,A:AL,28,FALSE)-50))</f>
        <v>181</v>
      </c>
      <c r="AB213" s="3">
        <v>201</v>
      </c>
      <c r="AC213" s="3">
        <f>IF(ISERROR((VLOOKUP($A213,'SegEnds_NonXtal_BW#'!$A:$Z,20,FALSE)+VLOOKUP($A213,A:AL,28,FALSE)-50)),"-",(VLOOKUP($A213,'SegEnds_NonXtal_BW#'!$A:$Z,20,FALSE)+VLOOKUP($A213,A:AL,28,FALSE)-50))</f>
        <v>223</v>
      </c>
      <c r="AD213" s="3">
        <f>IF(ISERROR(VLOOKUP($A213,'SegEnds_NonXtal_BW#'!$A:$Z,21,FALSE)+VLOOKUP($A213,A:AL,31,FALSE)-50),"-",(VLOOKUP($A213,'SegEnds_NonXtal_BW#'!$A:$Z,21,FALSE)+VLOOKUP($A213,A:AL,31,FALSE)-50))</f>
        <v>230</v>
      </c>
      <c r="AE213" s="3">
        <v>251</v>
      </c>
      <c r="AF213" s="3">
        <f>IF(ISERROR((VLOOKUP($A213,'SegEnds_NonXtal_BW#'!$A:$Z,22,FALSE)+VLOOKUP($A213,A:AL,31,FALSE)-50)),"-",(VLOOKUP($A213,'SegEnds_NonXtal_BW#'!$A:$Z,22,FALSE)+VLOOKUP($A213,A:AL,31,FALSE)-50))</f>
        <v>265</v>
      </c>
      <c r="AG213" s="3">
        <f>IF(ISERROR(VLOOKUP($A213,'SegEnds_NonXtal_BW#'!$A:$Z,23,FALSE)+VLOOKUP($A213,A:AL,34,FALSE)-50),"-",(VLOOKUP($A213,'SegEnds_NonXtal_BW#'!$A:$Z,23,FALSE)+VLOOKUP($A213,A:AL,34,FALSE)-50))</f>
        <v>269</v>
      </c>
      <c r="AH213" s="3">
        <v>295</v>
      </c>
      <c r="AI213" s="3">
        <f>IF(ISERROR((VLOOKUP($A213,'SegEnds_NonXtal_BW#'!$A:$Z,24,FALSE)+VLOOKUP($A213,A:AL,34,FALSE)-50)),"-",(VLOOKUP($A213,'SegEnds_NonXtal_BW#'!$A:$Z,24,FALSE)+VLOOKUP($A213,A:AL,34,FALSE)-50))</f>
        <v>301</v>
      </c>
      <c r="AJ213" s="3">
        <f>IF(ISERROR(VLOOKUP($A213,'SegEnds_NonXtal_BW#'!$A:$Z,25,FALSE)+VLOOKUP($A213,A:AL,37,FALSE)-50),"-",(VLOOKUP($A213,'SegEnds_NonXtal_BW#'!$A:$Z,25,FALSE)+VLOOKUP($A213,A:AL,37,FALSE)-50))</f>
        <v>302</v>
      </c>
      <c r="AK213" s="3">
        <v>305</v>
      </c>
      <c r="AL213" s="3">
        <f>IF(ISERROR((VLOOKUP($A213,'SegEnds_NonXtal_BW#'!$A:$Z,26,FALSE)+VLOOKUP($A213,A:AL,37,FALSE)-50)),"-",(VLOOKUP($A213,'SegEnds_NonXtal_BW#'!$A:$Z,26,FALSE)+VLOOKUP($A213,A:AL,37,FALSE)-50))</f>
        <v>312</v>
      </c>
      <c r="AM213" s="28" t="str">
        <f>VLOOKUP(A213,Classification!A:B,2,FALSE)</f>
        <v>A</v>
      </c>
      <c r="AN213" s="28" t="b">
        <f>AND(IF(Y213="-",IF(AA213-W213&gt;3,TRUE,FALSE),TRUE),IF(M213="-",IF(O213-K213&gt;3,TRUE,FALSE),TRUE),C213&lt;E213,OR(E213&lt;F213,F213="-"),OR(F213&lt;H213,F213="-"),OR(H213&lt;I213,H213="-"),I213&lt;K213,OR(K213&lt;L213,L213="-"),OR(L213&lt;N213,L213="-"),OR(N213&lt;O213,N213="-"),O213&lt;Q213,OR(Q213&lt;R213,R213="-"),OR(R213&lt;T213,R213="-"),OR(T213&lt;U213,T213="-"),U213&lt;W213,OR(W213&lt;X213,X213="-"),OR(X213&lt;Z213,X213="-"),OR(Z213&lt;AA213,Z213="-"),AA213&lt;AC213,AC213&lt;AD213,AD213&lt;AF213,AF213&lt;AG213,AG213&lt;AI213,OR(AI213&lt;AJ213,AJ213="-"),OR(AJ213&lt;AL213,AJ213="-"))</f>
        <v>1</v>
      </c>
      <c r="AO213" s="3" t="str">
        <f>IF(ISERROR(MATCH(A213,'SegEnds_Xtal_Prot#'!B:B, 0)), "NoXtal", "Xtal")</f>
        <v>Xtal</v>
      </c>
      <c r="AP213" s="3" t="str">
        <f>IF(ISERROR(F213-E213),"-",F213-E213)</f>
        <v>-</v>
      </c>
      <c r="AQ213" s="3" t="str">
        <f>IF(ISERROR(I213-H213),"-",I213-H213)</f>
        <v>-</v>
      </c>
      <c r="AR213" s="3" t="str">
        <f>IF(ISERROR(L213-K213),"-",L213-K213)</f>
        <v>-</v>
      </c>
      <c r="AS213" s="3" t="str">
        <f>IF(ISERROR(O213-N213),"-",O213-N213)</f>
        <v>-</v>
      </c>
      <c r="AT213" s="3">
        <f>IF(ISERROR(R213-Q213),"-",R213-Q213)</f>
        <v>1</v>
      </c>
      <c r="AU213" s="3">
        <f>IF(ISERROR(U213-T213),"-",U213-T213)</f>
        <v>1</v>
      </c>
      <c r="AV213" s="3">
        <f>IF(ISERROR(X213-W213),"-",X213-W213)</f>
        <v>12</v>
      </c>
      <c r="AW213" s="3">
        <f>IF(ISERROR(AA213-Z213),"-",AA213-Z213)</f>
        <v>4</v>
      </c>
      <c r="AX213" s="3">
        <f>IF(ISERROR(AD213-AC213),"-",AD213-AC213)</f>
        <v>7</v>
      </c>
      <c r="AY213" s="3">
        <f>IF(ISERROR(AG213-AF213),"-",AG213-AF213)</f>
        <v>4</v>
      </c>
      <c r="AZ213" s="3">
        <f>IF(ISERROR(AJ213-AI213),"-",AJ213-AI213)</f>
        <v>1</v>
      </c>
      <c r="BA213" s="3">
        <f>IF(ISERROR(LEN(VLOOKUP(A213,Seqs!A:E,2,FALSE))-AL213),"-",LEN(VLOOKUP(A213,Seqs!A:E,2,FALSE))-AL213)</f>
        <v>30</v>
      </c>
      <c r="BB213" s="16">
        <f>J213-D213</f>
        <v>27</v>
      </c>
      <c r="BC213" s="9">
        <f>IF(ISERROR(V213-S213),"-",V213-S213)</f>
        <v>20</v>
      </c>
      <c r="BD213" s="3">
        <f>J213-D213</f>
        <v>27</v>
      </c>
      <c r="BE213" s="3">
        <f>AE213-AB213</f>
        <v>50</v>
      </c>
    </row>
    <row r="214" spans="1:59" s="3" customFormat="1" x14ac:dyDescent="0.2">
      <c r="A214" s="3" t="s">
        <v>353</v>
      </c>
      <c r="B214" s="3" t="str">
        <f>LOWER(VLOOKUP(A214,Xtal_Templ!A:B,2,FALSE))</f>
        <v>p2y12_human</v>
      </c>
      <c r="C214" s="3">
        <f>VLOOKUP($A214,'SegEnds_NonXtal_BW#'!$A:$Z,3,FALSE)+D214-50</f>
        <v>40</v>
      </c>
      <c r="D214" s="3">
        <v>62</v>
      </c>
      <c r="E214" s="3">
        <f>IF(ISERROR(VLOOKUP($A214,'SegEnds_NonXtal_BW#'!$A:$Z,4,FALSE)+VLOOKUP($A214,A:AL,4,FALSE)-50),"-",(VLOOKUP($A214,'SegEnds_NonXtal_BW#'!$A:$Z,4,FALSE)+VLOOKUP($A214,A:AL,4,FALSE)-50))</f>
        <v>72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76</v>
      </c>
      <c r="J214" s="3">
        <v>89</v>
      </c>
      <c r="K214" s="3">
        <f>VLOOKUP($A214,'SegEnds_NonXtal_BW#'!$A:$Z,8,FALSE)+VLOOKUP($A214,A:AL,10,FALSE)-50</f>
        <v>105</v>
      </c>
      <c r="L214" s="3" t="s">
        <v>23</v>
      </c>
      <c r="M214" s="3" t="s">
        <v>23</v>
      </c>
      <c r="N214" s="3" t="s">
        <v>23</v>
      </c>
      <c r="O214" s="3">
        <f>VLOOKUP($A214,'SegEnds_NonXtal_BW#'!$A:$Z,11,FALSE)+VLOOKUP($A214,A:AL,16,FALSE)-50</f>
        <v>109</v>
      </c>
      <c r="P214" s="3">
        <v>141</v>
      </c>
      <c r="Q214" s="3">
        <f>VLOOKUP($A214,'SegEnds_NonXtal_BW#'!$A:$Z,12,FALSE)+VLOOKUP($A214,A:AL,16,FALSE)-50</f>
        <v>147</v>
      </c>
      <c r="R214" s="3">
        <f>IF(ISERROR(VLOOKUP($A214,'SegEnds_NonXtal_BW#'!$A:$Z,13,FALSE)+VLOOKUP($A214,A:AL,19,FALSE)-50),"-",VLOOKUP($A214,'SegEnds_NonXtal_BW#'!$A:$Z,13,FALSE)+VLOOKUP($A214,A:AL,19,FALSE)-50)</f>
        <v>148</v>
      </c>
      <c r="S214" s="3">
        <v>148</v>
      </c>
      <c r="T214" s="103">
        <f>IF(ISERROR(VLOOKUP($A214,'SegEnds_NonXtal_BW#'!$A:$Z,14,FALSE)+VLOOKUP($A214,A:AL,19,FALSE)-50),"-",(VLOOKUP($A214,'SegEnds_NonXtal_BW#'!$A:$Z,14,FALSE)+VLOOKUP($A214,A:AL,19,FALSE)-50))</f>
        <v>155</v>
      </c>
      <c r="U214" s="9">
        <f>IF(ISERROR(VLOOKUP($A214,'SegEnds_NonXtal_BW#'!$A:$Z,15,FALSE)+VLOOKUP($A214,A:AL,22,FALSE)-50),"-",VLOOKUP($A214,'SegEnds_NonXtal_BW#'!$A:$Z,15,FALSE)+VLOOKUP($A214,A:AL,22,FALSE)-50)</f>
        <v>156</v>
      </c>
      <c r="V214" s="3">
        <v>168</v>
      </c>
      <c r="W214" s="3">
        <f>IF(ISERROR(VLOOKUP($A214,'SegEnds_NonXtal_BW#'!$A:$Z,16,FALSE)+VLOOKUP($A214,A:AL,22,FALSE)-50),"-",(VLOOKUP($A214,'SegEnds_NonXtal_BW#'!$A:$Z,16,FALSE)+VLOOKUP($A214,A:AL,22,FALSE)-50))</f>
        <v>182</v>
      </c>
      <c r="X214" s="3">
        <f>IF(ISERROR(VLOOKUP($A214,'SegEnds_NonXtal_BW#'!$A:$Z,17,FALSE)+VLOOKUP($A214,A:AL,25,FALSE)-50),"-",(VLOOKUP($A214,'SegEnds_NonXtal_BW#'!$A:$Z,17,FALSE)+VLOOKUP($A214,A:AL,25,FALSE)-50))</f>
        <v>194</v>
      </c>
      <c r="Y214" s="3">
        <v>194</v>
      </c>
      <c r="Z214" s="3">
        <f>Y214+2</f>
        <v>196</v>
      </c>
      <c r="AA214" s="3">
        <f>IF(ISERROR(VLOOKUP($A214,'SegEnds_NonXtal_BW#'!$A:$Z,19,FALSE)+VLOOKUP($A214,A:AL,28,FALSE)-50),"-",(VLOOKUP($A214,'SegEnds_NonXtal_BW#'!$A:$Z,19,FALSE)+VLOOKUP($A214,A:AL,28,FALSE)-50))</f>
        <v>200</v>
      </c>
      <c r="AB214" s="3">
        <v>220</v>
      </c>
      <c r="AC214" s="3">
        <f>IF(ISERROR((VLOOKUP($A214,'SegEnds_NonXtal_BW#'!$A:$Z,20,FALSE)+VLOOKUP($A214,A:AL,28,FALSE)-50)),"-",(VLOOKUP($A214,'SegEnds_NonXtal_BW#'!$A:$Z,20,FALSE)+VLOOKUP($A214,A:AL,28,FALSE)-50))</f>
        <v>242</v>
      </c>
      <c r="AD214" s="3">
        <f>IF(ISERROR(VLOOKUP($A214,'SegEnds_NonXtal_BW#'!$A:$Z,21,FALSE)+VLOOKUP($A214,A:AL,31,FALSE)-50),"-",(VLOOKUP($A214,'SegEnds_NonXtal_BW#'!$A:$Z,21,FALSE)+VLOOKUP($A214,A:AL,31,FALSE)-50))</f>
        <v>249</v>
      </c>
      <c r="AE214" s="3">
        <v>270</v>
      </c>
      <c r="AF214" s="3">
        <f>IF(ISERROR((VLOOKUP($A214,'SegEnds_NonXtal_BW#'!$A:$Z,22,FALSE)+VLOOKUP($A214,A:AL,31,FALSE)-50)),"-",(VLOOKUP($A214,'SegEnds_NonXtal_BW#'!$A:$Z,22,FALSE)+VLOOKUP($A214,A:AL,31,FALSE)-50))</f>
        <v>284</v>
      </c>
      <c r="AG214" s="3">
        <f>IF(ISERROR(VLOOKUP($A214,'SegEnds_NonXtal_BW#'!$A:$Z,23,FALSE)+VLOOKUP($A214,A:AL,34,FALSE)-50),"-",(VLOOKUP($A214,'SegEnds_NonXtal_BW#'!$A:$Z,23,FALSE)+VLOOKUP($A214,A:AL,34,FALSE)-50))</f>
        <v>288</v>
      </c>
      <c r="AH214" s="3">
        <v>314</v>
      </c>
      <c r="AI214" s="3">
        <f>IF(ISERROR((VLOOKUP($A214,'SegEnds_NonXtal_BW#'!$A:$Z,24,FALSE)+VLOOKUP($A214,A:AL,34,FALSE)-50)),"-",(VLOOKUP($A214,'SegEnds_NonXtal_BW#'!$A:$Z,24,FALSE)+VLOOKUP($A214,A:AL,34,FALSE)-50))</f>
        <v>320</v>
      </c>
      <c r="AJ214" s="3">
        <f>IF(ISERROR(VLOOKUP($A214,'SegEnds_NonXtal_BW#'!$A:$Z,25,FALSE)+VLOOKUP($A214,A:AL,37,FALSE)-50),"-",(VLOOKUP($A214,'SegEnds_NonXtal_BW#'!$A:$Z,25,FALSE)+VLOOKUP($A214,A:AL,37,FALSE)-50))</f>
        <v>321</v>
      </c>
      <c r="AK214" s="3">
        <v>324</v>
      </c>
      <c r="AL214" s="3">
        <f>IF(ISERROR((VLOOKUP($A214,'SegEnds_NonXtal_BW#'!$A:$Z,26,FALSE)+VLOOKUP($A214,A:AL,37,FALSE)-50)),"-",(VLOOKUP($A214,'SegEnds_NonXtal_BW#'!$A:$Z,26,FALSE)+VLOOKUP($A214,A:AL,37,FALSE)-50))</f>
        <v>331</v>
      </c>
      <c r="AM214" s="28" t="str">
        <f>VLOOKUP(A214,Classification!A:B,2,FALSE)</f>
        <v>A</v>
      </c>
      <c r="AN214" s="28" t="b">
        <f>AND(IF(Y214="-",IF(AA214-W214&gt;3,TRUE,FALSE),TRUE),IF(M214="-",IF(O214-K214&gt;3,TRUE,FALSE),TRUE),C214&lt;E214,OR(E214&lt;F214,F214="-"),OR(F214&lt;H214,F214="-"),OR(H214&lt;I214,H214="-"),I214&lt;K214,OR(K214&lt;L214,L214="-"),OR(L214&lt;N214,L214="-"),OR(N214&lt;O214,N214="-"),O214&lt;Q214,OR(Q214&lt;R214,R214="-"),OR(R214&lt;T214,R214="-"),OR(T214&lt;U214,T214="-"),U214&lt;W214,OR(W214&lt;X214,X214="-"),OR(X214&lt;Z214,X214="-"),OR(Z214&lt;AA214,Z214="-"),AA214&lt;AC214,AC214&lt;AD214,AD214&lt;AF214,AF214&lt;AG214,AG214&lt;AI214,OR(AI214&lt;AJ214,AJ214="-"),OR(AJ214&lt;AL214,AJ214="-"))</f>
        <v>1</v>
      </c>
      <c r="AO214" s="3" t="str">
        <f>IF(ISERROR(MATCH(A214,'SegEnds_Xtal_Prot#'!B:B, 0)), "NoXtal", "Xtal")</f>
        <v>NoXtal</v>
      </c>
      <c r="AP214" s="3" t="str">
        <f>IF(ISERROR(F214-E214),"-",F214-E214)</f>
        <v>-</v>
      </c>
      <c r="AQ214" s="3" t="str">
        <f>IF(ISERROR(I214-H214),"-",I214-H214)</f>
        <v>-</v>
      </c>
      <c r="AR214" s="3" t="str">
        <f>IF(ISERROR(L214-K214),"-",L214-K214)</f>
        <v>-</v>
      </c>
      <c r="AS214" s="3" t="str">
        <f>IF(ISERROR(O214-N214),"-",O214-N214)</f>
        <v>-</v>
      </c>
      <c r="AT214" s="3">
        <f>IF(ISERROR(R214-Q214),"-",R214-Q214)</f>
        <v>1</v>
      </c>
      <c r="AU214" s="3">
        <f>IF(ISERROR(U214-T214),"-",U214-T214)</f>
        <v>1</v>
      </c>
      <c r="AV214" s="3">
        <f>IF(ISERROR(X214-W214),"-",X214-W214)</f>
        <v>12</v>
      </c>
      <c r="AW214" s="3">
        <f>IF(ISERROR(AA214-Z214),"-",AA214-Z214)</f>
        <v>4</v>
      </c>
      <c r="AX214" s="3">
        <f>IF(ISERROR(AD214-AC214),"-",AD214-AC214)</f>
        <v>7</v>
      </c>
      <c r="AY214" s="3">
        <f>IF(ISERROR(AG214-AF214),"-",AG214-AF214)</f>
        <v>4</v>
      </c>
      <c r="AZ214" s="3">
        <f>IF(ISERROR(AJ214-AI214),"-",AJ214-AI214)</f>
        <v>1</v>
      </c>
      <c r="BA214" s="3">
        <f>IF(ISERROR(LEN(VLOOKUP(A214,Seqs!A:E,2,FALSE))-AL214),"-",LEN(VLOOKUP(A214,Seqs!A:E,2,FALSE))-AL214)</f>
        <v>23</v>
      </c>
      <c r="BB214" s="16">
        <f>J214-D214</f>
        <v>27</v>
      </c>
      <c r="BC214" s="9">
        <f>IF(ISERROR(V214-S214),"-",V214-S214)</f>
        <v>20</v>
      </c>
      <c r="BD214" s="3">
        <f>J214-D214</f>
        <v>27</v>
      </c>
      <c r="BE214" s="3">
        <f>AE214-AB214</f>
        <v>50</v>
      </c>
      <c r="BF214" s="3">
        <f>AH214-AE214</f>
        <v>44</v>
      </c>
    </row>
    <row r="215" spans="1:59" s="3" customFormat="1" x14ac:dyDescent="0.2">
      <c r="A215" s="3" t="s">
        <v>354</v>
      </c>
      <c r="B215" s="3" t="str">
        <f>LOWER(VLOOKUP(A215,Xtal_Templ!A:B,2,FALSE))</f>
        <v>p2y12_human</v>
      </c>
      <c r="C215" s="3">
        <f>VLOOKUP($A215,'SegEnds_NonXtal_BW#'!$A:$Z,3,FALSE)+D215-50</f>
        <v>18</v>
      </c>
      <c r="D215" s="3">
        <v>40</v>
      </c>
      <c r="E215" s="3">
        <f>IF(ISERROR(VLOOKUP($A215,'SegEnds_NonXtal_BW#'!$A:$Z,4,FALSE)+VLOOKUP($A215,A:AL,4,FALSE)-50),"-",(VLOOKUP($A215,'SegEnds_NonXtal_BW#'!$A:$Z,4,FALSE)+VLOOKUP($A215,A:AL,4,FALSE)-50))</f>
        <v>50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54</v>
      </c>
      <c r="J215" s="3">
        <v>67</v>
      </c>
      <c r="K215" s="3">
        <f>VLOOKUP($A215,'SegEnds_NonXtal_BW#'!$A:$Z,8,FALSE)+VLOOKUP($A215,A:AL,10,FALSE)-50</f>
        <v>83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87</v>
      </c>
      <c r="P215" s="3">
        <v>119</v>
      </c>
      <c r="Q215" s="3">
        <f>VLOOKUP($A215,'SegEnds_NonXtal_BW#'!$A:$Z,12,FALSE)+VLOOKUP($A215,A:AL,16,FALSE)-50</f>
        <v>125</v>
      </c>
      <c r="R215" s="3">
        <f>IF(ISERROR(VLOOKUP($A215,'SegEnds_NonXtal_BW#'!$A:$Z,13,FALSE)+VLOOKUP($A215,A:AL,19,FALSE)-50),"-",VLOOKUP($A215,'SegEnds_NonXtal_BW#'!$A:$Z,13,FALSE)+VLOOKUP($A215,A:AL,19,FALSE)-50)</f>
        <v>126</v>
      </c>
      <c r="S215" s="3">
        <v>126</v>
      </c>
      <c r="T215" s="103">
        <f>IF(ISERROR(VLOOKUP($A215,'SegEnds_NonXtal_BW#'!$A:$Z,14,FALSE)+VLOOKUP($A215,A:AL,19,FALSE)-50),"-",(VLOOKUP($A215,'SegEnds_NonXtal_BW#'!$A:$Z,14,FALSE)+VLOOKUP($A215,A:AL,19,FALSE)-50))</f>
        <v>133</v>
      </c>
      <c r="U215" s="9">
        <f>IF(ISERROR(VLOOKUP($A215,'SegEnds_NonXtal_BW#'!$A:$Z,15,FALSE)+VLOOKUP($A215,A:AL,22,FALSE)-50),"-",VLOOKUP($A215,'SegEnds_NonXtal_BW#'!$A:$Z,15,FALSE)+VLOOKUP($A215,A:AL,22,FALSE)-50)</f>
        <v>134</v>
      </c>
      <c r="V215" s="3">
        <v>146</v>
      </c>
      <c r="W215" s="3">
        <f>IF(ISERROR(VLOOKUP($A215,'SegEnds_NonXtal_BW#'!$A:$Z,16,FALSE)+VLOOKUP($A215,A:AL,22,FALSE)-50),"-",(VLOOKUP($A215,'SegEnds_NonXtal_BW#'!$A:$Z,16,FALSE)+VLOOKUP($A215,A:AL,22,FALSE)-50))</f>
        <v>160</v>
      </c>
      <c r="X215" s="3">
        <f>IF(ISERROR(VLOOKUP($A215,'SegEnds_NonXtal_BW#'!$A:$Z,17,FALSE)+VLOOKUP($A215,A:AL,25,FALSE)-50),"-",(VLOOKUP($A215,'SegEnds_NonXtal_BW#'!$A:$Z,17,FALSE)+VLOOKUP($A215,A:AL,25,FALSE)-50))</f>
        <v>172</v>
      </c>
      <c r="Y215" s="3">
        <v>172</v>
      </c>
      <c r="Z215" s="3">
        <f>Y215+2</f>
        <v>174</v>
      </c>
      <c r="AA215" s="3">
        <f>IF(ISERROR(VLOOKUP($A215,'SegEnds_NonXtal_BW#'!$A:$Z,19,FALSE)+VLOOKUP($A215,A:AL,28,FALSE)-50),"-",(VLOOKUP($A215,'SegEnds_NonXtal_BW#'!$A:$Z,19,FALSE)+VLOOKUP($A215,A:AL,28,FALSE)-50))</f>
        <v>178</v>
      </c>
      <c r="AB215" s="3">
        <v>198</v>
      </c>
      <c r="AC215" s="3">
        <f>IF(ISERROR((VLOOKUP($A215,'SegEnds_NonXtal_BW#'!$A:$Z,20,FALSE)+VLOOKUP($A215,A:AL,28,FALSE)-50)),"-",(VLOOKUP($A215,'SegEnds_NonXtal_BW#'!$A:$Z,20,FALSE)+VLOOKUP($A215,A:AL,28,FALSE)-50))</f>
        <v>220</v>
      </c>
      <c r="AD215" s="3">
        <f>IF(ISERROR(VLOOKUP($A215,'SegEnds_NonXtal_BW#'!$A:$Z,21,FALSE)+VLOOKUP($A215,A:AL,31,FALSE)-50),"-",(VLOOKUP($A215,'SegEnds_NonXtal_BW#'!$A:$Z,21,FALSE)+VLOOKUP($A215,A:AL,31,FALSE)-50))</f>
        <v>227</v>
      </c>
      <c r="AE215" s="3">
        <v>248</v>
      </c>
      <c r="AF215" s="3">
        <f>IF(ISERROR((VLOOKUP($A215,'SegEnds_NonXtal_BW#'!$A:$Z,22,FALSE)+VLOOKUP($A215,A:AL,31,FALSE)-50)),"-",(VLOOKUP($A215,'SegEnds_NonXtal_BW#'!$A:$Z,22,FALSE)+VLOOKUP($A215,A:AL,31,FALSE)-50))</f>
        <v>262</v>
      </c>
      <c r="AG215" s="3">
        <f>IF(ISERROR(VLOOKUP($A215,'SegEnds_NonXtal_BW#'!$A:$Z,23,FALSE)+VLOOKUP($A215,A:AL,34,FALSE)-50),"-",(VLOOKUP($A215,'SegEnds_NonXtal_BW#'!$A:$Z,23,FALSE)+VLOOKUP($A215,A:AL,34,FALSE)-50))</f>
        <v>266</v>
      </c>
      <c r="AH215" s="3">
        <v>292</v>
      </c>
      <c r="AI215" s="3">
        <f>IF(ISERROR((VLOOKUP($A215,'SegEnds_NonXtal_BW#'!$A:$Z,24,FALSE)+VLOOKUP($A215,A:AL,34,FALSE)-50)),"-",(VLOOKUP($A215,'SegEnds_NonXtal_BW#'!$A:$Z,24,FALSE)+VLOOKUP($A215,A:AL,34,FALSE)-50))</f>
        <v>298</v>
      </c>
      <c r="AJ215" s="3">
        <f>IF(ISERROR(VLOOKUP($A215,'SegEnds_NonXtal_BW#'!$A:$Z,25,FALSE)+VLOOKUP($A215,A:AL,37,FALSE)-50),"-",(VLOOKUP($A215,'SegEnds_NonXtal_BW#'!$A:$Z,25,FALSE)+VLOOKUP($A215,A:AL,37,FALSE)-50))</f>
        <v>299</v>
      </c>
      <c r="AK215" s="3">
        <v>302</v>
      </c>
      <c r="AL215" s="3">
        <f>IF(ISERROR((VLOOKUP($A215,'SegEnds_NonXtal_BW#'!$A:$Z,26,FALSE)+VLOOKUP($A215,A:AL,37,FALSE)-50)),"-",(VLOOKUP($A215,'SegEnds_NonXtal_BW#'!$A:$Z,26,FALSE)+VLOOKUP($A215,A:AL,37,FALSE)-50))</f>
        <v>309</v>
      </c>
      <c r="AM215" s="28" t="str">
        <f>VLOOKUP(A215,Classification!A:B,2,FALSE)</f>
        <v>A</v>
      </c>
      <c r="AN215" s="28" t="b">
        <f>AND(IF(Y215="-",IF(AA215-W215&gt;3,TRUE,FALSE),TRUE),IF(M215="-",IF(O215-K215&gt;3,TRUE,FALSE),TRUE),C215&lt;E215,OR(E215&lt;F215,F215="-"),OR(F215&lt;H215,F215="-"),OR(H215&lt;I215,H215="-"),I215&lt;K215,OR(K215&lt;L215,L215="-"),OR(L215&lt;N215,L215="-"),OR(N215&lt;O215,N215="-"),O215&lt;Q215,OR(Q215&lt;R215,R215="-"),OR(R215&lt;T215,R215="-"),OR(T215&lt;U215,T215="-"),U215&lt;W215,OR(W215&lt;X215,X215="-"),OR(X215&lt;Z215,X215="-"),OR(Z215&lt;AA215,Z215="-"),AA215&lt;AC215,AC215&lt;AD215,AD215&lt;AF215,AF215&lt;AG215,AG215&lt;AI215,OR(AI215&lt;AJ215,AJ215="-"),OR(AJ215&lt;AL215,AJ215="-"))</f>
        <v>1</v>
      </c>
      <c r="AO215" s="3" t="str">
        <f>IF(ISERROR(MATCH(A215,'SegEnds_Xtal_Prot#'!B:B, 0)), "NoXtal", "Xtal")</f>
        <v>NoXtal</v>
      </c>
      <c r="AP215" s="3" t="str">
        <f>IF(ISERROR(F215-E215),"-",F215-E215)</f>
        <v>-</v>
      </c>
      <c r="AQ215" s="3" t="str">
        <f>IF(ISERROR(I215-H215),"-",I215-H215)</f>
        <v>-</v>
      </c>
      <c r="AR215" s="3" t="str">
        <f>IF(ISERROR(L215-K215),"-",L215-K215)</f>
        <v>-</v>
      </c>
      <c r="AS215" s="3" t="str">
        <f>IF(ISERROR(O215-N215),"-",O215-N215)</f>
        <v>-</v>
      </c>
      <c r="AT215" s="3">
        <f>IF(ISERROR(R215-Q215),"-",R215-Q215)</f>
        <v>1</v>
      </c>
      <c r="AU215" s="3">
        <f>IF(ISERROR(U215-T215),"-",U215-T215)</f>
        <v>1</v>
      </c>
      <c r="AV215" s="3">
        <f>IF(ISERROR(X215-W215),"-",X215-W215)</f>
        <v>12</v>
      </c>
      <c r="AW215" s="3">
        <f>IF(ISERROR(AA215-Z215),"-",AA215-Z215)</f>
        <v>4</v>
      </c>
      <c r="AX215" s="3">
        <f>IF(ISERROR(AD215-AC215),"-",AD215-AC215)</f>
        <v>7</v>
      </c>
      <c r="AY215" s="3">
        <f>IF(ISERROR(AG215-AF215),"-",AG215-AF215)</f>
        <v>4</v>
      </c>
      <c r="AZ215" s="3">
        <f>IF(ISERROR(AJ215-AI215),"-",AJ215-AI215)</f>
        <v>1</v>
      </c>
      <c r="BA215" s="3">
        <f>IF(ISERROR(LEN(VLOOKUP(A215,Seqs!A:E,2,FALSE))-AL215),"-",LEN(VLOOKUP(A215,Seqs!A:E,2,FALSE))-AL215)</f>
        <v>29</v>
      </c>
      <c r="BB215" s="16">
        <f>J215-D215</f>
        <v>27</v>
      </c>
      <c r="BC215" s="9">
        <f>IF(ISERROR(V215-S215),"-",V215-S215)</f>
        <v>20</v>
      </c>
      <c r="BD215" s="3">
        <f>J215-D215</f>
        <v>27</v>
      </c>
      <c r="BE215" s="3">
        <f>AE215-AB215</f>
        <v>50</v>
      </c>
      <c r="BF215" s="3">
        <f>AH215-AE215</f>
        <v>44</v>
      </c>
    </row>
    <row r="216" spans="1:59" s="3" customFormat="1" x14ac:dyDescent="0.2">
      <c r="A216" s="3" t="s">
        <v>355</v>
      </c>
      <c r="B216" s="3" t="str">
        <f>LOWER(VLOOKUP(A216,Xtal_Templ!A:B,2,FALSE))</f>
        <v>par1_human</v>
      </c>
      <c r="C216" s="3">
        <f>VLOOKUP($A216,'SegEnds_NonXtal_BW#'!$A:$Z,3,FALSE)+D216-50</f>
        <v>99</v>
      </c>
      <c r="D216" s="3">
        <v>120</v>
      </c>
      <c r="E216" s="3">
        <f>IF(ISERROR(VLOOKUP($A216,'SegEnds_NonXtal_BW#'!$A:$Z,4,FALSE)+VLOOKUP($A216,A:AL,4,FALSE)-50),"-",(VLOOKUP($A216,'SegEnds_NonXtal_BW#'!$A:$Z,4,FALSE)+VLOOKUP($A216,A:AL,4,FALSE)-50))</f>
        <v>130</v>
      </c>
      <c r="F216" s="3">
        <f>G216-2</f>
        <v>131</v>
      </c>
      <c r="G216" s="3">
        <v>133</v>
      </c>
      <c r="H216" s="3">
        <f>G216+1</f>
        <v>134</v>
      </c>
      <c r="I216" s="3">
        <f>H216+1</f>
        <v>135</v>
      </c>
      <c r="J216" s="3">
        <v>148</v>
      </c>
      <c r="K216" s="3">
        <f>VLOOKUP($A216,'SegEnds_NonXtal_BW#'!$A:$Z,8,FALSE)+VLOOKUP($A216,A:AL,10,FALSE)-50</f>
        <v>164</v>
      </c>
      <c r="L216" s="3">
        <f>M216-1</f>
        <v>167</v>
      </c>
      <c r="M216" s="3">
        <v>168</v>
      </c>
      <c r="N216" s="3">
        <f>M216+2</f>
        <v>170</v>
      </c>
      <c r="O216" s="3">
        <f>N216+1</f>
        <v>171</v>
      </c>
      <c r="P216" s="3">
        <v>200</v>
      </c>
      <c r="Q216" s="3">
        <f>VLOOKUP($A216,'SegEnds_NonXtal_BW#'!$A:$Z,12,FALSE)+VLOOKUP($A216,A:AL,16,FALSE)-50</f>
        <v>206</v>
      </c>
      <c r="R216" s="3">
        <f>IF(ISERROR(VLOOKUP($A216,'SegEnds_NonXtal_BW#'!$A:$Z,13,FALSE)+VLOOKUP($A216,A:AL,19,FALSE)-50),"-",VLOOKUP($A216,'SegEnds_NonXtal_BW#'!$A:$Z,13,FALSE)+VLOOKUP($A216,A:AL,19,FALSE)-50)</f>
        <v>207</v>
      </c>
      <c r="S216" s="3">
        <v>207</v>
      </c>
      <c r="T216" s="103">
        <f>IF(ISERROR(VLOOKUP($A216,'SegEnds_NonXtal_BW#'!$A:$Z,14,FALSE)+VLOOKUP($A216,A:AL,19,FALSE)-50),"-",(VLOOKUP($A216,'SegEnds_NonXtal_BW#'!$A:$Z,14,FALSE)+VLOOKUP($A216,A:AL,19,FALSE)-50))</f>
        <v>214</v>
      </c>
      <c r="U216" s="9">
        <f>IF(ISERROR(VLOOKUP($A216,'SegEnds_NonXtal_BW#'!$A:$Z,15,FALSE)+VLOOKUP($A216,A:AL,22,FALSE)-50),"-",VLOOKUP($A216,'SegEnds_NonXtal_BW#'!$A:$Z,15,FALSE)+VLOOKUP($A216,A:AL,22,FALSE)-50)</f>
        <v>215</v>
      </c>
      <c r="V216" s="3">
        <v>227</v>
      </c>
      <c r="W216" s="3">
        <f>IF(ISERROR(VLOOKUP($A216,'SegEnds_NonXtal_BW#'!$A:$Z,16,FALSE)+VLOOKUP($A216,A:AL,22,FALSE)-50),"-",(VLOOKUP($A216,'SegEnds_NonXtal_BW#'!$A:$Z,16,FALSE)+VLOOKUP($A216,A:AL,22,FALSE)-50))</f>
        <v>240</v>
      </c>
      <c r="X216" s="3">
        <f>IF(ISERROR(VLOOKUP($A216,'SegEnds_NonXtal_BW#'!$A:$Z,17,FALSE)+VLOOKUP($A216,A:AL,25,FALSE)-50),"-",(VLOOKUP($A216,'SegEnds_NonXtal_BW#'!$A:$Z,17,FALSE)+VLOOKUP($A216,A:AL,25,FALSE)-50))</f>
        <v>254</v>
      </c>
      <c r="Y216" s="3">
        <v>254</v>
      </c>
      <c r="Z216" s="3">
        <f>Y216+2</f>
        <v>256</v>
      </c>
      <c r="AA216" s="3">
        <f>IF(ISERROR(VLOOKUP($A216,'SegEnds_NonXtal_BW#'!$A:$Z,19,FALSE)+VLOOKUP($A216,A:AL,28,FALSE)-50),"-",(VLOOKUP($A216,'SegEnds_NonXtal_BW#'!$A:$Z,19,FALSE)+VLOOKUP($A216,A:AL,28,FALSE)-50))</f>
        <v>264</v>
      </c>
      <c r="AB216" s="3">
        <v>282</v>
      </c>
      <c r="AC216" s="3">
        <f>IF(ISERROR((VLOOKUP($A216,'SegEnds_NonXtal_BW#'!$A:$Z,20,FALSE)+VLOOKUP($A216,A:AL,28,FALSE)-50)),"-",(VLOOKUP($A216,'SegEnds_NonXtal_BW#'!$A:$Z,20,FALSE)+VLOOKUP($A216,A:AL,28,FALSE)-50))</f>
        <v>299</v>
      </c>
      <c r="AD216" s="3">
        <f>IF(ISERROR(VLOOKUP($A216,'SegEnds_NonXtal_BW#'!$A:$Z,21,FALSE)+VLOOKUP($A216,A:AL,31,FALSE)-50),"-",(VLOOKUP($A216,'SegEnds_NonXtal_BW#'!$A:$Z,21,FALSE)+VLOOKUP($A216,A:AL,31,FALSE)-50))</f>
        <v>304</v>
      </c>
      <c r="AE216" s="3">
        <v>328</v>
      </c>
      <c r="AF216" s="3">
        <f>IF(ISERROR((VLOOKUP($A216,'SegEnds_NonXtal_BW#'!$A:$Z,22,FALSE)+VLOOKUP($A216,A:AL,31,FALSE)-50)),"-",(VLOOKUP($A216,'SegEnds_NonXtal_BW#'!$A:$Z,22,FALSE)+VLOOKUP($A216,A:AL,31,FALSE)-50))</f>
        <v>340</v>
      </c>
      <c r="AG216" s="3">
        <f>IF(ISERROR(VLOOKUP($A216,'SegEnds_NonXtal_BW#'!$A:$Z,23,FALSE)+VLOOKUP($A216,A:AL,34,FALSE)-50),"-",(VLOOKUP($A216,'SegEnds_NonXtal_BW#'!$A:$Z,23,FALSE)+VLOOKUP($A216,A:AL,34,FALSE)-50))</f>
        <v>346</v>
      </c>
      <c r="AH216" s="3">
        <v>368</v>
      </c>
      <c r="AI216" s="3">
        <f>IF(ISERROR((VLOOKUP($A216,'SegEnds_NonXtal_BW#'!$A:$Z,24,FALSE)+VLOOKUP($A216,A:AL,34,FALSE)-50)),"-",(VLOOKUP($A216,'SegEnds_NonXtal_BW#'!$A:$Z,24,FALSE)+VLOOKUP($A216,A:AL,34,FALSE)-50))</f>
        <v>374</v>
      </c>
      <c r="AJ216" s="3">
        <f>IF(ISERROR(VLOOKUP($A216,'SegEnds_NonXtal_BW#'!$A:$Z,25,FALSE)+VLOOKUP($A216,A:AL,37,FALSE)-50),"-",(VLOOKUP($A216,'SegEnds_NonXtal_BW#'!$A:$Z,25,FALSE)+VLOOKUP($A216,A:AL,37,FALSE)-50))</f>
        <v>375</v>
      </c>
      <c r="AK216" s="3">
        <v>378</v>
      </c>
      <c r="AL216" s="3">
        <f>IF(ISERROR((VLOOKUP($A216,'SegEnds_NonXtal_BW#'!$A:$Z,26,FALSE)+VLOOKUP($A216,A:AL,37,FALSE)-50)),"-",(VLOOKUP($A216,'SegEnds_NonXtal_BW#'!$A:$Z,26,FALSE)+VLOOKUP($A216,A:AL,37,FALSE)-50))</f>
        <v>389</v>
      </c>
      <c r="AM216" s="28" t="str">
        <f>VLOOKUP(A216,Classification!A:B,2,FALSE)</f>
        <v>A</v>
      </c>
      <c r="AN216" s="28" t="b">
        <f>AND(IF(Y216="-",IF(AA216-W216&gt;3,TRUE,FALSE),TRUE),IF(M216="-",IF(O216-K216&gt;3,TRUE,FALSE),TRUE),C216&lt;E216,OR(E216&lt;F216,F216="-"),OR(F216&lt;H216,F216="-"),OR(H216&lt;I216,H216="-"),I216&lt;K216,OR(K216&lt;L216,L216="-"),OR(L216&lt;N216,L216="-"),OR(N216&lt;O216,N216="-"),O216&lt;Q216,OR(Q216&lt;R216,R216="-"),OR(R216&lt;T216,R216="-"),OR(T216&lt;U216,T216="-"),U216&lt;W216,OR(W216&lt;X216,X216="-"),OR(X216&lt;Z216,X216="-"),OR(Z216&lt;AA216,Z216="-"),AA216&lt;AC216,AC216&lt;AD216,AD216&lt;AF216,AF216&lt;AG216,AG216&lt;AI216,OR(AI216&lt;AJ216,AJ216="-"),OR(AJ216&lt;AL216,AJ216="-"))</f>
        <v>1</v>
      </c>
      <c r="AO216" s="3" t="str">
        <f>IF(ISERROR(MATCH(A216,'SegEnds_Xtal_Prot#'!B:B, 0)), "NoXtal", "Xtal")</f>
        <v>Xtal</v>
      </c>
      <c r="AP216" s="3">
        <f>IF(ISERROR(F216-E216),"-",F216-E216)</f>
        <v>1</v>
      </c>
      <c r="AQ216" s="3">
        <f>IF(ISERROR(I216-H216),"-",I216-H216)</f>
        <v>1</v>
      </c>
      <c r="AR216" s="3">
        <f>IF(ISERROR(L216-K216),"-",L216-K216)</f>
        <v>3</v>
      </c>
      <c r="AS216" s="3">
        <f>IF(ISERROR(O216-N216),"-",O216-N216)</f>
        <v>1</v>
      </c>
      <c r="AT216" s="3">
        <f>IF(ISERROR(R216-Q216),"-",R216-Q216)</f>
        <v>1</v>
      </c>
      <c r="AU216" s="3">
        <f>IF(ISERROR(U216-T216),"-",U216-T216)</f>
        <v>1</v>
      </c>
      <c r="AV216" s="3">
        <f>IF(ISERROR(X216-W216),"-",X216-W216)</f>
        <v>14</v>
      </c>
      <c r="AW216" s="3">
        <f>IF(ISERROR(AA216-Z216),"-",AA216-Z216)</f>
        <v>8</v>
      </c>
      <c r="AX216" s="3">
        <f>IF(ISERROR(AD216-AC216),"-",AD216-AC216)</f>
        <v>5</v>
      </c>
      <c r="AY216" s="3">
        <f>IF(ISERROR(AG216-AF216),"-",AG216-AF216)</f>
        <v>6</v>
      </c>
      <c r="AZ216" s="3">
        <f>IF(ISERROR(AJ216-AI216),"-",AJ216-AI216)</f>
        <v>1</v>
      </c>
      <c r="BA216" s="3">
        <f>IF(ISERROR(LEN(VLOOKUP(A216,Seqs!A:E,2,FALSE))-AL216),"-",LEN(VLOOKUP(A216,Seqs!A:E,2,FALSE))-AL216)</f>
        <v>36</v>
      </c>
      <c r="BB216" s="16">
        <f>J216-D216</f>
        <v>28</v>
      </c>
      <c r="BC216" s="9">
        <f>IF(ISERROR(V216-S216),"-",V216-S216)</f>
        <v>20</v>
      </c>
      <c r="BD216" s="3">
        <f>J216-D216</f>
        <v>28</v>
      </c>
      <c r="BE216" s="3">
        <f>AE216-AB216</f>
        <v>46</v>
      </c>
    </row>
    <row r="217" spans="1:59" s="3" customFormat="1" x14ac:dyDescent="0.2">
      <c r="A217" s="3" t="s">
        <v>357</v>
      </c>
      <c r="B217" s="3" t="str">
        <f>LOWER(VLOOKUP(A217,Xtal_Templ!A:B,2,FALSE))</f>
        <v>par2_human</v>
      </c>
      <c r="C217" s="3">
        <f>VLOOKUP($A217,'SegEnds_NonXtal_BW#'!$A:$Z,3,FALSE)+D217-50</f>
        <v>90</v>
      </c>
      <c r="D217" s="3">
        <v>112</v>
      </c>
      <c r="E217" s="3">
        <f>IF(ISERROR(VLOOKUP($A217,'SegEnds_NonXtal_BW#'!$A:$Z,4,FALSE)+VLOOKUP($A217,A:AL,4,FALSE)-50),"-",(VLOOKUP($A217,'SegEnds_NonXtal_BW#'!$A:$Z,4,FALSE)+VLOOKUP($A217,A:AL,4,FALSE)-50))</f>
        <v>122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126</v>
      </c>
      <c r="J217" s="3">
        <v>139</v>
      </c>
      <c r="K217" s="3">
        <f>VLOOKUP($A217,'SegEnds_NonXtal_BW#'!$A:$Z,8,FALSE)+VLOOKUP($A217,A:AL,10,FALSE)-50</f>
        <v>155</v>
      </c>
      <c r="L217" s="3">
        <f>M217-1</f>
        <v>158</v>
      </c>
      <c r="M217" s="3">
        <v>159</v>
      </c>
      <c r="N217" s="3">
        <f>M217+2</f>
        <v>161</v>
      </c>
      <c r="O217" s="3">
        <f>N217+1</f>
        <v>162</v>
      </c>
      <c r="P217" s="3">
        <v>191</v>
      </c>
      <c r="Q217" s="3">
        <f>VLOOKUP($A217,'SegEnds_NonXtal_BW#'!$A:$Z,12,FALSE)+VLOOKUP($A217,A:AL,16,FALSE)-50</f>
        <v>197</v>
      </c>
      <c r="R217" s="3">
        <f>IF(ISERROR(VLOOKUP($A217,'SegEnds_NonXtal_BW#'!$A:$Z,13,FALSE)+VLOOKUP($A217,A:AL,19,FALSE)-50),"-",VLOOKUP($A217,'SegEnds_NonXtal_BW#'!$A:$Z,13,FALSE)+VLOOKUP($A217,A:AL,19,FALSE)-50)</f>
        <v>198</v>
      </c>
      <c r="S217" s="3">
        <v>198</v>
      </c>
      <c r="T217" s="103">
        <f>IF(ISERROR(VLOOKUP($A217,'SegEnds_NonXtal_BW#'!$A:$Z,14,FALSE)+VLOOKUP($A217,A:AL,19,FALSE)-50),"-",(VLOOKUP($A217,'SegEnds_NonXtal_BW#'!$A:$Z,14,FALSE)+VLOOKUP($A217,A:AL,19,FALSE)-50))</f>
        <v>205</v>
      </c>
      <c r="U217" s="9">
        <f>IF(ISERROR(VLOOKUP($A217,'SegEnds_NonXtal_BW#'!$A:$Z,15,FALSE)+VLOOKUP($A217,A:AL,22,FALSE)-50),"-",VLOOKUP($A217,'SegEnds_NonXtal_BW#'!$A:$Z,15,FALSE)+VLOOKUP($A217,A:AL,22,FALSE)-50)</f>
        <v>206</v>
      </c>
      <c r="V217" s="3">
        <v>218</v>
      </c>
      <c r="W217" s="3">
        <f>IF(ISERROR(VLOOKUP($A217,'SegEnds_NonXtal_BW#'!$A:$Z,16,FALSE)+VLOOKUP($A217,A:AL,22,FALSE)-50),"-",(VLOOKUP($A217,'SegEnds_NonXtal_BW#'!$A:$Z,16,FALSE)+VLOOKUP($A217,A:AL,22,FALSE)-50))</f>
        <v>230</v>
      </c>
      <c r="X217" s="3">
        <f>IF(ISERROR(VLOOKUP($A217,'SegEnds_NonXtal_BW#'!$A:$Z,17,FALSE)+VLOOKUP($A217,A:AL,25,FALSE)-50),"-",(VLOOKUP($A217,'SegEnds_NonXtal_BW#'!$A:$Z,17,FALSE)+VLOOKUP($A217,A:AL,25,FALSE)-50))</f>
        <v>252</v>
      </c>
      <c r="Y217" s="3">
        <v>252</v>
      </c>
      <c r="Z217" s="3">
        <f>Y217+2</f>
        <v>254</v>
      </c>
      <c r="AA217" s="3">
        <f>IF(ISERROR(VLOOKUP($A217,'SegEnds_NonXtal_BW#'!$A:$Z,19,FALSE)+VLOOKUP($A217,A:AL,28,FALSE)-50),"-",(VLOOKUP($A217,'SegEnds_NonXtal_BW#'!$A:$Z,19,FALSE)+VLOOKUP($A217,A:AL,28,FALSE)-50))</f>
        <v>259</v>
      </c>
      <c r="AB217" s="3">
        <v>274</v>
      </c>
      <c r="AC217" s="3">
        <f>IF(ISERROR((VLOOKUP($A217,'SegEnds_NonXtal_BW#'!$A:$Z,20,FALSE)+VLOOKUP($A217,A:AL,28,FALSE)-50)),"-",(VLOOKUP($A217,'SegEnds_NonXtal_BW#'!$A:$Z,20,FALSE)+VLOOKUP($A217,A:AL,28,FALSE)-50))</f>
        <v>292</v>
      </c>
      <c r="AD217" s="3">
        <f>IF(ISERROR(VLOOKUP($A217,'SegEnds_NonXtal_BW#'!$A:$Z,21,FALSE)+VLOOKUP($A217,A:AL,31,FALSE)-50),"-",(VLOOKUP($A217,'SegEnds_NonXtal_BW#'!$A:$Z,21,FALSE)+VLOOKUP($A217,A:AL,31,FALSE)-50))</f>
        <v>296</v>
      </c>
      <c r="AE217" s="3">
        <v>316</v>
      </c>
      <c r="AF217" s="3">
        <f>IF(ISERROR((VLOOKUP($A217,'SegEnds_NonXtal_BW#'!$A:$Z,22,FALSE)+VLOOKUP($A217,A:AL,31,FALSE)-50)),"-",(VLOOKUP($A217,'SegEnds_NonXtal_BW#'!$A:$Z,22,FALSE)+VLOOKUP($A217,A:AL,31,FALSE)-50))</f>
        <v>328</v>
      </c>
      <c r="AG217" s="3">
        <f>IF(ISERROR(VLOOKUP($A217,'SegEnds_NonXtal_BW#'!$A:$Z,23,FALSE)+VLOOKUP($A217,A:AL,34,FALSE)-50),"-",(VLOOKUP($A217,'SegEnds_NonXtal_BW#'!$A:$Z,23,FALSE)+VLOOKUP($A217,A:AL,34,FALSE)-50))</f>
        <v>333</v>
      </c>
      <c r="AH217" s="3">
        <v>355</v>
      </c>
      <c r="AI217" s="3">
        <f>IF(ISERROR((VLOOKUP($A217,'SegEnds_NonXtal_BW#'!$A:$Z,24,FALSE)+VLOOKUP($A217,A:AL,34,FALSE)-50)),"-",(VLOOKUP($A217,'SegEnds_NonXtal_BW#'!$A:$Z,24,FALSE)+VLOOKUP($A217,A:AL,34,FALSE)-50))</f>
        <v>361</v>
      </c>
      <c r="AJ217" s="3" t="s">
        <v>23</v>
      </c>
      <c r="AK217" s="3" t="s">
        <v>23</v>
      </c>
      <c r="AL217" s="3" t="s">
        <v>23</v>
      </c>
      <c r="AM217" s="28" t="str">
        <f>VLOOKUP(A217,Classification!A:B,2,FALSE)</f>
        <v>A</v>
      </c>
      <c r="AN217" s="28" t="b">
        <f>AND(IF(Y217="-",IF(AA217-W217&gt;3,TRUE,FALSE),TRUE),IF(M217="-",IF(O217-K217&gt;3,TRUE,FALSE),TRUE),C217&lt;E217,OR(E217&lt;F217,F217="-"),OR(F217&lt;H217,F217="-"),OR(H217&lt;I217,H217="-"),I217&lt;K217,OR(K217&lt;L217,L217="-"),OR(L217&lt;N217,L217="-"),OR(N217&lt;O217,N217="-"),O217&lt;Q217,OR(Q217&lt;R217,R217="-"),OR(R217&lt;T217,R217="-"),OR(T217&lt;U217,T217="-"),U217&lt;W217,OR(W217&lt;X217,X217="-"),OR(X217&lt;Z217,X217="-"),OR(Z217&lt;AA217,Z217="-"),AA217&lt;AC217,AC217&lt;AD217,AD217&lt;AF217,AF217&lt;AG217,AG217&lt;AI217,OR(AI217&lt;AJ217,AJ217="-"),OR(AJ217&lt;AL217,AJ217="-"))</f>
        <v>1</v>
      </c>
      <c r="AO217" s="3" t="str">
        <f>IF(ISERROR(MATCH(A217,'SegEnds_Xtal_Prot#'!B:B, 0)), "NoXtal", "Xtal")</f>
        <v>NoXtal</v>
      </c>
      <c r="AP217" s="3" t="str">
        <f>IF(ISERROR(F217-E217),"-",F217-E217)</f>
        <v>-</v>
      </c>
      <c r="AQ217" s="3" t="str">
        <f>IF(ISERROR(I217-H217),"-",I217-H217)</f>
        <v>-</v>
      </c>
      <c r="AR217" s="3">
        <f>IF(ISERROR(L217-K217),"-",L217-K217)</f>
        <v>3</v>
      </c>
      <c r="AS217" s="3">
        <f>IF(ISERROR(O217-N217),"-",O217-N217)</f>
        <v>1</v>
      </c>
      <c r="AT217" s="3">
        <f>IF(ISERROR(R217-Q217),"-",R217-Q217)</f>
        <v>1</v>
      </c>
      <c r="AU217" s="3">
        <f>IF(ISERROR(U217-T217),"-",U217-T217)</f>
        <v>1</v>
      </c>
      <c r="AV217" s="3">
        <f>IF(ISERROR(X217-W217),"-",X217-W217)</f>
        <v>22</v>
      </c>
      <c r="AW217" s="3">
        <f>IF(ISERROR(AA217-Z217),"-",AA217-Z217)</f>
        <v>5</v>
      </c>
      <c r="AX217" s="3">
        <f>IF(ISERROR(AD217-AC217),"-",AD217-AC217)</f>
        <v>4</v>
      </c>
      <c r="AY217" s="3">
        <f>IF(ISERROR(AG217-AF217),"-",AG217-AF217)</f>
        <v>5</v>
      </c>
      <c r="AZ217" s="3" t="str">
        <f>IF(ISERROR(AJ217-AI217),"-",AJ217-AI217)</f>
        <v>-</v>
      </c>
      <c r="BA217" s="3" t="str">
        <f>IF(ISERROR(LEN(VLOOKUP(A217,Seqs!A:E,2,FALSE))-AL217),"-",LEN(VLOOKUP(A217,Seqs!A:E,2,FALSE))-AL217)</f>
        <v>-</v>
      </c>
      <c r="BB217" s="16">
        <f>J217-D217</f>
        <v>27</v>
      </c>
      <c r="BC217" s="9">
        <f>IF(ISERROR(V217-S217),"-",V217-S217)</f>
        <v>20</v>
      </c>
      <c r="BD217" s="3">
        <f>J217-D217</f>
        <v>27</v>
      </c>
      <c r="BE217" s="3">
        <f>AE217-AB217</f>
        <v>42</v>
      </c>
      <c r="BF217" s="3">
        <f>AH217-AE217</f>
        <v>39</v>
      </c>
      <c r="BG217" s="3" t="s">
        <v>1313</v>
      </c>
    </row>
    <row r="218" spans="1:59" s="3" customFormat="1" x14ac:dyDescent="0.2">
      <c r="A218" s="3" t="s">
        <v>358</v>
      </c>
      <c r="B218" s="3" t="str">
        <f>LOWER(VLOOKUP(A218,Xtal_Templ!A:B,2,FALSE))</f>
        <v>par2_human</v>
      </c>
      <c r="C218" s="3">
        <f>VLOOKUP($A218,'SegEnds_NonXtal_BW#'!$A:$Z,3,FALSE)+D218-50</f>
        <v>73</v>
      </c>
      <c r="D218" s="3">
        <v>95</v>
      </c>
      <c r="E218" s="3">
        <f>IF(ISERROR(VLOOKUP($A218,'SegEnds_NonXtal_BW#'!$A:$Z,4,FALSE)+VLOOKUP($A218,A:AL,4,FALSE)-50),"-",(VLOOKUP($A218,'SegEnds_NonXtal_BW#'!$A:$Z,4,FALSE)+VLOOKUP($A218,A:AL,4,FALSE)-50))</f>
        <v>105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109</v>
      </c>
      <c r="J218" s="3">
        <v>122</v>
      </c>
      <c r="K218" s="3">
        <f>VLOOKUP($A218,'SegEnds_NonXtal_BW#'!$A:$Z,8,FALSE)+VLOOKUP($A218,A:AL,10,FALSE)-50</f>
        <v>138</v>
      </c>
      <c r="L218" s="3">
        <f>M218-1</f>
        <v>141</v>
      </c>
      <c r="M218" s="3">
        <v>142</v>
      </c>
      <c r="N218" s="3">
        <f>M218+2</f>
        <v>144</v>
      </c>
      <c r="O218" s="3">
        <f>N218+1</f>
        <v>145</v>
      </c>
      <c r="P218" s="3">
        <v>174</v>
      </c>
      <c r="Q218" s="3">
        <f>VLOOKUP($A218,'SegEnds_NonXtal_BW#'!$A:$Z,12,FALSE)+VLOOKUP($A218,A:AL,16,FALSE)-50</f>
        <v>180</v>
      </c>
      <c r="R218" s="3">
        <f>IF(ISERROR(VLOOKUP($A218,'SegEnds_NonXtal_BW#'!$A:$Z,13,FALSE)+VLOOKUP($A218,A:AL,19,FALSE)-50),"-",VLOOKUP($A218,'SegEnds_NonXtal_BW#'!$A:$Z,13,FALSE)+VLOOKUP($A218,A:AL,19,FALSE)-50)</f>
        <v>181</v>
      </c>
      <c r="S218" s="3">
        <v>181</v>
      </c>
      <c r="T218" s="103">
        <f>IF(ISERROR(VLOOKUP($A218,'SegEnds_NonXtal_BW#'!$A:$Z,14,FALSE)+VLOOKUP($A218,A:AL,19,FALSE)-50),"-",(VLOOKUP($A218,'SegEnds_NonXtal_BW#'!$A:$Z,14,FALSE)+VLOOKUP($A218,A:AL,19,FALSE)-50))</f>
        <v>188</v>
      </c>
      <c r="U218" s="9">
        <f>IF(ISERROR(VLOOKUP($A218,'SegEnds_NonXtal_BW#'!$A:$Z,15,FALSE)+VLOOKUP($A218,A:AL,22,FALSE)-50),"-",VLOOKUP($A218,'SegEnds_NonXtal_BW#'!$A:$Z,15,FALSE)+VLOOKUP($A218,A:AL,22,FALSE)-50)</f>
        <v>189</v>
      </c>
      <c r="V218" s="3">
        <v>201</v>
      </c>
      <c r="W218" s="3">
        <f>IF(ISERROR(VLOOKUP($A218,'SegEnds_NonXtal_BW#'!$A:$Z,16,FALSE)+VLOOKUP($A218,A:AL,22,FALSE)-50),"-",(VLOOKUP($A218,'SegEnds_NonXtal_BW#'!$A:$Z,16,FALSE)+VLOOKUP($A218,A:AL,22,FALSE)-50))</f>
        <v>213</v>
      </c>
      <c r="X218" s="3">
        <f>IF(ISERROR(VLOOKUP($A218,'SegEnds_NonXtal_BW#'!$A:$Z,17,FALSE)+VLOOKUP($A218,A:AL,25,FALSE)-50),"-",(VLOOKUP($A218,'SegEnds_NonXtal_BW#'!$A:$Z,17,FALSE)+VLOOKUP($A218,A:AL,25,FALSE)-50))</f>
        <v>228</v>
      </c>
      <c r="Y218" s="3">
        <v>228</v>
      </c>
      <c r="Z218" s="3">
        <f>Y218+2</f>
        <v>230</v>
      </c>
      <c r="AA218" s="3">
        <f>IF(ISERROR(VLOOKUP($A218,'SegEnds_NonXtal_BW#'!$A:$Z,19,FALSE)+VLOOKUP($A218,A:AL,28,FALSE)-50),"-",(VLOOKUP($A218,'SegEnds_NonXtal_BW#'!$A:$Z,19,FALSE)+VLOOKUP($A218,A:AL,28,FALSE)-50))</f>
        <v>237</v>
      </c>
      <c r="AB218" s="3">
        <v>256</v>
      </c>
      <c r="AC218" s="3">
        <f>IF(ISERROR((VLOOKUP($A218,'SegEnds_NonXtal_BW#'!$A:$Z,20,FALSE)+VLOOKUP($A218,A:AL,28,FALSE)-50)),"-",(VLOOKUP($A218,'SegEnds_NonXtal_BW#'!$A:$Z,20,FALSE)+VLOOKUP($A218,A:AL,28,FALSE)-50))</f>
        <v>274</v>
      </c>
      <c r="AD218" s="3">
        <f>IF(ISERROR(VLOOKUP($A218,'SegEnds_NonXtal_BW#'!$A:$Z,21,FALSE)+VLOOKUP($A218,A:AL,31,FALSE)-50),"-",(VLOOKUP($A218,'SegEnds_NonXtal_BW#'!$A:$Z,21,FALSE)+VLOOKUP($A218,A:AL,31,FALSE)-50))</f>
        <v>278</v>
      </c>
      <c r="AE218" s="3">
        <v>298</v>
      </c>
      <c r="AF218" s="3">
        <f>IF(ISERROR((VLOOKUP($A218,'SegEnds_NonXtal_BW#'!$A:$Z,22,FALSE)+VLOOKUP($A218,A:AL,31,FALSE)-50)),"-",(VLOOKUP($A218,'SegEnds_NonXtal_BW#'!$A:$Z,22,FALSE)+VLOOKUP($A218,A:AL,31,FALSE)-50))</f>
        <v>310</v>
      </c>
      <c r="AG218" s="3">
        <f>IF(ISERROR(VLOOKUP($A218,'SegEnds_NonXtal_BW#'!$A:$Z,23,FALSE)+VLOOKUP($A218,A:AL,34,FALSE)-50),"-",(VLOOKUP($A218,'SegEnds_NonXtal_BW#'!$A:$Z,23,FALSE)+VLOOKUP($A218,A:AL,34,FALSE)-50))</f>
        <v>315</v>
      </c>
      <c r="AH218" s="3">
        <v>337</v>
      </c>
      <c r="AI218" s="3">
        <f>IF(ISERROR((VLOOKUP($A218,'SegEnds_NonXtal_BW#'!$A:$Z,24,FALSE)+VLOOKUP($A218,A:AL,34,FALSE)-50)),"-",(VLOOKUP($A218,'SegEnds_NonXtal_BW#'!$A:$Z,24,FALSE)+VLOOKUP($A218,A:AL,34,FALSE)-50))</f>
        <v>343</v>
      </c>
      <c r="AJ218" s="3">
        <f>IF(ISERROR(VLOOKUP($A218,'SegEnds_NonXtal_BW#'!$A:$Z,25,FALSE)+VLOOKUP($A218,A:AL,37,FALSE)-50),"-",(VLOOKUP($A218,'SegEnds_NonXtal_BW#'!$A:$Z,25,FALSE)+VLOOKUP($A218,A:AL,37,FALSE)-50))</f>
        <v>344</v>
      </c>
      <c r="AK218" s="3">
        <v>347</v>
      </c>
      <c r="AL218" s="3">
        <f>IF(ISERROR((VLOOKUP($A218,'SegEnds_NonXtal_BW#'!$A:$Z,26,FALSE)+VLOOKUP($A218,A:AL,37,FALSE)-50)),"-",(VLOOKUP($A218,'SegEnds_NonXtal_BW#'!$A:$Z,26,FALSE)+VLOOKUP($A218,A:AL,37,FALSE)-50))</f>
        <v>358</v>
      </c>
      <c r="AM218" s="28" t="str">
        <f>VLOOKUP(A218,Classification!A:B,2,FALSE)</f>
        <v>A</v>
      </c>
      <c r="AN218" s="28" t="b">
        <f>AND(IF(Y218="-",IF(AA218-W218&gt;3,TRUE,FALSE),TRUE),IF(M218="-",IF(O218-K218&gt;3,TRUE,FALSE),TRUE),C218&lt;E218,OR(E218&lt;F218,F218="-"),OR(F218&lt;H218,F218="-"),OR(H218&lt;I218,H218="-"),I218&lt;K218,OR(K218&lt;L218,L218="-"),OR(L218&lt;N218,L218="-"),OR(N218&lt;O218,N218="-"),O218&lt;Q218,OR(Q218&lt;R218,R218="-"),OR(R218&lt;T218,R218="-"),OR(T218&lt;U218,T218="-"),U218&lt;W218,OR(W218&lt;X218,X218="-"),OR(X218&lt;Z218,X218="-"),OR(Z218&lt;AA218,Z218="-"),AA218&lt;AC218,AC218&lt;AD218,AD218&lt;AF218,AF218&lt;AG218,AG218&lt;AI218,OR(AI218&lt;AJ218,AJ218="-"),OR(AJ218&lt;AL218,AJ218="-"))</f>
        <v>1</v>
      </c>
      <c r="AO218" s="3" t="str">
        <f>IF(ISERROR(MATCH(A218,'SegEnds_Xtal_Prot#'!B:B, 0)), "NoXtal", "Xtal")</f>
        <v>NoXtal</v>
      </c>
      <c r="AP218" s="3" t="str">
        <f>IF(ISERROR(F218-E218),"-",F218-E218)</f>
        <v>-</v>
      </c>
      <c r="AQ218" s="3" t="str">
        <f>IF(ISERROR(I218-H218),"-",I218-H218)</f>
        <v>-</v>
      </c>
      <c r="AR218" s="3">
        <f>IF(ISERROR(L218-K218),"-",L218-K218)</f>
        <v>3</v>
      </c>
      <c r="AS218" s="3">
        <f>IF(ISERROR(O218-N218),"-",O218-N218)</f>
        <v>1</v>
      </c>
      <c r="AT218" s="3">
        <f>IF(ISERROR(R218-Q218),"-",R218-Q218)</f>
        <v>1</v>
      </c>
      <c r="AU218" s="3">
        <f>IF(ISERROR(U218-T218),"-",U218-T218)</f>
        <v>1</v>
      </c>
      <c r="AV218" s="3">
        <f>IF(ISERROR(X218-W218),"-",X218-W218)</f>
        <v>15</v>
      </c>
      <c r="AW218" s="3">
        <f>IF(ISERROR(AA218-Z218),"-",AA218-Z218)</f>
        <v>7</v>
      </c>
      <c r="AX218" s="3">
        <f>IF(ISERROR(AD218-AC218),"-",AD218-AC218)</f>
        <v>4</v>
      </c>
      <c r="AY218" s="3">
        <f>IF(ISERROR(AG218-AF218),"-",AG218-AF218)</f>
        <v>5</v>
      </c>
      <c r="AZ218" s="3">
        <f>IF(ISERROR(AJ218-AI218),"-",AJ218-AI218)</f>
        <v>1</v>
      </c>
      <c r="BA218" s="3">
        <f>IF(ISERROR(LEN(VLOOKUP(A218,Seqs!A:E,2,FALSE))-AL218),"-",LEN(VLOOKUP(A218,Seqs!A:E,2,FALSE))-AL218)</f>
        <v>27</v>
      </c>
      <c r="BB218" s="16">
        <f>J218-D218</f>
        <v>27</v>
      </c>
      <c r="BC218" s="9">
        <f>IF(ISERROR(V218-S218),"-",V218-S218)</f>
        <v>20</v>
      </c>
      <c r="BD218" s="3">
        <f>J218-D218</f>
        <v>27</v>
      </c>
      <c r="BE218" s="3">
        <f>AE218-AB218</f>
        <v>42</v>
      </c>
      <c r="BF218" s="3">
        <f>AH218-AE218</f>
        <v>39</v>
      </c>
    </row>
    <row r="219" spans="1:59" s="3" customFormat="1" x14ac:dyDescent="0.2">
      <c r="A219" s="3" t="s">
        <v>359</v>
      </c>
      <c r="B219" s="3" t="str">
        <f>LOWER(VLOOKUP(A219,Xtal_Templ!A:B,2,FALSE))</f>
        <v>ntr1_rat</v>
      </c>
      <c r="C219" s="3">
        <f>VLOOKUP($A219,'SegEnds_NonXtal_BW#'!$A:$Z,3,FALSE)+D219-50</f>
        <v>13</v>
      </c>
      <c r="D219" s="3">
        <v>34</v>
      </c>
      <c r="E219" s="3">
        <f>IF(ISERROR(VLOOKUP($A219,'SegEnds_NonXtal_BW#'!$A:$Z,4,FALSE)+VLOOKUP($A219,A:AL,4,FALSE)-50),"-",(VLOOKUP($A219,'SegEnds_NonXtal_BW#'!$A:$Z,4,FALSE)+VLOOKUP($A219,A:AL,4,FALSE)-50))</f>
        <v>44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59</v>
      </c>
      <c r="J219" s="3">
        <v>72</v>
      </c>
      <c r="K219" s="3">
        <f>VLOOKUP($A219,'SegEnds_NonXtal_BW#'!$A:$Z,8,FALSE)+VLOOKUP($A219,A:AL,10,FALSE)-50</f>
        <v>90</v>
      </c>
      <c r="L219" s="3" t="str">
        <f>IF(ISERROR(VLOOKUP($A219,'SegEnds_NonXtal_BW#'!$A:$Z,9,FALSE)+VLOOKUP($A219,A:AL,13,FALSE)-50),"-",(VLOOKUP($A219,'SegEnds_NonXtal_BW#'!$A:$Z,9,FALSE)+VLOOKUP($A219,A:AL,13,FALSE)-50))</f>
        <v>-</v>
      </c>
      <c r="M219" s="3" t="s">
        <v>23</v>
      </c>
      <c r="N219" s="3" t="str">
        <f>IF(ISERROR(VLOOKUP($A219,'SegEnds_NonXtal_BW#'!$A:$Z,10,FALSE)+VLOOKUP($A219,A:AL,13,FALSE)-50),"-",(VLOOKUP($A219,'SegEnds_NonXtal_BW#'!$A:$Z,10,FALSE)+VLOOKUP($A219,A:AL,13,FALSE)-50))</f>
        <v>-</v>
      </c>
      <c r="O219" s="3">
        <f>VLOOKUP($A219,'SegEnds_NonXtal_BW#'!$A:$Z,11,FALSE)+VLOOKUP($A219,A:AL,16,FALSE)-50</f>
        <v>98</v>
      </c>
      <c r="P219" s="3">
        <v>130</v>
      </c>
      <c r="Q219" s="3">
        <f>VLOOKUP($A219,'SegEnds_NonXtal_BW#'!$A:$Z,12,FALSE)+VLOOKUP($A219,A:AL,16,FALSE)-50</f>
        <v>136</v>
      </c>
      <c r="R219" s="3">
        <f>IF(ISERROR(VLOOKUP($A219,'SegEnds_NonXtal_BW#'!$A:$Z,13,FALSE)+VLOOKUP($A219,A:AL,19,FALSE)-50),"-",VLOOKUP($A219,'SegEnds_NonXtal_BW#'!$A:$Z,13,FALSE)+VLOOKUP($A219,A:AL,19,FALSE)-50)</f>
        <v>137</v>
      </c>
      <c r="S219" s="3">
        <v>137</v>
      </c>
      <c r="T219" s="103">
        <f>IF(ISERROR(VLOOKUP($A219,'SegEnds_NonXtal_BW#'!$A:$Z,14,FALSE)+VLOOKUP($A219,A:AL,19,FALSE)-50),"-",(VLOOKUP($A219,'SegEnds_NonXtal_BW#'!$A:$Z,14,FALSE)+VLOOKUP($A219,A:AL,19,FALSE)-50))</f>
        <v>144</v>
      </c>
      <c r="U219" s="9">
        <f>IF(ISERROR(VLOOKUP($A219,'SegEnds_NonXtal_BW#'!$A:$Z,15,FALSE)+VLOOKUP($A219,A:AL,22,FALSE)-50),"-",VLOOKUP($A219,'SegEnds_NonXtal_BW#'!$A:$Z,15,FALSE)+VLOOKUP($A219,A:AL,22,FALSE)-50)</f>
        <v>145</v>
      </c>
      <c r="V219" s="3">
        <v>157</v>
      </c>
      <c r="W219" s="3">
        <f>IF(ISERROR(VLOOKUP($A219,'SegEnds_NonXtal_BW#'!$A:$Z,16,FALSE)+VLOOKUP($A219,A:AL,22,FALSE)-50),"-",(VLOOKUP($A219,'SegEnds_NonXtal_BW#'!$A:$Z,16,FALSE)+VLOOKUP($A219,A:AL,22,FALSE)-50))</f>
        <v>171</v>
      </c>
      <c r="X219" s="3">
        <f>IF(ISERROR(VLOOKUP($A219,'SegEnds_NonXtal_BW#'!$A:$Z,17,FALSE)+VLOOKUP($A219,A:AL,25,FALSE)-50),"-",(VLOOKUP($A219,'SegEnds_NonXtal_BW#'!$A:$Z,17,FALSE)+VLOOKUP($A219,A:AL,25,FALSE)-50))</f>
        <v>183</v>
      </c>
      <c r="Y219" s="3">
        <v>183</v>
      </c>
      <c r="Z219" s="3">
        <f>Y219+2</f>
        <v>185</v>
      </c>
      <c r="AA219" s="3">
        <f>IF(ISERROR(VLOOKUP($A219,'SegEnds_NonXtal_BW#'!$A:$Z,19,FALSE)+VLOOKUP($A219,A:AL,28,FALSE)-50),"-",(VLOOKUP($A219,'SegEnds_NonXtal_BW#'!$A:$Z,19,FALSE)+VLOOKUP($A219,A:AL,28,FALSE)-50))</f>
        <v>194</v>
      </c>
      <c r="AB219" s="3">
        <v>212</v>
      </c>
      <c r="AC219" s="3">
        <f>IF(ISERROR((VLOOKUP($A219,'SegEnds_NonXtal_BW#'!$A:$Z,20,FALSE)+VLOOKUP($A219,A:AL,28,FALSE)-50)),"-",(VLOOKUP($A219,'SegEnds_NonXtal_BW#'!$A:$Z,20,FALSE)+VLOOKUP($A219,A:AL,28,FALSE)-50))</f>
        <v>238</v>
      </c>
      <c r="AD219" s="3">
        <f>IF(ISERROR(VLOOKUP($A219,'SegEnds_NonXtal_BW#'!$A:$Z,21,FALSE)+VLOOKUP($A219,A:AL,31,FALSE)-50),"-",(VLOOKUP($A219,'SegEnds_NonXtal_BW#'!$A:$Z,21,FALSE)+VLOOKUP($A219,A:AL,31,FALSE)-50))</f>
        <v>254</v>
      </c>
      <c r="AE219" s="3">
        <v>280</v>
      </c>
      <c r="AF219" s="3">
        <f>IF(ISERROR((VLOOKUP($A219,'SegEnds_NonXtal_BW#'!$A:$Z,22,FALSE)+VLOOKUP($A219,A:AL,31,FALSE)-50)),"-",(VLOOKUP($A219,'SegEnds_NonXtal_BW#'!$A:$Z,22,FALSE)+VLOOKUP($A219,A:AL,31,FALSE)-50))</f>
        <v>291</v>
      </c>
      <c r="AG219" s="3">
        <f>IF(ISERROR(VLOOKUP($A219,'SegEnds_NonXtal_BW#'!$A:$Z,23,FALSE)+VLOOKUP($A219,A:AL,34,FALSE)-50),"-",(VLOOKUP($A219,'SegEnds_NonXtal_BW#'!$A:$Z,23,FALSE)+VLOOKUP($A219,A:AL,34,FALSE)-50))</f>
        <v>298</v>
      </c>
      <c r="AH219" s="3">
        <v>320</v>
      </c>
      <c r="AI219" s="3">
        <f>IF(ISERROR((VLOOKUP($A219,'SegEnds_NonXtal_BW#'!$A:$Z,24,FALSE)+VLOOKUP($A219,A:AL,34,FALSE)-50)),"-",(VLOOKUP($A219,'SegEnds_NonXtal_BW#'!$A:$Z,24,FALSE)+VLOOKUP($A219,A:AL,34,FALSE)-50))</f>
        <v>326</v>
      </c>
      <c r="AJ219" s="3">
        <f>IF(ISERROR(VLOOKUP($A219,'SegEnds_NonXtal_BW#'!$A:$Z,25,FALSE)+VLOOKUP($A219,A:AL,37,FALSE)-50),"-",(VLOOKUP($A219,'SegEnds_NonXtal_BW#'!$A:$Z,25,FALSE)+VLOOKUP($A219,A:AL,37,FALSE)-50))</f>
        <v>327</v>
      </c>
      <c r="AK219" s="3">
        <v>330</v>
      </c>
      <c r="AL219" s="3">
        <f>IF(ISERROR((VLOOKUP($A219,'SegEnds_NonXtal_BW#'!$A:$Z,26,FALSE)+VLOOKUP($A219,A:AL,37,FALSE)-50)),"-",(VLOOKUP($A219,'SegEnds_NonXtal_BW#'!$A:$Z,26,FALSE)+VLOOKUP($A219,A:AL,37,FALSE)-50))</f>
        <v>338</v>
      </c>
      <c r="AM219" s="28" t="str">
        <f>VLOOKUP(A219,Classification!A:B,2,FALSE)</f>
        <v>A</v>
      </c>
      <c r="AN219" s="28" t="b">
        <f>AND(IF(Y219="-",IF(AA219-W219&gt;3,TRUE,FALSE),TRUE),IF(M219="-",IF(O219-K219&gt;3,TRUE,FALSE),TRUE),C219&lt;E219,OR(E219&lt;F219,F219="-"),OR(F219&lt;H219,F219="-"),OR(H219&lt;I219,H219="-"),I219&lt;K219,OR(K219&lt;L219,L219="-"),OR(L219&lt;N219,L219="-"),OR(N219&lt;O219,N219="-"),O219&lt;Q219,OR(Q219&lt;R219,R219="-"),OR(R219&lt;T219,R219="-"),OR(T219&lt;U219,T219="-"),U219&lt;W219,OR(W219&lt;X219,X219="-"),OR(X219&lt;Z219,X219="-"),OR(Z219&lt;AA219,Z219="-"),AA219&lt;AC219,AC219&lt;AD219,AD219&lt;AF219,AF219&lt;AG219,AG219&lt;AI219,OR(AI219&lt;AJ219,AJ219="-"),OR(AJ219&lt;AL219,AJ219="-"))</f>
        <v>1</v>
      </c>
      <c r="AO219" s="3" t="str">
        <f>IF(ISERROR(MATCH(A219,'SegEnds_Xtal_Prot#'!B:B, 0)), "NoXtal", "Xtal")</f>
        <v>NoXtal</v>
      </c>
      <c r="AP219" s="3" t="str">
        <f>IF(ISERROR(F219-E219),"-",F219-E219)</f>
        <v>-</v>
      </c>
      <c r="AQ219" s="3" t="str">
        <f>IF(ISERROR(I219-H219),"-",I219-H219)</f>
        <v>-</v>
      </c>
      <c r="AR219" s="3" t="str">
        <f>IF(ISERROR(L219-K219),"-",L219-K219)</f>
        <v>-</v>
      </c>
      <c r="AS219" s="3" t="str">
        <f>IF(ISERROR(O219-N219),"-",O219-N219)</f>
        <v>-</v>
      </c>
      <c r="AT219" s="3">
        <f>IF(ISERROR(R219-Q219),"-",R219-Q219)</f>
        <v>1</v>
      </c>
      <c r="AU219" s="3">
        <f>IF(ISERROR(U219-T219),"-",U219-T219)</f>
        <v>1</v>
      </c>
      <c r="AV219" s="3">
        <f>IF(ISERROR(X219-W219),"-",X219-W219)</f>
        <v>12</v>
      </c>
      <c r="AW219" s="3">
        <f>IF(ISERROR(AA219-Z219),"-",AA219-Z219)</f>
        <v>9</v>
      </c>
      <c r="AX219" s="3">
        <f>IF(ISERROR(AD219-AC219),"-",AD219-AC219)</f>
        <v>16</v>
      </c>
      <c r="AY219" s="3">
        <f>IF(ISERROR(AG219-AF219),"-",AG219-AF219)</f>
        <v>7</v>
      </c>
      <c r="AZ219" s="3">
        <f>IF(ISERROR(AJ219-AI219),"-",AJ219-AI219)</f>
        <v>1</v>
      </c>
      <c r="BA219" s="3">
        <f>IF(ISERROR(LEN(VLOOKUP(A219,Seqs!A:E,2,FALSE))-AL219),"-",LEN(VLOOKUP(A219,Seqs!A:E,2,FALSE))-AL219)</f>
        <v>21</v>
      </c>
      <c r="BB219" s="16">
        <f>J219-D219</f>
        <v>38</v>
      </c>
      <c r="BC219" s="9">
        <f>IF(ISERROR(V219-S219),"-",V219-S219)</f>
        <v>20</v>
      </c>
      <c r="BD219" s="3">
        <f>J219-D219</f>
        <v>38</v>
      </c>
      <c r="BE219" s="3">
        <f>AE219-AB219</f>
        <v>68</v>
      </c>
      <c r="BF219" s="3">
        <f>AH219-AE219</f>
        <v>40</v>
      </c>
    </row>
    <row r="220" spans="1:59" s="3" customFormat="1" x14ac:dyDescent="0.2">
      <c r="A220" s="3" t="s">
        <v>360</v>
      </c>
      <c r="B220" s="3" t="str">
        <f>LOWER(VLOOKUP(A220,Xtal_Templ!A:B,2,FALSE))</f>
        <v>agtr2_human</v>
      </c>
      <c r="C220" s="3">
        <f>VLOOKUP($A220,'SegEnds_NonXtal_BW#'!$A:$Z,3,FALSE)+D220-50</f>
        <v>33</v>
      </c>
      <c r="D220" s="3">
        <v>50</v>
      </c>
      <c r="E220" s="3">
        <f>IF(ISERROR(VLOOKUP($A220,'SegEnds_NonXtal_BW#'!$A:$Z,4,FALSE)+VLOOKUP($A220,A:AL,4,FALSE)-50),"-",(VLOOKUP($A220,'SegEnds_NonXtal_BW#'!$A:$Z,4,FALSE)+VLOOKUP($A220,A:AL,4,FALSE)-50))</f>
        <v>60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64</v>
      </c>
      <c r="J220" s="3">
        <v>77</v>
      </c>
      <c r="K220" s="3">
        <f>VLOOKUP($A220,'SegEnds_NonXtal_BW#'!$A:$Z,8,FALSE)+VLOOKUP($A220,A:AL,10,FALSE)-50</f>
        <v>93</v>
      </c>
      <c r="L220" s="3">
        <f>M220-1</f>
        <v>96</v>
      </c>
      <c r="M220" s="3">
        <v>97</v>
      </c>
      <c r="N220" s="3">
        <f>M220+2</f>
        <v>99</v>
      </c>
      <c r="O220" s="3">
        <f>N220+1</f>
        <v>100</v>
      </c>
      <c r="P220" s="3">
        <v>129</v>
      </c>
      <c r="Q220" s="3">
        <f>VLOOKUP($A220,'SegEnds_NonXtal_BW#'!$A:$Z,12,FALSE)+VLOOKUP($A220,A:AL,16,FALSE)-50</f>
        <v>135</v>
      </c>
      <c r="R220" s="3">
        <f>IF(ISERROR(VLOOKUP($A220,'SegEnds_NonXtal_BW#'!$A:$Z,13,FALSE)+VLOOKUP($A220,A:AL,19,FALSE)-50),"-",VLOOKUP($A220,'SegEnds_NonXtal_BW#'!$A:$Z,13,FALSE)+VLOOKUP($A220,A:AL,19,FALSE)-50)</f>
        <v>136</v>
      </c>
      <c r="S220" s="3">
        <v>136</v>
      </c>
      <c r="T220" s="103">
        <f>IF(ISERROR(VLOOKUP($A220,'SegEnds_NonXtal_BW#'!$A:$Z,14,FALSE)+VLOOKUP($A220,A:AL,19,FALSE)-50),"-",(VLOOKUP($A220,'SegEnds_NonXtal_BW#'!$A:$Z,14,FALSE)+VLOOKUP($A220,A:AL,19,FALSE)-50))</f>
        <v>143</v>
      </c>
      <c r="U220" s="9">
        <f>IF(ISERROR(VLOOKUP($A220,'SegEnds_NonXtal_BW#'!$A:$Z,15,FALSE)+VLOOKUP($A220,A:AL,22,FALSE)-50),"-",VLOOKUP($A220,'SegEnds_NonXtal_BW#'!$A:$Z,15,FALSE)+VLOOKUP($A220,A:AL,22,FALSE)-50)</f>
        <v>144</v>
      </c>
      <c r="V220" s="3">
        <v>156</v>
      </c>
      <c r="W220" s="3">
        <f>IF(ISERROR(VLOOKUP($A220,'SegEnds_NonXtal_BW#'!$A:$Z,16,FALSE)+VLOOKUP($A220,A:AL,22,FALSE)-50),"-",(VLOOKUP($A220,'SegEnds_NonXtal_BW#'!$A:$Z,16,FALSE)+VLOOKUP($A220,A:AL,22,FALSE)-50))</f>
        <v>170</v>
      </c>
      <c r="X220" s="3">
        <f>IF(ISERROR(VLOOKUP($A220,'SegEnds_NonXtal_BW#'!$A:$Z,17,FALSE)+VLOOKUP($A220,A:AL,25,FALSE)-50),"-",(VLOOKUP($A220,'SegEnds_NonXtal_BW#'!$A:$Z,17,FALSE)+VLOOKUP($A220,A:AL,25,FALSE)-50))</f>
        <v>182</v>
      </c>
      <c r="Y220" s="3">
        <v>182</v>
      </c>
      <c r="Z220" s="3">
        <f>Y220+2</f>
        <v>184</v>
      </c>
      <c r="AA220" s="3">
        <f>IF(ISERROR(VLOOKUP($A220,'SegEnds_NonXtal_BW#'!$A:$Z,19,FALSE)+VLOOKUP($A220,A:AL,28,FALSE)-50),"-",(VLOOKUP($A220,'SegEnds_NonXtal_BW#'!$A:$Z,19,FALSE)+VLOOKUP($A220,A:AL,28,FALSE)-50))</f>
        <v>198</v>
      </c>
      <c r="AB220" s="3">
        <v>218</v>
      </c>
      <c r="AC220" s="3">
        <f>IF(ISERROR((VLOOKUP($A220,'SegEnds_NonXtal_BW#'!$A:$Z,20,FALSE)+VLOOKUP($A220,A:AL,28,FALSE)-50)),"-",(VLOOKUP($A220,'SegEnds_NonXtal_BW#'!$A:$Z,20,FALSE)+VLOOKUP($A220,A:AL,28,FALSE)-50))</f>
        <v>236</v>
      </c>
      <c r="AD220" s="3">
        <f>IF(ISERROR(VLOOKUP($A220,'SegEnds_NonXtal_BW#'!$A:$Z,21,FALSE)+VLOOKUP($A220,A:AL,31,FALSE)-50),"-",(VLOOKUP($A220,'SegEnds_NonXtal_BW#'!$A:$Z,21,FALSE)+VLOOKUP($A220,A:AL,31,FALSE)-50))</f>
        <v>241</v>
      </c>
      <c r="AE220" s="3">
        <v>261</v>
      </c>
      <c r="AF220" s="3">
        <f>IF(ISERROR((VLOOKUP($A220,'SegEnds_NonXtal_BW#'!$A:$Z,22,FALSE)+VLOOKUP($A220,A:AL,31,FALSE)-50)),"-",(VLOOKUP($A220,'SegEnds_NonXtal_BW#'!$A:$Z,22,FALSE)+VLOOKUP($A220,A:AL,31,FALSE)-50))</f>
        <v>272</v>
      </c>
      <c r="AG220" s="3">
        <f>IF(ISERROR(VLOOKUP($A220,'SegEnds_NonXtal_BW#'!$A:$Z,23,FALSE)+VLOOKUP($A220,A:AL,34,FALSE)-50),"-",(VLOOKUP($A220,'SegEnds_NonXtal_BW#'!$A:$Z,23,FALSE)+VLOOKUP($A220,A:AL,34,FALSE)-50))</f>
        <v>279</v>
      </c>
      <c r="AH220" s="3">
        <v>301</v>
      </c>
      <c r="AI220" s="3">
        <f>IF(ISERROR((VLOOKUP($A220,'SegEnds_NonXtal_BW#'!$A:$Z,24,FALSE)+VLOOKUP($A220,A:AL,34,FALSE)-50)),"-",(VLOOKUP($A220,'SegEnds_NonXtal_BW#'!$A:$Z,24,FALSE)+VLOOKUP($A220,A:AL,34,FALSE)-50))</f>
        <v>307</v>
      </c>
      <c r="AJ220" s="3">
        <f>IF(ISERROR(VLOOKUP($A220,'SegEnds_NonXtal_BW#'!$A:$Z,25,FALSE)+VLOOKUP($A220,A:AL,37,FALSE)-50),"-",(VLOOKUP($A220,'SegEnds_NonXtal_BW#'!$A:$Z,25,FALSE)+VLOOKUP($A220,A:AL,37,FALSE)-50))</f>
        <v>308</v>
      </c>
      <c r="AK220" s="3">
        <v>311</v>
      </c>
      <c r="AL220" s="3">
        <f>IF(ISERROR((VLOOKUP($A220,'SegEnds_NonXtal_BW#'!$A:$Z,26,FALSE)+VLOOKUP($A220,A:AL,37,FALSE)-50)),"-",(VLOOKUP($A220,'SegEnds_NonXtal_BW#'!$A:$Z,26,FALSE)+VLOOKUP($A220,A:AL,37,FALSE)-50))</f>
        <v>322</v>
      </c>
      <c r="AM220" s="28" t="str">
        <f>VLOOKUP(A220,Classification!A:B,2,FALSE)</f>
        <v>A</v>
      </c>
      <c r="AN220" s="28" t="b">
        <f>AND(IF(Y220="-",IF(AA220-W220&gt;3,TRUE,FALSE),TRUE),IF(M220="-",IF(O220-K220&gt;3,TRUE,FALSE),TRUE),C220&lt;E220,OR(E220&lt;F220,F220="-"),OR(F220&lt;H220,F220="-"),OR(H220&lt;I220,H220="-"),I220&lt;K220,OR(K220&lt;L220,L220="-"),OR(L220&lt;N220,L220="-"),OR(N220&lt;O220,N220="-"),O220&lt;Q220,OR(Q220&lt;R220,R220="-"),OR(R220&lt;T220,R220="-"),OR(T220&lt;U220,T220="-"),U220&lt;W220,OR(W220&lt;X220,X220="-"),OR(X220&lt;Z220,X220="-"),OR(Z220&lt;AA220,Z220="-"),AA220&lt;AC220,AC220&lt;AD220,AD220&lt;AF220,AF220&lt;AG220,AG220&lt;AI220,OR(AI220&lt;AJ220,AJ220="-"),OR(AJ220&lt;AL220,AJ220="-"))</f>
        <v>1</v>
      </c>
      <c r="AO220" s="3" t="str">
        <f>IF(ISERROR(MATCH(A220,'SegEnds_Xtal_Prot#'!B:B, 0)), "NoXtal", "Xtal")</f>
        <v>NoXtal</v>
      </c>
      <c r="AP220" s="3" t="str">
        <f>IF(ISERROR(F220-E220),"-",F220-E220)</f>
        <v>-</v>
      </c>
      <c r="AQ220" s="3" t="str">
        <f>IF(ISERROR(I220-H220),"-",I220-H220)</f>
        <v>-</v>
      </c>
      <c r="AR220" s="3">
        <f>IF(ISERROR(L220-K220),"-",L220-K220)</f>
        <v>3</v>
      </c>
      <c r="AS220" s="3">
        <f>IF(ISERROR(O220-N220),"-",O220-N220)</f>
        <v>1</v>
      </c>
      <c r="AT220" s="3">
        <f>IF(ISERROR(R220-Q220),"-",R220-Q220)</f>
        <v>1</v>
      </c>
      <c r="AU220" s="3">
        <f>IF(ISERROR(U220-T220),"-",U220-T220)</f>
        <v>1</v>
      </c>
      <c r="AV220" s="3">
        <f>IF(ISERROR(X220-W220),"-",X220-W220)</f>
        <v>12</v>
      </c>
      <c r="AW220" s="3">
        <f>IF(ISERROR(AA220-Z220),"-",AA220-Z220)</f>
        <v>14</v>
      </c>
      <c r="AX220" s="3">
        <f>IF(ISERROR(AD220-AC220),"-",AD220-AC220)</f>
        <v>5</v>
      </c>
      <c r="AY220" s="3">
        <f>IF(ISERROR(AG220-AF220),"-",AG220-AF220)</f>
        <v>7</v>
      </c>
      <c r="AZ220" s="3">
        <f>IF(ISERROR(AJ220-AI220),"-",AJ220-AI220)</f>
        <v>1</v>
      </c>
      <c r="BA220" s="3">
        <f>IF(ISERROR(LEN(VLOOKUP(A220,Seqs!A:E,2,FALSE))-AL220),"-",LEN(VLOOKUP(A220,Seqs!A:E,2,FALSE))-AL220)</f>
        <v>73</v>
      </c>
      <c r="BB220" s="16">
        <f>J220-D220</f>
        <v>27</v>
      </c>
      <c r="BC220" s="9">
        <f>IF(ISERROR(V220-S220),"-",V220-S220)</f>
        <v>20</v>
      </c>
      <c r="BD220" s="3">
        <f>J220-D220</f>
        <v>27</v>
      </c>
      <c r="BE220" s="3">
        <f>AE220-AB220</f>
        <v>43</v>
      </c>
    </row>
    <row r="221" spans="1:59" s="3" customFormat="1" x14ac:dyDescent="0.2">
      <c r="A221" s="3" t="s">
        <v>361</v>
      </c>
      <c r="B221" s="3" t="str">
        <f>LOWER(VLOOKUP(A221,Xtal_Templ!A:B,2,FALSE))</f>
        <v>cnr1_human</v>
      </c>
      <c r="C221" s="3">
        <f>VLOOKUP($A221,'SegEnds_NonXtal_BW#'!$A:$Z,3,FALSE)+D221-50</f>
        <v>28</v>
      </c>
      <c r="D221" s="3">
        <v>50</v>
      </c>
      <c r="E221" s="3">
        <f>IF(ISERROR(VLOOKUP($A221,'SegEnds_NonXtal_BW#'!$A:$Z,4,FALSE)+VLOOKUP($A221,A:AL,4,FALSE)-50),"-",(VLOOKUP($A221,'SegEnds_NonXtal_BW#'!$A:$Z,4,FALSE)+VLOOKUP($A221,A:AL,4,FALSE)-50))</f>
        <v>60</v>
      </c>
      <c r="F221" s="3">
        <f>G221-2</f>
        <v>62</v>
      </c>
      <c r="G221" s="3">
        <v>64</v>
      </c>
      <c r="H221" s="3">
        <f>G221+1</f>
        <v>65</v>
      </c>
      <c r="I221" s="3">
        <f>H221+1</f>
        <v>66</v>
      </c>
      <c r="J221" s="3">
        <v>84</v>
      </c>
      <c r="K221" s="3">
        <f>VLOOKUP($A221,'SegEnds_NonXtal_BW#'!$A:$Z,8,FALSE)+VLOOKUP($A221,A:AL,10,FALSE)-50</f>
        <v>100</v>
      </c>
      <c r="L221" s="3">
        <f>M221-1</f>
        <v>103</v>
      </c>
      <c r="M221" s="3">
        <v>104</v>
      </c>
      <c r="N221" s="3">
        <f>M221+2</f>
        <v>106</v>
      </c>
      <c r="O221" s="3">
        <f>N221+1</f>
        <v>107</v>
      </c>
      <c r="P221" s="3">
        <v>135</v>
      </c>
      <c r="Q221" s="3">
        <f>VLOOKUP($A221,'SegEnds_NonXtal_BW#'!$A:$Z,12,FALSE)+VLOOKUP($A221,A:AL,16,FALSE)-50</f>
        <v>141</v>
      </c>
      <c r="R221" s="3">
        <f>IF(ISERROR(VLOOKUP($A221,'SegEnds_NonXtal_BW#'!$A:$Z,13,FALSE)+VLOOKUP($A221,A:AL,19,FALSE)-50),"-",VLOOKUP($A221,'SegEnds_NonXtal_BW#'!$A:$Z,13,FALSE)+VLOOKUP($A221,A:AL,19,FALSE)-50)</f>
        <v>142</v>
      </c>
      <c r="S221" s="3">
        <v>142</v>
      </c>
      <c r="T221" s="103">
        <f>IF(ISERROR(VLOOKUP($A221,'SegEnds_NonXtal_BW#'!$A:$Z,14,FALSE)+VLOOKUP($A221,A:AL,19,FALSE)-50),"-",(VLOOKUP($A221,'SegEnds_NonXtal_BW#'!$A:$Z,14,FALSE)+VLOOKUP($A221,A:AL,19,FALSE)-50))</f>
        <v>149</v>
      </c>
      <c r="U221" s="9">
        <f>IF(ISERROR(VLOOKUP($A221,'SegEnds_NonXtal_BW#'!$A:$Z,15,FALSE)+VLOOKUP($A221,A:AL,22,FALSE)-50),"-",VLOOKUP($A221,'SegEnds_NonXtal_BW#'!$A:$Z,15,FALSE)+VLOOKUP($A221,A:AL,22,FALSE)-50)</f>
        <v>150</v>
      </c>
      <c r="V221" s="3">
        <v>162</v>
      </c>
      <c r="W221" s="3">
        <f>IF(ISERROR(VLOOKUP($A221,'SegEnds_NonXtal_BW#'!$A:$Z,16,FALSE)+VLOOKUP($A221,A:AL,22,FALSE)-50),"-",(VLOOKUP($A221,'SegEnds_NonXtal_BW#'!$A:$Z,16,FALSE)+VLOOKUP($A221,A:AL,22,FALSE)-50))</f>
        <v>175</v>
      </c>
      <c r="X221" s="3">
        <f>IF(ISERROR(VLOOKUP($A221,'SegEnds_NonXtal_BW#'!$A:$Z,17,FALSE)+VLOOKUP($A221,A:AL,25,FALSE)-50),"-",(VLOOKUP($A221,'SegEnds_NonXtal_BW#'!$A:$Z,17,FALSE)+VLOOKUP($A221,A:AL,25,FALSE)-50))</f>
        <v>188</v>
      </c>
      <c r="Y221" s="3">
        <v>188</v>
      </c>
      <c r="Z221" s="3">
        <f>Y221+2</f>
        <v>190</v>
      </c>
      <c r="AA221" s="3">
        <f>IF(ISERROR(VLOOKUP($A221,'SegEnds_NonXtal_BW#'!$A:$Z,19,FALSE)+VLOOKUP($A221,A:AL,28,FALSE)-50),"-",(VLOOKUP($A221,'SegEnds_NonXtal_BW#'!$A:$Z,19,FALSE)+VLOOKUP($A221,A:AL,28,FALSE)-50))</f>
        <v>202</v>
      </c>
      <c r="AB221" s="3">
        <v>216</v>
      </c>
      <c r="AC221" s="3">
        <f>IF(ISERROR((VLOOKUP($A221,'SegEnds_NonXtal_BW#'!$A:$Z,20,FALSE)+VLOOKUP($A221,A:AL,28,FALSE)-50)),"-",(VLOOKUP($A221,'SegEnds_NonXtal_BW#'!$A:$Z,20,FALSE)+VLOOKUP($A221,A:AL,28,FALSE)-50))</f>
        <v>240</v>
      </c>
      <c r="AD221" s="3">
        <f>IF(ISERROR(VLOOKUP($A221,'SegEnds_NonXtal_BW#'!$A:$Z,21,FALSE)+VLOOKUP($A221,A:AL,31,FALSE)-50),"-",(VLOOKUP($A221,'SegEnds_NonXtal_BW#'!$A:$Z,21,FALSE)+VLOOKUP($A221,A:AL,31,FALSE)-50))</f>
        <v>286</v>
      </c>
      <c r="AE221" s="3">
        <v>312</v>
      </c>
      <c r="AF221" s="3">
        <f>IF(ISERROR((VLOOKUP($A221,'SegEnds_NonXtal_BW#'!$A:$Z,22,FALSE)+VLOOKUP($A221,A:AL,31,FALSE)-50)),"-",(VLOOKUP($A221,'SegEnds_NonXtal_BW#'!$A:$Z,22,FALSE)+VLOOKUP($A221,A:AL,31,FALSE)-50))</f>
        <v>323</v>
      </c>
      <c r="AG221" s="3">
        <f>IF(ISERROR(VLOOKUP($A221,'SegEnds_NonXtal_BW#'!$A:$Z,23,FALSE)+VLOOKUP($A221,A:AL,34,FALSE)-50),"-",(VLOOKUP($A221,'SegEnds_NonXtal_BW#'!$A:$Z,23,FALSE)+VLOOKUP($A221,A:AL,34,FALSE)-50))</f>
        <v>329</v>
      </c>
      <c r="AH221" s="3">
        <v>348</v>
      </c>
      <c r="AI221" s="3">
        <f>IF(ISERROR((VLOOKUP($A221,'SegEnds_NonXtal_BW#'!$A:$Z,24,FALSE)+VLOOKUP($A221,A:AL,34,FALSE)-50)),"-",(VLOOKUP($A221,'SegEnds_NonXtal_BW#'!$A:$Z,24,FALSE)+VLOOKUP($A221,A:AL,34,FALSE)-50))</f>
        <v>354</v>
      </c>
      <c r="AJ221" s="3">
        <f>IF(ISERROR(VLOOKUP($A221,'SegEnds_NonXtal_BW#'!$A:$Z,25,FALSE)+VLOOKUP($A221,A:AL,37,FALSE)-50),"-",(VLOOKUP($A221,'SegEnds_NonXtal_BW#'!$A:$Z,25,FALSE)+VLOOKUP($A221,A:AL,37,FALSE)-50))</f>
        <v>355</v>
      </c>
      <c r="AK221" s="3">
        <v>358</v>
      </c>
      <c r="AL221" s="3">
        <f>IF(ISERROR((VLOOKUP($A221,'SegEnds_NonXtal_BW#'!$A:$Z,26,FALSE)+VLOOKUP($A221,A:AL,37,FALSE)-50)),"-",(VLOOKUP($A221,'SegEnds_NonXtal_BW#'!$A:$Z,26,FALSE)+VLOOKUP($A221,A:AL,37,FALSE)-50))</f>
        <v>367</v>
      </c>
      <c r="AM221" s="28" t="str">
        <f>VLOOKUP(A221,Classification!A:B,2,FALSE)</f>
        <v>A</v>
      </c>
      <c r="AN221" s="28" t="b">
        <f>AND(IF(Y221="-",IF(AA221-W221&gt;3,TRUE,FALSE),TRUE),IF(M221="-",IF(O221-K221&gt;3,TRUE,FALSE),TRUE),C221&lt;E221,OR(E221&lt;F221,F221="-"),OR(F221&lt;H221,F221="-"),OR(H221&lt;I221,H221="-"),I221&lt;K221,OR(K221&lt;L221,L221="-"),OR(L221&lt;N221,L221="-"),OR(N221&lt;O221,N221="-"),O221&lt;Q221,OR(Q221&lt;R221,R221="-"),OR(R221&lt;T221,R221="-"),OR(T221&lt;U221,T221="-"),U221&lt;W221,OR(W221&lt;X221,X221="-"),OR(X221&lt;Z221,X221="-"),OR(Z221&lt;AA221,Z221="-"),AA221&lt;AC221,AC221&lt;AD221,AD221&lt;AF221,AF221&lt;AG221,AG221&lt;AI221,OR(AI221&lt;AJ221,AJ221="-"),OR(AJ221&lt;AL221,AJ221="-"))</f>
        <v>1</v>
      </c>
      <c r="AO221" s="3" t="str">
        <f>IF(ISERROR(MATCH(A221,'SegEnds_Xtal_Prot#'!B:B, 0)), "NoXtal", "Xtal")</f>
        <v>NoXtal</v>
      </c>
      <c r="AP221" s="3">
        <f>IF(ISERROR(F221-E221),"-",F221-E221)</f>
        <v>2</v>
      </c>
      <c r="AQ221" s="3">
        <f>IF(ISERROR(I221-H221),"-",I221-H221)</f>
        <v>1</v>
      </c>
      <c r="AR221" s="3">
        <f>IF(ISERROR(L221-K221),"-",L221-K221)</f>
        <v>3</v>
      </c>
      <c r="AS221" s="3">
        <f>IF(ISERROR(O221-N221),"-",O221-N221)</f>
        <v>1</v>
      </c>
      <c r="AT221" s="3">
        <f>IF(ISERROR(R221-Q221),"-",R221-Q221)</f>
        <v>1</v>
      </c>
      <c r="AU221" s="3">
        <f>IF(ISERROR(U221-T221),"-",U221-T221)</f>
        <v>1</v>
      </c>
      <c r="AV221" s="3">
        <f>IF(ISERROR(X221-W221),"-",X221-W221)</f>
        <v>13</v>
      </c>
      <c r="AW221" s="3">
        <f>IF(ISERROR(AA221-Z221),"-",AA221-Z221)</f>
        <v>12</v>
      </c>
      <c r="AX221" s="3">
        <f>IF(ISERROR(AD221-AC221),"-",AD221-AC221)</f>
        <v>46</v>
      </c>
      <c r="AY221" s="3">
        <f>IF(ISERROR(AG221-AF221),"-",AG221-AF221)</f>
        <v>6</v>
      </c>
      <c r="AZ221" s="3">
        <f>IF(ISERROR(AJ221-AI221),"-",AJ221-AI221)</f>
        <v>1</v>
      </c>
      <c r="BA221" s="3">
        <f>IF(ISERROR(LEN(VLOOKUP(A221,Seqs!A:E,2,FALSE))-AL221),"-",LEN(VLOOKUP(A221,Seqs!A:E,2,FALSE))-AL221)</f>
        <v>35</v>
      </c>
      <c r="BB221" s="16">
        <f>J221-D221</f>
        <v>34</v>
      </c>
      <c r="BC221" s="9">
        <f>IF(ISERROR(V221-S221),"-",V221-S221)</f>
        <v>20</v>
      </c>
      <c r="BD221" s="3">
        <f>J221-D221</f>
        <v>34</v>
      </c>
      <c r="BE221" s="3">
        <f>AE221-AB221</f>
        <v>96</v>
      </c>
    </row>
    <row r="222" spans="1:59" s="3" customFormat="1" x14ac:dyDescent="0.2">
      <c r="A222" s="3" t="s">
        <v>362</v>
      </c>
      <c r="B222" s="3" t="str">
        <f>LOWER(VLOOKUP(A222,Xtal_Templ!A:B,2,FALSE))</f>
        <v>ntr1_rat</v>
      </c>
      <c r="C222" s="3">
        <f>VLOOKUP($A222,'SegEnds_NonXtal_BW#'!$A:$Z,3,FALSE)+D222-50</f>
        <v>18</v>
      </c>
      <c r="D222" s="3">
        <v>39</v>
      </c>
      <c r="E222" s="3">
        <f>IF(ISERROR(VLOOKUP($A222,'SegEnds_NonXtal_BW#'!$A:$Z,4,FALSE)+VLOOKUP($A222,A:AL,4,FALSE)-50),"-",(VLOOKUP($A222,'SegEnds_NonXtal_BW#'!$A:$Z,4,FALSE)+VLOOKUP($A222,A:AL,4,FALSE)-50))</f>
        <v>49</v>
      </c>
      <c r="F222" s="3">
        <f>G222-2</f>
        <v>56</v>
      </c>
      <c r="G222" s="3">
        <v>58</v>
      </c>
      <c r="H222" s="3">
        <f>G222+1</f>
        <v>59</v>
      </c>
      <c r="I222" s="3">
        <f>H222+1</f>
        <v>60</v>
      </c>
      <c r="J222" s="3">
        <v>78</v>
      </c>
      <c r="K222" s="3">
        <f>VLOOKUP($A222,'SegEnds_NonXtal_BW#'!$A:$Z,8,FALSE)+VLOOKUP($A222,A:AL,10,FALSE)-50</f>
        <v>96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102</v>
      </c>
      <c r="P222" s="3">
        <v>134</v>
      </c>
      <c r="Q222" s="3">
        <f>VLOOKUP($A222,'SegEnds_NonXtal_BW#'!$A:$Z,12,FALSE)+VLOOKUP($A222,A:AL,16,FALSE)-50</f>
        <v>140</v>
      </c>
      <c r="R222" s="3">
        <f>IF(ISERROR(VLOOKUP($A222,'SegEnds_NonXtal_BW#'!$A:$Z,13,FALSE)+VLOOKUP($A222,A:AL,19,FALSE)-50),"-",VLOOKUP($A222,'SegEnds_NonXtal_BW#'!$A:$Z,13,FALSE)+VLOOKUP($A222,A:AL,19,FALSE)-50)</f>
        <v>141</v>
      </c>
      <c r="S222" s="3">
        <v>141</v>
      </c>
      <c r="T222" s="103">
        <f>IF(ISERROR(VLOOKUP($A222,'SegEnds_NonXtal_BW#'!$A:$Z,14,FALSE)+VLOOKUP($A222,A:AL,19,FALSE)-50),"-",(VLOOKUP($A222,'SegEnds_NonXtal_BW#'!$A:$Z,14,FALSE)+VLOOKUP($A222,A:AL,19,FALSE)-50))</f>
        <v>148</v>
      </c>
      <c r="U222" s="9">
        <f>IF(ISERROR(VLOOKUP($A222,'SegEnds_NonXtal_BW#'!$A:$Z,15,FALSE)+VLOOKUP($A222,A:AL,22,FALSE)-50),"-",VLOOKUP($A222,'SegEnds_NonXtal_BW#'!$A:$Z,15,FALSE)+VLOOKUP($A222,A:AL,22,FALSE)-50)</f>
        <v>149</v>
      </c>
      <c r="V222" s="3">
        <v>161</v>
      </c>
      <c r="W222" s="3">
        <f>IF(ISERROR(VLOOKUP($A222,'SegEnds_NonXtal_BW#'!$A:$Z,16,FALSE)+VLOOKUP($A222,A:AL,22,FALSE)-50),"-",(VLOOKUP($A222,'SegEnds_NonXtal_BW#'!$A:$Z,16,FALSE)+VLOOKUP($A222,A:AL,22,FALSE)-50))</f>
        <v>175</v>
      </c>
      <c r="X222" s="3">
        <f>IF(ISERROR(VLOOKUP($A222,'SegEnds_NonXtal_BW#'!$A:$Z,17,FALSE)+VLOOKUP($A222,A:AL,25,FALSE)-50),"-",(VLOOKUP($A222,'SegEnds_NonXtal_BW#'!$A:$Z,17,FALSE)+VLOOKUP($A222,A:AL,25,FALSE)-50))</f>
        <v>187</v>
      </c>
      <c r="Y222" s="3">
        <v>187</v>
      </c>
      <c r="Z222" s="3">
        <f>Y222+2</f>
        <v>189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209</v>
      </c>
      <c r="AC222" s="3">
        <f>IF(ISERROR((VLOOKUP($A222,'SegEnds_NonXtal_BW#'!$A:$Z,20,FALSE)+VLOOKUP($A222,A:AL,28,FALSE)-50)),"-",(VLOOKUP($A222,'SegEnds_NonXtal_BW#'!$A:$Z,20,FALSE)+VLOOKUP($A222,A:AL,28,FALSE)-50))</f>
        <v>235</v>
      </c>
      <c r="AD222" s="3">
        <f>IF(ISERROR(VLOOKUP($A222,'SegEnds_NonXtal_BW#'!$A:$Z,21,FALSE)+VLOOKUP($A222,A:AL,31,FALSE)-50),"-",(VLOOKUP($A222,'SegEnds_NonXtal_BW#'!$A:$Z,21,FALSE)+VLOOKUP($A222,A:AL,31,FALSE)-50))</f>
        <v>253</v>
      </c>
      <c r="AE222" s="3">
        <v>279</v>
      </c>
      <c r="AF222" s="3">
        <f>IF(ISERROR((VLOOKUP($A222,'SegEnds_NonXtal_BW#'!$A:$Z,22,FALSE)+VLOOKUP($A222,A:AL,31,FALSE)-50)),"-",(VLOOKUP($A222,'SegEnds_NonXtal_BW#'!$A:$Z,22,FALSE)+VLOOKUP($A222,A:AL,31,FALSE)-50))</f>
        <v>290</v>
      </c>
      <c r="AG222" s="3">
        <f>IF(ISERROR(VLOOKUP($A222,'SegEnds_NonXtal_BW#'!$A:$Z,23,FALSE)+VLOOKUP($A222,A:AL,34,FALSE)-50),"-",(VLOOKUP($A222,'SegEnds_NonXtal_BW#'!$A:$Z,23,FALSE)+VLOOKUP($A222,A:AL,34,FALSE)-50))</f>
        <v>295</v>
      </c>
      <c r="AH222" s="3">
        <v>312</v>
      </c>
      <c r="AI222" s="3">
        <f>IF(ISERROR((VLOOKUP($A222,'SegEnds_NonXtal_BW#'!$A:$Z,24,FALSE)+VLOOKUP($A222,A:AL,34,FALSE)-50)),"-",(VLOOKUP($A222,'SegEnds_NonXtal_BW#'!$A:$Z,24,FALSE)+VLOOKUP($A222,A:AL,34,FALSE)-50))</f>
        <v>318</v>
      </c>
      <c r="AJ222" s="3">
        <f>IF(ISERROR(VLOOKUP($A222,'SegEnds_NonXtal_BW#'!$A:$Z,25,FALSE)+VLOOKUP($A222,A:AL,37,FALSE)-50),"-",(VLOOKUP($A222,'SegEnds_NonXtal_BW#'!$A:$Z,25,FALSE)+VLOOKUP($A222,A:AL,37,FALSE)-50))</f>
        <v>319</v>
      </c>
      <c r="AK222" s="3">
        <v>322</v>
      </c>
      <c r="AL222" s="3">
        <f>IF(ISERROR((VLOOKUP($A222,'SegEnds_NonXtal_BW#'!$A:$Z,26,FALSE)+VLOOKUP($A222,A:AL,37,FALSE)-50)),"-",(VLOOKUP($A222,'SegEnds_NonXtal_BW#'!$A:$Z,26,FALSE)+VLOOKUP($A222,A:AL,37,FALSE)-50))</f>
        <v>330</v>
      </c>
      <c r="AM222" s="28" t="str">
        <f>VLOOKUP(A222,Classification!A:B,2,FALSE)</f>
        <v>A</v>
      </c>
      <c r="AN222" s="28" t="b">
        <f>AND(IF(Y222="-",IF(AA222-W222&gt;3,TRUE,FALSE),TRUE),IF(M222="-",IF(O222-K222&gt;3,TRUE,FALSE),TRUE),C222&lt;E222,OR(E222&lt;F222,F222="-"),OR(F222&lt;H222,F222="-"),OR(H222&lt;I222,H222="-"),I222&lt;K222,OR(K222&lt;L222,L222="-"),OR(L222&lt;N222,L222="-"),OR(N222&lt;O222,N222="-"),O222&lt;Q222,OR(Q222&lt;R222,R222="-"),OR(R222&lt;T222,R222="-"),OR(T222&lt;U222,T222="-"),U222&lt;W222,OR(W222&lt;X222,X222="-"),OR(X222&lt;Z222,X222="-"),OR(Z222&lt;AA222,Z222="-"),AA222&lt;AC222,AC222&lt;AD222,AD222&lt;AF222,AF222&lt;AG222,AG222&lt;AI222,OR(AI222&lt;AJ222,AJ222="-"),OR(AJ222&lt;AL222,AJ222="-"))</f>
        <v>1</v>
      </c>
      <c r="AO222" s="3" t="str">
        <f>IF(ISERROR(MATCH(A222,'SegEnds_Xtal_Prot#'!B:B, 0)), "NoXtal", "Xtal")</f>
        <v>NoXtal</v>
      </c>
      <c r="AP222" s="3">
        <f>IF(ISERROR(F222-E222),"-",F222-E222)</f>
        <v>7</v>
      </c>
      <c r="AQ222" s="3">
        <f>IF(ISERROR(I222-H222),"-",I222-H222)</f>
        <v>1</v>
      </c>
      <c r="AR222" s="3" t="str">
        <f>IF(ISERROR(L222-K222),"-",L222-K222)</f>
        <v>-</v>
      </c>
      <c r="AS222" s="3" t="str">
        <f>IF(ISERROR(O222-N222),"-",O222-N222)</f>
        <v>-</v>
      </c>
      <c r="AT222" s="3">
        <f>IF(ISERROR(R222-Q222),"-",R222-Q222)</f>
        <v>1</v>
      </c>
      <c r="AU222" s="3">
        <f>IF(ISERROR(U222-T222),"-",U222-T222)</f>
        <v>1</v>
      </c>
      <c r="AV222" s="3">
        <f>IF(ISERROR(X222-W222),"-",X222-W222)</f>
        <v>12</v>
      </c>
      <c r="AW222" s="3">
        <f>IF(ISERROR(AA222-Z222),"-",AA222-Z222)</f>
        <v>5</v>
      </c>
      <c r="AX222" s="3">
        <f>IF(ISERROR(AD222-AC222),"-",AD222-AC222)</f>
        <v>18</v>
      </c>
      <c r="AY222" s="3">
        <f>IF(ISERROR(AG222-AF222),"-",AG222-AF222)</f>
        <v>5</v>
      </c>
      <c r="AZ222" s="3">
        <f>IF(ISERROR(AJ222-AI222),"-",AJ222-AI222)</f>
        <v>1</v>
      </c>
      <c r="BA222" s="3">
        <f>IF(ISERROR(LEN(VLOOKUP(A222,Seqs!A:E,2,FALSE))-AL222),"-",LEN(VLOOKUP(A222,Seqs!A:E,2,FALSE))-AL222)</f>
        <v>28</v>
      </c>
      <c r="BB222" s="16">
        <f>J222-D222</f>
        <v>39</v>
      </c>
      <c r="BC222" s="9">
        <f>IF(ISERROR(V222-S222),"-",V222-S222)</f>
        <v>20</v>
      </c>
      <c r="BD222" s="3">
        <f>J222-D222</f>
        <v>39</v>
      </c>
      <c r="BE222" s="3">
        <f>AE222-AB222</f>
        <v>70</v>
      </c>
      <c r="BF222" s="3">
        <f>AH222-AE222</f>
        <v>33</v>
      </c>
    </row>
    <row r="223" spans="1:59" s="3" customFormat="1" x14ac:dyDescent="0.2">
      <c r="A223" s="3" t="s">
        <v>363</v>
      </c>
      <c r="B223" s="3" t="str">
        <f>LOWER(VLOOKUP(A223,Xtal_Templ!A:B,2,FALSE))</f>
        <v>s1pr1_human</v>
      </c>
      <c r="C223" s="3">
        <f>VLOOKUP($A223,'SegEnds_NonXtal_BW#'!$A:$Z,3,FALSE)+D223-50</f>
        <v>45</v>
      </c>
      <c r="D223" s="3">
        <v>66</v>
      </c>
      <c r="E223" s="3">
        <f>IF(ISERROR(VLOOKUP($A223,'SegEnds_NonXtal_BW#'!$A:$Z,4,FALSE)+VLOOKUP($A223,A:AL,4,FALSE)-50),"-",(VLOOKUP($A223,'SegEnds_NonXtal_BW#'!$A:$Z,4,FALSE)+VLOOKUP($A223,A:AL,4,FALSE)-50))</f>
        <v>76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86</v>
      </c>
      <c r="J223" s="3">
        <v>99</v>
      </c>
      <c r="K223" s="3">
        <f>VLOOKUP($A223,'SegEnds_NonXtal_BW#'!$A:$Z,8,FALSE)+VLOOKUP($A223,A:AL,10,FALSE)-50</f>
        <v>112</v>
      </c>
      <c r="L223" s="3">
        <f>M223-1</f>
        <v>119</v>
      </c>
      <c r="M223" s="3">
        <v>120</v>
      </c>
      <c r="N223" s="3">
        <f>M223+2</f>
        <v>122</v>
      </c>
      <c r="O223" s="3">
        <f>N223+1</f>
        <v>123</v>
      </c>
      <c r="P223" s="3">
        <v>155</v>
      </c>
      <c r="Q223" s="3">
        <f>VLOOKUP($A223,'SegEnds_NonXtal_BW#'!$A:$Z,12,FALSE)+VLOOKUP($A223,A:AL,16,FALSE)-50</f>
        <v>161</v>
      </c>
      <c r="R223" s="3">
        <f>IF(ISERROR(VLOOKUP($A223,'SegEnds_NonXtal_BW#'!$A:$Z,13,FALSE)+VLOOKUP($A223,A:AL,19,FALSE)-50),"-",VLOOKUP($A223,'SegEnds_NonXtal_BW#'!$A:$Z,13,FALSE)+VLOOKUP($A223,A:AL,19,FALSE)-50)</f>
        <v>162</v>
      </c>
      <c r="S223" s="3">
        <v>162</v>
      </c>
      <c r="T223" s="103">
        <f>IF(ISERROR(VLOOKUP($A223,'SegEnds_NonXtal_BW#'!$A:$Z,14,FALSE)+VLOOKUP($A223,A:AL,19,FALSE)-50),"-",(VLOOKUP($A223,'SegEnds_NonXtal_BW#'!$A:$Z,14,FALSE)+VLOOKUP($A223,A:AL,19,FALSE)-50))</f>
        <v>169</v>
      </c>
      <c r="U223" s="9">
        <f>IF(ISERROR(VLOOKUP($A223,'SegEnds_NonXtal_BW#'!$A:$Z,15,FALSE)+VLOOKUP($A223,A:AL,22,FALSE)-50),"-",VLOOKUP($A223,'SegEnds_NonXtal_BW#'!$A:$Z,15,FALSE)+VLOOKUP($A223,A:AL,22,FALSE)-50)</f>
        <v>170</v>
      </c>
      <c r="V223" s="3">
        <v>182</v>
      </c>
      <c r="W223" s="3">
        <f>IF(ISERROR(VLOOKUP($A223,'SegEnds_NonXtal_BW#'!$A:$Z,16,FALSE)+VLOOKUP($A223,A:AL,22,FALSE)-50),"-",(VLOOKUP($A223,'SegEnds_NonXtal_BW#'!$A:$Z,16,FALSE)+VLOOKUP($A223,A:AL,22,FALSE)-50))</f>
        <v>195</v>
      </c>
      <c r="X223" s="3">
        <f>Y223</f>
        <v>208</v>
      </c>
      <c r="Y223" s="3">
        <v>208</v>
      </c>
      <c r="Z223" s="3">
        <f>Y223+2</f>
        <v>210</v>
      </c>
      <c r="AA223" s="3">
        <f>IF(ISERROR(VLOOKUP($A223,'SegEnds_NonXtal_BW#'!$A:$Z,19,FALSE)+VLOOKUP($A223,A:AL,28,FALSE)-50),"-",(VLOOKUP($A223,'SegEnds_NonXtal_BW#'!$A:$Z,19,FALSE)+VLOOKUP($A223,A:AL,28,FALSE)-50))</f>
        <v>229</v>
      </c>
      <c r="AB223" s="3">
        <v>243</v>
      </c>
      <c r="AC223" s="3">
        <f>IF(ISERROR((VLOOKUP($A223,'SegEnds_NonXtal_BW#'!$A:$Z,20,FALSE)+VLOOKUP($A223,A:AL,28,FALSE)-50)),"-",(VLOOKUP($A223,'SegEnds_NonXtal_BW#'!$A:$Z,20,FALSE)+VLOOKUP($A223,A:AL,28,FALSE)-50))</f>
        <v>265</v>
      </c>
      <c r="AD223" s="3">
        <f>IF(ISERROR(VLOOKUP($A223,'SegEnds_NonXtal_BW#'!$A:$Z,21,FALSE)+VLOOKUP($A223,A:AL,31,FALSE)-50),"-",(VLOOKUP($A223,'SegEnds_NonXtal_BW#'!$A:$Z,21,FALSE)+VLOOKUP($A223,A:AL,31,FALSE)-50))</f>
        <v>271</v>
      </c>
      <c r="AE223" s="3">
        <v>297</v>
      </c>
      <c r="AF223" s="3">
        <f>IF(ISERROR((VLOOKUP($A223,'SegEnds_NonXtal_BW#'!$A:$Z,22,FALSE)+VLOOKUP($A223,A:AL,31,FALSE)-50)),"-",(VLOOKUP($A223,'SegEnds_NonXtal_BW#'!$A:$Z,22,FALSE)+VLOOKUP($A223,A:AL,31,FALSE)-50))</f>
        <v>311</v>
      </c>
      <c r="AG223" s="3">
        <f>IF(ISERROR(VLOOKUP($A223,'SegEnds_NonXtal_BW#'!$A:$Z,23,FALSE)+VLOOKUP($A223,A:AL,34,FALSE)-50),"-",(VLOOKUP($A223,'SegEnds_NonXtal_BW#'!$A:$Z,23,FALSE)+VLOOKUP($A223,A:AL,34,FALSE)-50))</f>
        <v>317</v>
      </c>
      <c r="AH223" s="3">
        <v>343</v>
      </c>
      <c r="AI223" s="3">
        <f>IF(ISERROR((VLOOKUP($A223,'SegEnds_NonXtal_BW#'!$A:$Z,24,FALSE)+VLOOKUP($A223,A:AL,34,FALSE)-50)),"-",(VLOOKUP($A223,'SegEnds_NonXtal_BW#'!$A:$Z,24,FALSE)+VLOOKUP($A223,A:AL,34,FALSE)-50))</f>
        <v>349</v>
      </c>
      <c r="AJ223" s="3">
        <f>IF(ISERROR(VLOOKUP($A223,'SegEnds_NonXtal_BW#'!$A:$Z,25,FALSE)+VLOOKUP($A223,A:AL,37,FALSE)-50),"-",(VLOOKUP($A223,'SegEnds_NonXtal_BW#'!$A:$Z,25,FALSE)+VLOOKUP($A223,A:AL,37,FALSE)-50))</f>
        <v>350</v>
      </c>
      <c r="AK223" s="3">
        <v>353</v>
      </c>
      <c r="AL223" s="3">
        <f>IF(ISERROR((VLOOKUP($A223,'SegEnds_NonXtal_BW#'!$A:$Z,26,FALSE)+VLOOKUP($A223,A:AL,37,FALSE)-50)),"-",(VLOOKUP($A223,'SegEnds_NonXtal_BW#'!$A:$Z,26,FALSE)+VLOOKUP($A223,A:AL,37,FALSE)-50))</f>
        <v>362</v>
      </c>
      <c r="AM223" s="28" t="str">
        <f>VLOOKUP(A223,Classification!A:B,2,FALSE)</f>
        <v>A</v>
      </c>
      <c r="AN223" s="28" t="b">
        <f>AND(IF(Y223="-",IF(AA223-W223&gt;3,TRUE,FALSE),TRUE),IF(M223="-",IF(O223-K223&gt;3,TRUE,FALSE),TRUE),C223&lt;E223,OR(E223&lt;F223,F223="-"),OR(F223&lt;H223,F223="-"),OR(H223&lt;I223,H223="-"),I223&lt;K223,OR(K223&lt;L223,L223="-"),OR(L223&lt;N223,L223="-"),OR(N223&lt;O223,N223="-"),O223&lt;Q223,OR(Q223&lt;R223,R223="-"),OR(R223&lt;T223,R223="-"),OR(T223&lt;U223,T223="-"),U223&lt;W223,OR(W223&lt;X223,X223="-"),OR(X223&lt;Z223,X223="-"),OR(Z223&lt;AA223,Z223="-"),AA223&lt;AC223,AC223&lt;AD223,AD223&lt;AF223,AF223&lt;AG223,AG223&lt;AI223,OR(AI223&lt;AJ223,AJ223="-"),OR(AJ223&lt;AL223,AJ223="-"))</f>
        <v>1</v>
      </c>
      <c r="AO223" s="3" t="str">
        <f>IF(ISERROR(MATCH(A223,'SegEnds_Xtal_Prot#'!B:B, 0)), "NoXtal", "Xtal")</f>
        <v>NoXtal</v>
      </c>
      <c r="AP223" s="3" t="str">
        <f>IF(ISERROR(F223-E223),"-",F223-E223)</f>
        <v>-</v>
      </c>
      <c r="AQ223" s="3" t="str">
        <f>IF(ISERROR(I223-H223),"-",I223-H223)</f>
        <v>-</v>
      </c>
      <c r="AR223" s="3">
        <f>IF(ISERROR(L223-K223),"-",L223-K223)</f>
        <v>7</v>
      </c>
      <c r="AS223" s="3">
        <f>IF(ISERROR(O223-N223),"-",O223-N223)</f>
        <v>1</v>
      </c>
      <c r="AT223" s="3">
        <f>IF(ISERROR(R223-Q223),"-",R223-Q223)</f>
        <v>1</v>
      </c>
      <c r="AU223" s="3">
        <f>IF(ISERROR(U223-T223),"-",U223-T223)</f>
        <v>1</v>
      </c>
      <c r="AV223" s="3">
        <f>IF(ISERROR(X223-W223),"-",X223-W223)</f>
        <v>13</v>
      </c>
      <c r="AW223" s="3">
        <f>IF(ISERROR(AA223-Z223),"-",AA223-Z223)</f>
        <v>19</v>
      </c>
      <c r="AX223" s="3">
        <f>IF(ISERROR(AD223-AC223),"-",AD223-AC223)</f>
        <v>6</v>
      </c>
      <c r="AY223" s="3">
        <f>IF(ISERROR(AG223-AF223),"-",AG223-AF223)</f>
        <v>6</v>
      </c>
      <c r="AZ223" s="3">
        <f>IF(ISERROR(AJ223-AI223),"-",AJ223-AI223)</f>
        <v>1</v>
      </c>
      <c r="BA223" s="3">
        <f>IF(ISERROR(LEN(VLOOKUP(A223,Seqs!A:E,2,FALSE))-AL223),"-",LEN(VLOOKUP(A223,Seqs!A:E,2,FALSE))-AL223)</f>
        <v>28</v>
      </c>
      <c r="BB223" s="16">
        <f>J223-D223</f>
        <v>33</v>
      </c>
      <c r="BC223" s="9">
        <f>IF(ISERROR(V223-S223),"-",V223-S223)</f>
        <v>20</v>
      </c>
      <c r="BD223" s="3">
        <f>J223-D223</f>
        <v>33</v>
      </c>
      <c r="BE223" s="3">
        <f>AE223-AB223</f>
        <v>54</v>
      </c>
      <c r="BF223" s="3">
        <f>AH223-AE223</f>
        <v>46</v>
      </c>
    </row>
    <row r="224" spans="1:59" s="3" customFormat="1" x14ac:dyDescent="0.2">
      <c r="A224" s="3" t="s">
        <v>364</v>
      </c>
      <c r="B224" s="3" t="str">
        <f>LOWER(VLOOKUP(A224,Xtal_Templ!A:B,2,FALSE))</f>
        <v>par2_human</v>
      </c>
      <c r="C224" s="3">
        <f>VLOOKUP($A224,'SegEnds_NonXtal_BW#'!$A:$Z,3,FALSE)+D224-50</f>
        <v>13</v>
      </c>
      <c r="D224" s="3">
        <v>35</v>
      </c>
      <c r="E224" s="3">
        <f>IF(ISERROR(VLOOKUP($A224,'SegEnds_NonXtal_BW#'!$A:$Z,4,FALSE)+VLOOKUP($A224,A:AL,4,FALSE)-50),"-",(VLOOKUP($A224,'SegEnds_NonXtal_BW#'!$A:$Z,4,FALSE)+VLOOKUP($A224,A:AL,4,FALSE)-50))</f>
        <v>45</v>
      </c>
      <c r="F224" s="3" t="str">
        <f>IF(ISERROR(VLOOKUP($A224,'SegEnds_NonXtal_BW#'!$A:$Z,5,FALSE)+VLOOKUP($A224,A:AL,7,FALSE)-50),"-",(VLOOKUP($A224,'SegEnds_NonXtal_BW#'!$A:$Z,5,FALSE)+VLOOKUP($A224,A:AL,7,FALSE)-50))</f>
        <v>-</v>
      </c>
      <c r="G224" s="3" t="s">
        <v>23</v>
      </c>
      <c r="H224" s="3" t="str">
        <f>IF(ISERROR(VLOOKUP($A224,'SegEnds_NonXtal_BW#'!$A:$Z,6,FALSE)+VLOOKUP($A224,A:AL,7,FALSE)-50),"-",(VLOOKUP($A224,'SegEnds_NonXtal_BW#'!$A:$Z,6,FALSE)+VLOOKUP($A224,A:AL,7,FALSE)-50))</f>
        <v>-</v>
      </c>
      <c r="I224" s="3">
        <f>VLOOKUP($A224,'SegEnds_NonXtal_BW#'!$A:$Z,7,FALSE)+J224-50</f>
        <v>52</v>
      </c>
      <c r="J224" s="3">
        <v>65</v>
      </c>
      <c r="K224" s="3">
        <f>VLOOKUP($A224,'SegEnds_NonXtal_BW#'!$A:$Z,8,FALSE)+VLOOKUP($A224,A:AL,10,FALSE)-50</f>
        <v>81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88</v>
      </c>
      <c r="P224" s="3">
        <v>117</v>
      </c>
      <c r="Q224" s="3">
        <f>VLOOKUP($A224,'SegEnds_NonXtal_BW#'!$A:$Z,12,FALSE)+VLOOKUP($A224,A:AL,16,FALSE)-50</f>
        <v>123</v>
      </c>
      <c r="R224" s="3">
        <f>IF(ISERROR(VLOOKUP($A224,'SegEnds_NonXtal_BW#'!$A:$Z,13,FALSE)+VLOOKUP($A224,A:AL,19,FALSE)-50),"-",VLOOKUP($A224,'SegEnds_NonXtal_BW#'!$A:$Z,13,FALSE)+VLOOKUP($A224,A:AL,19,FALSE)-50)</f>
        <v>124</v>
      </c>
      <c r="S224" s="3">
        <v>124</v>
      </c>
      <c r="T224" s="103">
        <f>IF(ISERROR(VLOOKUP($A224,'SegEnds_NonXtal_BW#'!$A:$Z,14,FALSE)+VLOOKUP($A224,A:AL,19,FALSE)-50),"-",(VLOOKUP($A224,'SegEnds_NonXtal_BW#'!$A:$Z,14,FALSE)+VLOOKUP($A224,A:AL,19,FALSE)-50))</f>
        <v>131</v>
      </c>
      <c r="U224" s="9">
        <f>IF(ISERROR(VLOOKUP($A224,'SegEnds_NonXtal_BW#'!$A:$Z,15,FALSE)+VLOOKUP($A224,A:AL,22,FALSE)-50),"-",VLOOKUP($A224,'SegEnds_NonXtal_BW#'!$A:$Z,15,FALSE)+VLOOKUP($A224,A:AL,22,FALSE)-50)</f>
        <v>132</v>
      </c>
      <c r="V224" s="3">
        <v>144</v>
      </c>
      <c r="W224" s="3">
        <f>IF(ISERROR(VLOOKUP($A224,'SegEnds_NonXtal_BW#'!$A:$Z,16,FALSE)+VLOOKUP($A224,A:AL,22,FALSE)-50),"-",(VLOOKUP($A224,'SegEnds_NonXtal_BW#'!$A:$Z,16,FALSE)+VLOOKUP($A224,A:AL,22,FALSE)-50))</f>
        <v>156</v>
      </c>
      <c r="X224" s="3">
        <f>IF(ISERROR(VLOOKUP($A224,'SegEnds_NonXtal_BW#'!$A:$Z,17,FALSE)+VLOOKUP($A224,A:AL,25,FALSE)-50),"-",(VLOOKUP($A224,'SegEnds_NonXtal_BW#'!$A:$Z,17,FALSE)+VLOOKUP($A224,A:AL,25,FALSE)-50))</f>
        <v>170</v>
      </c>
      <c r="Y224" s="3">
        <v>170</v>
      </c>
      <c r="Z224" s="3">
        <f>IF(ISERROR(VLOOKUP($A224,'SegEnds_NonXtal_BW#'!$A:$Z,18,FALSE)+VLOOKUP($A224,A:AL,25,FALSE)-50),"-",(VLOOKUP($A224,'SegEnds_NonXtal_BW#'!$A:$Z,18,FALSE)+VLOOKUP($A224,A:AL,25,FALSE)-50))</f>
        <v>172</v>
      </c>
      <c r="AA224" s="3">
        <f>IF(ISERROR(VLOOKUP($A224,'SegEnds_NonXtal_BW#'!$A:$Z,19,FALSE)+VLOOKUP($A224,A:AL,28,FALSE)-50),"-",(VLOOKUP($A224,'SegEnds_NonXtal_BW#'!$A:$Z,19,FALSE)+VLOOKUP($A224,A:AL,28,FALSE)-50))</f>
        <v>178</v>
      </c>
      <c r="AB224" s="3">
        <v>197</v>
      </c>
      <c r="AC224" s="3">
        <f>IF(ISERROR((VLOOKUP($A224,'SegEnds_NonXtal_BW#'!$A:$Z,20,FALSE)+VLOOKUP($A224,A:AL,28,FALSE)-50)),"-",(VLOOKUP($A224,'SegEnds_NonXtal_BW#'!$A:$Z,20,FALSE)+VLOOKUP($A224,A:AL,28,FALSE)-50))</f>
        <v>223</v>
      </c>
      <c r="AD224" s="3">
        <f>IF(ISERROR(VLOOKUP($A224,'SegEnds_NonXtal_BW#'!$A:$Z,21,FALSE)+VLOOKUP($A224,A:AL,31,FALSE)-50),"-",(VLOOKUP($A224,'SegEnds_NonXtal_BW#'!$A:$Z,21,FALSE)+VLOOKUP($A224,A:AL,31,FALSE)-50))</f>
        <v>261</v>
      </c>
      <c r="AE224" s="3">
        <v>287</v>
      </c>
      <c r="AF224" s="3">
        <f>IF(ISERROR((VLOOKUP($A224,'SegEnds_NonXtal_BW#'!$A:$Z,22,FALSE)+VLOOKUP($A224,A:AL,31,FALSE)-50)),"-",(VLOOKUP($A224,'SegEnds_NonXtal_BW#'!$A:$Z,22,FALSE)+VLOOKUP($A224,A:AL,31,FALSE)-50))</f>
        <v>298</v>
      </c>
      <c r="AG224" s="3">
        <f>IF(ISERROR(VLOOKUP($A224,'SegEnds_NonXtal_BW#'!$A:$Z,23,FALSE)+VLOOKUP($A224,A:AL,34,FALSE)-50),"-",(VLOOKUP($A224,'SegEnds_NonXtal_BW#'!$A:$Z,23,FALSE)+VLOOKUP($A224,A:AL,34,FALSE)-50))</f>
        <v>304</v>
      </c>
      <c r="AH224" s="3">
        <v>326</v>
      </c>
      <c r="AI224" s="3">
        <f>IF(ISERROR((VLOOKUP($A224,'SegEnds_NonXtal_BW#'!$A:$Z,24,FALSE)+VLOOKUP($A224,A:AL,34,FALSE)-50)),"-",(VLOOKUP($A224,'SegEnds_NonXtal_BW#'!$A:$Z,24,FALSE)+VLOOKUP($A224,A:AL,34,FALSE)-50))</f>
        <v>332</v>
      </c>
      <c r="AJ224" s="3">
        <f>IF(ISERROR(VLOOKUP($A224,'SegEnds_NonXtal_BW#'!$A:$Z,25,FALSE)+VLOOKUP($A224,A:AL,37,FALSE)-50),"-",(VLOOKUP($A224,'SegEnds_NonXtal_BW#'!$A:$Z,25,FALSE)+VLOOKUP($A224,A:AL,37,FALSE)-50))</f>
        <v>333</v>
      </c>
      <c r="AK224" s="3">
        <v>336</v>
      </c>
      <c r="AL224" s="3">
        <f>IF(ISERROR((VLOOKUP($A224,'SegEnds_NonXtal_BW#'!$A:$Z,26,FALSE)+VLOOKUP($A224,A:AL,37,FALSE)-50)),"-",(VLOOKUP($A224,'SegEnds_NonXtal_BW#'!$A:$Z,26,FALSE)+VLOOKUP($A224,A:AL,37,FALSE)-50))</f>
        <v>347</v>
      </c>
      <c r="AM224" s="28" t="str">
        <f>VLOOKUP(A224,Classification!A:B,2,FALSE)</f>
        <v>A</v>
      </c>
      <c r="AN224" s="28" t="b">
        <f>AND(IF(Y224="-",IF(AA224-W224&gt;3,TRUE,FALSE),TRUE),IF(M224="-",IF(O224-K224&gt;3,TRUE,FALSE),TRUE),C224&lt;E224,OR(E224&lt;F224,F224="-"),OR(F224&lt;H224,F224="-"),OR(H224&lt;I224,H224="-"),I224&lt;K224,OR(K224&lt;L224,L224="-"),OR(L224&lt;N224,L224="-"),OR(N224&lt;O224,N224="-"),O224&lt;Q224,OR(Q224&lt;R224,R224="-"),OR(R224&lt;T224,R224="-"),OR(T224&lt;U224,T224="-"),U224&lt;W224,OR(W224&lt;X224,X224="-"),OR(X224&lt;Z224,X224="-"),OR(Z224&lt;AA224,Z224="-"),AA224&lt;AC224,AC224&lt;AD224,AD224&lt;AF224,AF224&lt;AG224,AG224&lt;AI224,OR(AI224&lt;AJ224,AJ224="-"),OR(AJ224&lt;AL224,AJ224="-"))</f>
        <v>1</v>
      </c>
      <c r="AO224" s="3" t="str">
        <f>IF(ISERROR(MATCH(A224,'SegEnds_Xtal_Prot#'!B:B, 0)), "NoXtal", "Xtal")</f>
        <v>NoXtal</v>
      </c>
      <c r="AP224" s="3" t="str">
        <f>IF(ISERROR(F224-E224),"-",F224-E224)</f>
        <v>-</v>
      </c>
      <c r="AQ224" s="3" t="str">
        <f>IF(ISERROR(I224-H224),"-",I224-H224)</f>
        <v>-</v>
      </c>
      <c r="AR224" s="3" t="str">
        <f>IF(ISERROR(L224-K224),"-",L224-K224)</f>
        <v>-</v>
      </c>
      <c r="AS224" s="3" t="str">
        <f>IF(ISERROR(O224-N224),"-",O224-N224)</f>
        <v>-</v>
      </c>
      <c r="AT224" s="3">
        <f>IF(ISERROR(R224-Q224),"-",R224-Q224)</f>
        <v>1</v>
      </c>
      <c r="AU224" s="3">
        <f>IF(ISERROR(U224-T224),"-",U224-T224)</f>
        <v>1</v>
      </c>
      <c r="AV224" s="3">
        <f>IF(ISERROR(X224-W224),"-",X224-W224)</f>
        <v>14</v>
      </c>
      <c r="AW224" s="3">
        <f>IF(ISERROR(AA224-Z224),"-",AA224-Z224)</f>
        <v>6</v>
      </c>
      <c r="AX224" s="3">
        <f>IF(ISERROR(AD224-AC224),"-",AD224-AC224)</f>
        <v>38</v>
      </c>
      <c r="AY224" s="3">
        <f>IF(ISERROR(AG224-AF224),"-",AG224-AF224)</f>
        <v>6</v>
      </c>
      <c r="AZ224" s="3">
        <f>IF(ISERROR(AJ224-AI224),"-",AJ224-AI224)</f>
        <v>1</v>
      </c>
      <c r="BA224" s="3">
        <f>IF(ISERROR(LEN(VLOOKUP(A224,Seqs!A:E,2,FALSE))-AL224),"-",LEN(VLOOKUP(A224,Seqs!A:E,2,FALSE))-AL224)</f>
        <v>141</v>
      </c>
      <c r="BB224" s="16">
        <f>J224-D224</f>
        <v>30</v>
      </c>
      <c r="BC224" s="9">
        <f>IF(ISERROR(V224-S224),"-",V224-S224)</f>
        <v>20</v>
      </c>
      <c r="BD224" s="3">
        <f>J224-D224</f>
        <v>30</v>
      </c>
      <c r="BE224" s="3">
        <f>AE224-AB224</f>
        <v>90</v>
      </c>
    </row>
    <row r="225" spans="1:58" s="3" customFormat="1" x14ac:dyDescent="0.2">
      <c r="A225" s="3" t="s">
        <v>365</v>
      </c>
      <c r="B225" s="3" t="str">
        <f>LOWER(VLOOKUP(A225,Xtal_Templ!A:B,2,FALSE))</f>
        <v>lpar1_human</v>
      </c>
      <c r="C225" s="3">
        <f>VLOOKUP($A225,'SegEnds_NonXtal_BW#'!$A:$Z,3,FALSE)+D225-50</f>
        <v>24</v>
      </c>
      <c r="D225" s="3">
        <v>44</v>
      </c>
      <c r="E225" s="3">
        <f>IF(ISERROR(VLOOKUP($A225,'SegEnds_NonXtal_BW#'!$A:$Z,4,FALSE)+VLOOKUP($A225,A:AL,4,FALSE)-50),"-",(VLOOKUP($A225,'SegEnds_NonXtal_BW#'!$A:$Z,4,FALSE)+VLOOKUP($A225,A:AL,4,FALSE)-50))</f>
        <v>54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77</v>
      </c>
      <c r="K225" s="3">
        <f>VLOOKUP($A225,'SegEnds_NonXtal_BW#'!$A:$Z,8,FALSE)+VLOOKUP($A225,A:AL,10,FALSE)-50</f>
        <v>90</v>
      </c>
      <c r="L225" s="3">
        <f>M225-1</f>
        <v>97</v>
      </c>
      <c r="M225" s="3">
        <v>98</v>
      </c>
      <c r="N225" s="3">
        <f>M225+2</f>
        <v>100</v>
      </c>
      <c r="O225" s="3">
        <f>N225+1</f>
        <v>101</v>
      </c>
      <c r="P225" s="3">
        <v>133</v>
      </c>
      <c r="Q225" s="3">
        <f>VLOOKUP($A225,'SegEnds_NonXtal_BW#'!$A:$Z,12,FALSE)+VLOOKUP($A225,A:AL,16,FALSE)-50</f>
        <v>139</v>
      </c>
      <c r="R225" s="3">
        <f>IF(ISERROR(VLOOKUP($A225,'SegEnds_NonXtal_BW#'!$A:$Z,13,FALSE)+VLOOKUP($A225,A:AL,19,FALSE)-50),"-",VLOOKUP($A225,'SegEnds_NonXtal_BW#'!$A:$Z,13,FALSE)+VLOOKUP($A225,A:AL,19,FALSE)-50)</f>
        <v>140</v>
      </c>
      <c r="S225" s="3">
        <v>140</v>
      </c>
      <c r="T225" s="103">
        <f>IF(ISERROR(VLOOKUP($A225,'SegEnds_NonXtal_BW#'!$A:$Z,14,FALSE)+VLOOKUP($A225,A:AL,19,FALSE)-50),"-",(VLOOKUP($A225,'SegEnds_NonXtal_BW#'!$A:$Z,14,FALSE)+VLOOKUP($A225,A:AL,19,FALSE)-50))</f>
        <v>147</v>
      </c>
      <c r="U225" s="9">
        <f>IF(ISERROR(VLOOKUP($A225,'SegEnds_NonXtal_BW#'!$A:$Z,15,FALSE)+VLOOKUP($A225,A:AL,22,FALSE)-50),"-",VLOOKUP($A225,'SegEnds_NonXtal_BW#'!$A:$Z,15,FALSE)+VLOOKUP($A225,A:AL,22,FALSE)-50)</f>
        <v>148</v>
      </c>
      <c r="V225" s="3">
        <v>160</v>
      </c>
      <c r="W225" s="3">
        <f>IF(ISERROR(VLOOKUP($A225,'SegEnds_NonXtal_BW#'!$A:$Z,16,FALSE)+VLOOKUP($A225,A:AL,22,FALSE)-50),"-",(VLOOKUP($A225,'SegEnds_NonXtal_BW#'!$A:$Z,16,FALSE)+VLOOKUP($A225,A:AL,22,FALSE)-50))</f>
        <v>173</v>
      </c>
      <c r="X225" s="3">
        <f>IF(ISERROR(VLOOKUP($A225,'SegEnds_NonXtal_BW#'!$A:$Z,17,FALSE)+VLOOKUP($A225,A:AL,25,FALSE)-50),"-",(VLOOKUP($A225,'SegEnds_NonXtal_BW#'!$A:$Z,17,FALSE)+VLOOKUP($A225,A:AL,25,FALSE)-50))</f>
        <v>186</v>
      </c>
      <c r="Y225" s="3">
        <v>186</v>
      </c>
      <c r="Z225" s="3">
        <f>Y225+2</f>
        <v>188</v>
      </c>
      <c r="AA225" s="3">
        <f>IF(ISERROR(VLOOKUP($A225,'SegEnds_NonXtal_BW#'!$A:$Z,19,FALSE)+VLOOKUP($A225,A:AL,28,FALSE)-50),"-",(VLOOKUP($A225,'SegEnds_NonXtal_BW#'!$A:$Z,19,FALSE)+VLOOKUP($A225,A:AL,28,FALSE)-50))</f>
        <v>199</v>
      </c>
      <c r="AB225" s="3">
        <v>214</v>
      </c>
      <c r="AC225" s="3">
        <f>IF(ISERROR((VLOOKUP($A225,'SegEnds_NonXtal_BW#'!$A:$Z,20,FALSE)+VLOOKUP($A225,A:AL,28,FALSE)-50)),"-",(VLOOKUP($A225,'SegEnds_NonXtal_BW#'!$A:$Z,20,FALSE)+VLOOKUP($A225,A:AL,28,FALSE)-50))</f>
        <v>236</v>
      </c>
      <c r="AD225" s="3">
        <f>IF(ISERROR(VLOOKUP($A225,'SegEnds_NonXtal_BW#'!$A:$Z,21,FALSE)+VLOOKUP($A225,A:AL,31,FALSE)-50),"-",(VLOOKUP($A225,'SegEnds_NonXtal_BW#'!$A:$Z,21,FALSE)+VLOOKUP($A225,A:AL,31,FALSE)-50))</f>
        <v>243</v>
      </c>
      <c r="AE225" s="3">
        <v>264</v>
      </c>
      <c r="AF225" s="3">
        <f>IF(ISERROR((VLOOKUP($A225,'SegEnds_NonXtal_BW#'!$A:$Z,22,FALSE)+VLOOKUP($A225,A:AL,31,FALSE)-50)),"-",(VLOOKUP($A225,'SegEnds_NonXtal_BW#'!$A:$Z,22,FALSE)+VLOOKUP($A225,A:AL,31,FALSE)-50))</f>
        <v>275</v>
      </c>
      <c r="AG225" s="3">
        <f>IF(ISERROR(VLOOKUP($A225,'SegEnds_NonXtal_BW#'!$A:$Z,23,FALSE)+VLOOKUP($A225,A:AL,34,FALSE)-50),"-",(VLOOKUP($A225,'SegEnds_NonXtal_BW#'!$A:$Z,23,FALSE)+VLOOKUP($A225,A:AL,34,FALSE)-50))</f>
        <v>282</v>
      </c>
      <c r="AH225" s="3">
        <v>301</v>
      </c>
      <c r="AI225" s="3">
        <f>IF(ISERROR((VLOOKUP($A225,'SegEnds_NonXtal_BW#'!$A:$Z,24,FALSE)+VLOOKUP($A225,A:AL,34,FALSE)-50)),"-",(VLOOKUP($A225,'SegEnds_NonXtal_BW#'!$A:$Z,24,FALSE)+VLOOKUP($A225,A:AL,34,FALSE)-50))</f>
        <v>307</v>
      </c>
      <c r="AJ225" s="3">
        <f>IF(ISERROR(VLOOKUP($A225,'SegEnds_NonXtal_BW#'!$A:$Z,25,FALSE)+VLOOKUP($A225,A:AL,37,FALSE)-50),"-",(VLOOKUP($A225,'SegEnds_NonXtal_BW#'!$A:$Z,25,FALSE)+VLOOKUP($A225,A:AL,37,FALSE)-50))</f>
        <v>308</v>
      </c>
      <c r="AK225" s="3">
        <v>311</v>
      </c>
      <c r="AL225" s="3">
        <f>IF(ISERROR((VLOOKUP($A225,'SegEnds_NonXtal_BW#'!$A:$Z,26,FALSE)+VLOOKUP($A225,A:AL,37,FALSE)-50)),"-",(VLOOKUP($A225,'SegEnds_NonXtal_BW#'!$A:$Z,26,FALSE)+VLOOKUP($A225,A:AL,37,FALSE)-50))</f>
        <v>320</v>
      </c>
      <c r="AM225" s="28" t="str">
        <f>VLOOKUP(A225,Classification!A:B,2,FALSE)</f>
        <v>A</v>
      </c>
      <c r="AN225" s="28" t="b">
        <f>AND(IF(Y225="-",IF(AA225-W225&gt;3,TRUE,FALSE),TRUE),IF(M225="-",IF(O225-K225&gt;3,TRUE,FALSE),TRUE),C225&lt;E225,OR(E225&lt;F225,F225="-"),OR(F225&lt;H225,F225="-"),OR(H225&lt;I225,H225="-"),I225&lt;K225,OR(K225&lt;L225,L225="-"),OR(L225&lt;N225,L225="-"),OR(N225&lt;O225,N225="-"),O225&lt;Q225,OR(Q225&lt;R225,R225="-"),OR(R225&lt;T225,R225="-"),OR(T225&lt;U225,T225="-"),U225&lt;W225,OR(W225&lt;X225,X225="-"),OR(X225&lt;Z225,X225="-"),OR(Z225&lt;AA225,Z225="-"),AA225&lt;AC225,AC225&lt;AD225,AD225&lt;AF225,AF225&lt;AG225,AG225&lt;AI225,OR(AI225&lt;AJ225,AJ225="-"),OR(AJ225&lt;AL225,AJ225="-"))</f>
        <v>1</v>
      </c>
      <c r="AO225" s="3" t="str">
        <f>IF(ISERROR(MATCH(A225,'SegEnds_Xtal_Prot#'!B:B, 0)), "NoXtal", "Xtal")</f>
        <v>NoXtal</v>
      </c>
      <c r="AP225" s="3">
        <f>IF(ISERROR(F225-E225),"-",F225-E225)</f>
        <v>2</v>
      </c>
      <c r="AQ225" s="3">
        <f>IF(ISERROR(I225-H225),"-",I225-H225)</f>
        <v>1</v>
      </c>
      <c r="AR225" s="3">
        <f>IF(ISERROR(L225-K225),"-",L225-K225)</f>
        <v>7</v>
      </c>
      <c r="AS225" s="3">
        <f>IF(ISERROR(O225-N225),"-",O225-N225)</f>
        <v>1</v>
      </c>
      <c r="AT225" s="3">
        <f>IF(ISERROR(R225-Q225),"-",R225-Q225)</f>
        <v>1</v>
      </c>
      <c r="AU225" s="3">
        <f>IF(ISERROR(U225-T225),"-",U225-T225)</f>
        <v>1</v>
      </c>
      <c r="AV225" s="3">
        <f>IF(ISERROR(X225-W225),"-",X225-W225)</f>
        <v>13</v>
      </c>
      <c r="AW225" s="3">
        <f>IF(ISERROR(AA225-Z225),"-",AA225-Z225)</f>
        <v>11</v>
      </c>
      <c r="AX225" s="3">
        <f>IF(ISERROR(AD225-AC225),"-",AD225-AC225)</f>
        <v>7</v>
      </c>
      <c r="AY225" s="3">
        <f>IF(ISERROR(AG225-AF225),"-",AG225-AF225)</f>
        <v>7</v>
      </c>
      <c r="AZ225" s="3">
        <f>IF(ISERROR(AJ225-AI225),"-",AJ225-AI225)</f>
        <v>1</v>
      </c>
      <c r="BA225" s="3">
        <f>IF(ISERROR(LEN(VLOOKUP(A225,Seqs!A:E,2,FALSE))-AL225),"-",LEN(VLOOKUP(A225,Seqs!A:E,2,FALSE))-AL225)</f>
        <v>39</v>
      </c>
      <c r="BB225" s="16">
        <f>J225-D225</f>
        <v>33</v>
      </c>
      <c r="BC225" s="9">
        <f>IF(ISERROR(V225-S225),"-",V225-S225)</f>
        <v>20</v>
      </c>
      <c r="BD225" s="3">
        <f>J225-D225</f>
        <v>33</v>
      </c>
      <c r="BE225" s="3">
        <f>AE225-AB225</f>
        <v>50</v>
      </c>
    </row>
    <row r="226" spans="1:58" s="3" customFormat="1" x14ac:dyDescent="0.2">
      <c r="A226" s="3" t="s">
        <v>366</v>
      </c>
      <c r="B226" s="3" t="str">
        <f>LOWER(VLOOKUP(A226,Xtal_Templ!A:B,2,FALSE))</f>
        <v>agtr2_human</v>
      </c>
      <c r="C226" s="3">
        <f>VLOOKUP($A226,'SegEnds_NonXtal_BW#'!$A:$Z,3,FALSE)+D226-50</f>
        <v>14</v>
      </c>
      <c r="D226" s="3">
        <v>31</v>
      </c>
      <c r="E226" s="3">
        <f>IF(ISERROR(VLOOKUP($A226,'SegEnds_NonXtal_BW#'!$A:$Z,4,FALSE)+VLOOKUP($A226,A:AL,4,FALSE)-50),"-",(VLOOKUP($A226,'SegEnds_NonXtal_BW#'!$A:$Z,4,FALSE)+VLOOKUP($A226,A:AL,4,FALSE)-50))</f>
        <v>41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47</v>
      </c>
      <c r="J226" s="3">
        <v>60</v>
      </c>
      <c r="K226" s="3">
        <f>VLOOKUP($A226,'SegEnds_NonXtal_BW#'!$A:$Z,8,FALSE)+VLOOKUP($A226,A:AL,10,FALSE)-50</f>
        <v>77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85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Y226+2</f>
        <v>172</v>
      </c>
      <c r="AA226" s="3">
        <f>IF(ISERROR(VLOOKUP($A226,'SegEnds_NonXtal_BW#'!$A:$Z,19,FALSE)+VLOOKUP($A226,A:AL,28,FALSE)-50),"-",(VLOOKUP($A226,'SegEnds_NonXtal_BW#'!$A:$Z,19,FALSE)+VLOOKUP($A226,A:AL,28,FALSE)-50))</f>
        <v>177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219</v>
      </c>
      <c r="AD226" s="3">
        <f>IF(ISERROR(VLOOKUP($A226,'SegEnds_NonXtal_BW#'!$A:$Z,21,FALSE)+VLOOKUP($A226,A:AL,31,FALSE)-50),"-",(VLOOKUP($A226,'SegEnds_NonXtal_BW#'!$A:$Z,21,FALSE)+VLOOKUP($A226,A:AL,31,FALSE)-50))</f>
        <v>228</v>
      </c>
      <c r="AE226" s="3">
        <v>254</v>
      </c>
      <c r="AF226" s="3">
        <f>IF(ISERROR((VLOOKUP($A226,'SegEnds_NonXtal_BW#'!$A:$Z,22,FALSE)+VLOOKUP($A226,A:AL,31,FALSE)-50)),"-",(VLOOKUP($A226,'SegEnds_NonXtal_BW#'!$A:$Z,22,FALSE)+VLOOKUP($A226,A:AL,31,FALSE)-50))</f>
        <v>265</v>
      </c>
      <c r="AG226" s="3">
        <f>IF(ISERROR(VLOOKUP($A226,'SegEnds_NonXtal_BW#'!$A:$Z,23,FALSE)+VLOOKUP($A226,A:AL,34,FALSE)-50),"-",(VLOOKUP($A226,'SegEnds_NonXtal_BW#'!$A:$Z,23,FALSE)+VLOOKUP($A226,A:AL,34,FALSE)-50))</f>
        <v>270</v>
      </c>
      <c r="AH226" s="3">
        <v>289</v>
      </c>
      <c r="AI226" s="3">
        <f>IF(ISERROR((VLOOKUP($A226,'SegEnds_NonXtal_BW#'!$A:$Z,24,FALSE)+VLOOKUP($A226,A:AL,34,FALSE)-50)),"-",(VLOOKUP($A226,'SegEnds_NonXtal_BW#'!$A:$Z,24,FALSE)+VLOOKUP($A226,A:AL,34,FALSE)-50))</f>
        <v>295</v>
      </c>
      <c r="AJ226" s="3">
        <f>IF(ISERROR(VLOOKUP($A226,'SegEnds_NonXtal_BW#'!$A:$Z,25,FALSE)+VLOOKUP($A226,A:AL,37,FALSE)-50),"-",(VLOOKUP($A226,'SegEnds_NonXtal_BW#'!$A:$Z,25,FALSE)+VLOOKUP($A226,A:AL,37,FALSE)-50))</f>
        <v>296</v>
      </c>
      <c r="AK226" s="3">
        <v>299</v>
      </c>
      <c r="AL226" s="3">
        <f>IF(ISERROR((VLOOKUP($A226,'SegEnds_NonXtal_BW#'!$A:$Z,26,FALSE)+VLOOKUP($A226,A:AL,37,FALSE)-50)),"-",(VLOOKUP($A226,'SegEnds_NonXtal_BW#'!$A:$Z,26,FALSE)+VLOOKUP($A226,A:AL,37,FALSE)-50))</f>
        <v>310</v>
      </c>
      <c r="AM226" s="28" t="str">
        <f>VLOOKUP(A226,Classification!A:B,2,FALSE)</f>
        <v>A</v>
      </c>
      <c r="AN226" s="28" t="b">
        <f>AND(IF(Y226="-",IF(AA226-W226&gt;3,TRUE,FALSE),TRUE),IF(M226="-",IF(O226-K226&gt;3,TRUE,FALSE),TRUE),C226&lt;E226,OR(E226&lt;F226,F226="-"),OR(F226&lt;H226,F226="-"),OR(H226&lt;I226,H226="-"),I226&lt;K226,OR(K226&lt;L226,L226="-"),OR(L226&lt;N226,L226="-"),OR(N226&lt;O226,N226="-"),O226&lt;Q226,OR(Q226&lt;R226,R226="-"),OR(R226&lt;T226,R226="-"),OR(T226&lt;U226,T226="-"),U226&lt;W226,OR(W226&lt;X226,X226="-"),OR(X226&lt;Z226,X226="-"),OR(Z226&lt;AA226,Z226="-"),AA226&lt;AC226,AC226&lt;AD226,AD226&lt;AF226,AF226&lt;AG226,AG226&lt;AI226,OR(AI226&lt;AJ226,AJ226="-"),OR(AJ226&lt;AL226,AJ226="-"))</f>
        <v>1</v>
      </c>
      <c r="AO226" s="3" t="str">
        <f>IF(ISERROR(MATCH(A226,'SegEnds_Xtal_Prot#'!B:B, 0)), "NoXtal", "Xtal")</f>
        <v>NoXtal</v>
      </c>
      <c r="AP226" s="3" t="str">
        <f>IF(ISERROR(F226-E226),"-",F226-E226)</f>
        <v>-</v>
      </c>
      <c r="AQ226" s="3" t="str">
        <f>IF(ISERROR(I226-H226),"-",I226-H226)</f>
        <v>-</v>
      </c>
      <c r="AR226" s="3" t="str">
        <f>IF(ISERROR(L226-K226),"-",L226-K226)</f>
        <v>-</v>
      </c>
      <c r="AS226" s="3" t="str">
        <f>IF(ISERROR(O226-N226),"-",O226-N226)</f>
        <v>-</v>
      </c>
      <c r="AT226" s="3">
        <f>IF(ISERROR(R226-Q226),"-",R226-Q226)</f>
        <v>1</v>
      </c>
      <c r="AU226" s="3">
        <f>IF(ISERROR(U226-T226),"-",U226-T226)</f>
        <v>1</v>
      </c>
      <c r="AV226" s="3">
        <f>IF(ISERROR(X226-W226),"-",X226-W226)</f>
        <v>12</v>
      </c>
      <c r="AW226" s="3">
        <f>IF(ISERROR(AA226-Z226),"-",AA226-Z226)</f>
        <v>5</v>
      </c>
      <c r="AX226" s="3">
        <f>IF(ISERROR(AD226-AC226),"-",AD226-AC226)</f>
        <v>9</v>
      </c>
      <c r="AY226" s="3">
        <f>IF(ISERROR(AG226-AF226),"-",AG226-AF226)</f>
        <v>5</v>
      </c>
      <c r="AZ226" s="3">
        <f>IF(ISERROR(AJ226-AI226),"-",AJ226-AI226)</f>
        <v>1</v>
      </c>
      <c r="BA226" s="3">
        <f>IF(ISERROR(LEN(VLOOKUP(A226,Seqs!A:E,2,FALSE))-AL226),"-",LEN(VLOOKUP(A226,Seqs!A:E,2,FALSE))-AL226)</f>
        <v>76</v>
      </c>
      <c r="BB226" s="16">
        <f>J226-D226</f>
        <v>29</v>
      </c>
      <c r="BC226" s="9">
        <f>IF(ISERROR(V226-S226),"-",V226-S226)</f>
        <v>20</v>
      </c>
      <c r="BD226" s="3">
        <f>J226-D226</f>
        <v>29</v>
      </c>
      <c r="BE226" s="3">
        <f>AE226-AB226</f>
        <v>57</v>
      </c>
    </row>
    <row r="227" spans="1:58" s="3" customFormat="1" x14ac:dyDescent="0.2">
      <c r="A227" s="3" t="s">
        <v>370</v>
      </c>
      <c r="B227" s="3" t="str">
        <f>LOWER(VLOOKUP(A227,Xtal_Templ!A:B,2,FALSE))</f>
        <v>p2ry1_human</v>
      </c>
      <c r="C227" s="3">
        <f>VLOOKUP($A227,'SegEnds_NonXtal_BW#'!$A:$Z,3,FALSE)+D227-50</f>
        <v>12</v>
      </c>
      <c r="D227" s="3">
        <v>32</v>
      </c>
      <c r="E227" s="3">
        <f>IF(ISERROR(VLOOKUP($A227,'SegEnds_NonXtal_BW#'!$A:$Z,4,FALSE)+VLOOKUP($A227,A:AL,4,FALSE)-50),"-",(VLOOKUP($A227,'SegEnds_NonXtal_BW#'!$A:$Z,4,FALSE)+VLOOKUP($A227,A:AL,4,FALSE)-50))</f>
        <v>42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47</v>
      </c>
      <c r="J227" s="3">
        <v>60</v>
      </c>
      <c r="K227" s="3">
        <f>VLOOKUP($A227,'SegEnds_NonXtal_BW#'!$A:$Z,8,FALSE)+VLOOKUP($A227,A:AL,10,FALSE)-50</f>
        <v>76</v>
      </c>
      <c r="L227" s="3">
        <f>M227-1</f>
        <v>79</v>
      </c>
      <c r="M227" s="3">
        <v>80</v>
      </c>
      <c r="N227" s="3">
        <f>M227+2</f>
        <v>82</v>
      </c>
      <c r="O227" s="3">
        <f>N227+1</f>
        <v>83</v>
      </c>
      <c r="P227" s="3">
        <v>112</v>
      </c>
      <c r="Q227" s="3">
        <f>VLOOKUP($A227,'SegEnds_NonXtal_BW#'!$A:$Z,12,FALSE)+VLOOKUP($A227,A:AL,16,FALSE)-50</f>
        <v>118</v>
      </c>
      <c r="R227" s="3">
        <f>IF(ISERROR(VLOOKUP($A227,'SegEnds_NonXtal_BW#'!$A:$Z,13,FALSE)+VLOOKUP($A227,A:AL,19,FALSE)-50),"-",VLOOKUP($A227,'SegEnds_NonXtal_BW#'!$A:$Z,13,FALSE)+VLOOKUP($A227,A:AL,19,FALSE)-50)</f>
        <v>119</v>
      </c>
      <c r="S227" s="3">
        <v>119</v>
      </c>
      <c r="T227" s="103">
        <f>IF(ISERROR(VLOOKUP($A227,'SegEnds_NonXtal_BW#'!$A:$Z,14,FALSE)+VLOOKUP($A227,A:AL,19,FALSE)-50),"-",(VLOOKUP($A227,'SegEnds_NonXtal_BW#'!$A:$Z,14,FALSE)+VLOOKUP($A227,A:AL,19,FALSE)-50))</f>
        <v>126</v>
      </c>
      <c r="U227" s="9">
        <f>IF(ISERROR(VLOOKUP($A227,'SegEnds_NonXtal_BW#'!$A:$Z,15,FALSE)+VLOOKUP($A227,A:AL,22,FALSE)-50),"-",VLOOKUP($A227,'SegEnds_NonXtal_BW#'!$A:$Z,15,FALSE)+VLOOKUP($A227,A:AL,22,FALSE)-50)</f>
        <v>127</v>
      </c>
      <c r="V227" s="3">
        <v>139</v>
      </c>
      <c r="W227" s="3">
        <f>IF(ISERROR(VLOOKUP($A227,'SegEnds_NonXtal_BW#'!$A:$Z,16,FALSE)+VLOOKUP($A227,A:AL,22,FALSE)-50),"-",(VLOOKUP($A227,'SegEnds_NonXtal_BW#'!$A:$Z,16,FALSE)+VLOOKUP($A227,A:AL,22,FALSE)-50))</f>
        <v>153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Y227+2</f>
        <v>172</v>
      </c>
      <c r="AA227" s="3">
        <f>IF(ISERROR(VLOOKUP($A227,'SegEnds_NonXtal_BW#'!$A:$Z,19,FALSE)+VLOOKUP($A227,A:AL,28,FALSE)-50),"-",(VLOOKUP($A227,'SegEnds_NonXtal_BW#'!$A:$Z,19,FALSE)+VLOOKUP($A227,A:AL,28,FALSE)-50))</f>
        <v>177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212</v>
      </c>
      <c r="AD227" s="3">
        <f>IF(ISERROR(VLOOKUP($A227,'SegEnds_NonXtal_BW#'!$A:$Z,21,FALSE)+VLOOKUP($A227,A:AL,31,FALSE)-50),"-",(VLOOKUP($A227,'SegEnds_NonXtal_BW#'!$A:$Z,21,FALSE)+VLOOKUP($A227,A:AL,31,FALSE)-50))</f>
        <v>217</v>
      </c>
      <c r="AE227" s="3">
        <v>241</v>
      </c>
      <c r="AF227" s="3">
        <f>IF(ISERROR((VLOOKUP($A227,'SegEnds_NonXtal_BW#'!$A:$Z,22,FALSE)+VLOOKUP($A227,A:AL,31,FALSE)-50)),"-",(VLOOKUP($A227,'SegEnds_NonXtal_BW#'!$A:$Z,22,FALSE)+VLOOKUP($A227,A:AL,31,FALSE)-50))</f>
        <v>255</v>
      </c>
      <c r="AG227" s="3">
        <f>IF(ISERROR(VLOOKUP($A227,'SegEnds_NonXtal_BW#'!$A:$Z,23,FALSE)+VLOOKUP($A227,A:AL,34,FALSE)-50),"-",(VLOOKUP($A227,'SegEnds_NonXtal_BW#'!$A:$Z,23,FALSE)+VLOOKUP($A227,A:AL,34,FALSE)-50))</f>
        <v>261</v>
      </c>
      <c r="AH227" s="3">
        <v>287</v>
      </c>
      <c r="AI227" s="3">
        <f>IF(ISERROR((VLOOKUP($A227,'SegEnds_NonXtal_BW#'!$A:$Z,24,FALSE)+VLOOKUP($A227,A:AL,34,FALSE)-50)),"-",(VLOOKUP($A227,'SegEnds_NonXtal_BW#'!$A:$Z,24,FALSE)+VLOOKUP($A227,A:AL,34,FALSE)-50))</f>
        <v>293</v>
      </c>
      <c r="AJ227" s="3">
        <f>IF(ISERROR(VLOOKUP($A227,'SegEnds_NonXtal_BW#'!$A:$Z,25,FALSE)+VLOOKUP($A227,A:AL,37,FALSE)-50),"-",(VLOOKUP($A227,'SegEnds_NonXtal_BW#'!$A:$Z,25,FALSE)+VLOOKUP($A227,A:AL,37,FALSE)-50))</f>
        <v>294</v>
      </c>
      <c r="AK227" s="3">
        <v>297</v>
      </c>
      <c r="AL227" s="3">
        <f>IF(ISERROR((VLOOKUP($A227,'SegEnds_NonXtal_BW#'!$A:$Z,26,FALSE)+VLOOKUP($A227,A:AL,37,FALSE)-50)),"-",(VLOOKUP($A227,'SegEnds_NonXtal_BW#'!$A:$Z,26,FALSE)+VLOOKUP($A227,A:AL,37,FALSE)-50))</f>
        <v>306</v>
      </c>
      <c r="AM227" s="28" t="str">
        <f>VLOOKUP(A227,Classification!A:B,2,FALSE)</f>
        <v>A</v>
      </c>
      <c r="AN227" s="28" t="b">
        <f>AND(IF(Y227="-",IF(AA227-W227&gt;3,TRUE,FALSE),TRUE),IF(M227="-",IF(O227-K227&gt;3,TRUE,FALSE),TRUE),C227&lt;E227,OR(E227&lt;F227,F227="-"),OR(F227&lt;H227,F227="-"),OR(H227&lt;I227,H227="-"),I227&lt;K227,OR(K227&lt;L227,L227="-"),OR(L227&lt;N227,L227="-"),OR(N227&lt;O227,N227="-"),O227&lt;Q227,OR(Q227&lt;R227,R227="-"),OR(R227&lt;T227,R227="-"),OR(T227&lt;U227,T227="-"),U227&lt;W227,OR(W227&lt;X227,X227="-"),OR(X227&lt;Z227,X227="-"),OR(Z227&lt;AA227,Z227="-"),AA227&lt;AC227,AC227&lt;AD227,AD227&lt;AF227,AF227&lt;AG227,AG227&lt;AI227,OR(AI227&lt;AJ227,AJ227="-"),OR(AJ227&lt;AL227,AJ227="-"))</f>
        <v>1</v>
      </c>
      <c r="AO227" s="3" t="str">
        <f>IF(ISERROR(MATCH(A227,'SegEnds_Xtal_Prot#'!B:B, 0)), "NoXtal", "Xtal")</f>
        <v>NoXtal</v>
      </c>
      <c r="AP227" s="3" t="str">
        <f>IF(ISERROR(F227-E227),"-",F227-E227)</f>
        <v>-</v>
      </c>
      <c r="AQ227" s="3" t="str">
        <f>IF(ISERROR(I227-H227),"-",I227-H227)</f>
        <v>-</v>
      </c>
      <c r="AR227" s="3">
        <f>IF(ISERROR(L227-K227),"-",L227-K227)</f>
        <v>3</v>
      </c>
      <c r="AS227" s="3">
        <f>IF(ISERROR(O227-N227),"-",O227-N227)</f>
        <v>1</v>
      </c>
      <c r="AT227" s="3">
        <f>IF(ISERROR(R227-Q227),"-",R227-Q227)</f>
        <v>1</v>
      </c>
      <c r="AU227" s="3">
        <f>IF(ISERROR(U227-T227),"-",U227-T227)</f>
        <v>1</v>
      </c>
      <c r="AV227" s="3">
        <f>IF(ISERROR(X227-W227),"-",X227-W227)</f>
        <v>17</v>
      </c>
      <c r="AW227" s="3">
        <f>IF(ISERROR(AA227-Z227),"-",AA227-Z227)</f>
        <v>5</v>
      </c>
      <c r="AX227" s="3">
        <f>IF(ISERROR(AD227-AC227),"-",AD227-AC227)</f>
        <v>5</v>
      </c>
      <c r="AY227" s="3">
        <f>IF(ISERROR(AG227-AF227),"-",AG227-AF227)</f>
        <v>6</v>
      </c>
      <c r="AZ227" s="3">
        <f>IF(ISERROR(AJ227-AI227),"-",AJ227-AI227)</f>
        <v>1</v>
      </c>
      <c r="BA227" s="3">
        <f>IF(ISERROR(LEN(VLOOKUP(A227,Seqs!A:E,2,FALSE))-AL227),"-",LEN(VLOOKUP(A227,Seqs!A:E,2,FALSE))-AL227)</f>
        <v>31</v>
      </c>
      <c r="BB227" s="16">
        <f>J227-D227</f>
        <v>28</v>
      </c>
      <c r="BC227" s="9">
        <f>IF(ISERROR(V227-S227),"-",V227-S227)</f>
        <v>20</v>
      </c>
      <c r="BD227" s="3">
        <f>J227-D227</f>
        <v>28</v>
      </c>
      <c r="BE227" s="3">
        <f>AE227-AB227</f>
        <v>46</v>
      </c>
    </row>
    <row r="228" spans="1:58" s="3" customFormat="1" x14ac:dyDescent="0.2">
      <c r="A228" s="3" t="s">
        <v>371</v>
      </c>
      <c r="B228" s="3" t="str">
        <f>LOWER(VLOOKUP(A228,Xtal_Templ!A:B,2,FALSE))</f>
        <v>p2y12_human</v>
      </c>
      <c r="C228" s="3">
        <f>VLOOKUP($A228,'SegEnds_NonXtal_BW#'!$A:$Z,3,FALSE)+D228-50</f>
        <v>11</v>
      </c>
      <c r="D228" s="3">
        <v>33</v>
      </c>
      <c r="E228" s="3">
        <f>IF(ISERROR(VLOOKUP($A228,'SegEnds_NonXtal_BW#'!$A:$Z,4,FALSE)+VLOOKUP($A228,A:AL,4,FALSE)-50),"-",(VLOOKUP($A228,'SegEnds_NonXtal_BW#'!$A:$Z,4,FALSE)+VLOOKUP($A228,A:AL,4,FALSE)-50))</f>
        <v>43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50</v>
      </c>
      <c r="J228" s="3">
        <v>63</v>
      </c>
      <c r="K228" s="3">
        <f>VLOOKUP($A228,'SegEnds_NonXtal_BW#'!$A:$Z,8,FALSE)+VLOOKUP($A228,A:AL,10,FALSE)-50</f>
        <v>79</v>
      </c>
      <c r="L228" s="3">
        <f>M228-1</f>
        <v>82</v>
      </c>
      <c r="M228" s="3">
        <v>83</v>
      </c>
      <c r="N228" s="3">
        <f>M228+2</f>
        <v>85</v>
      </c>
      <c r="O228" s="3">
        <f>N228+1</f>
        <v>86</v>
      </c>
      <c r="P228" s="3">
        <v>115</v>
      </c>
      <c r="Q228" s="3">
        <f>VLOOKUP($A228,'SegEnds_NonXtal_BW#'!$A:$Z,12,FALSE)+VLOOKUP($A228,A:AL,16,FALSE)-50</f>
        <v>121</v>
      </c>
      <c r="R228" s="3">
        <f>IF(ISERROR(VLOOKUP($A228,'SegEnds_NonXtal_BW#'!$A:$Z,13,FALSE)+VLOOKUP($A228,A:AL,19,FALSE)-50),"-",VLOOKUP($A228,'SegEnds_NonXtal_BW#'!$A:$Z,13,FALSE)+VLOOKUP($A228,A:AL,19,FALSE)-50)</f>
        <v>122</v>
      </c>
      <c r="S228" s="3">
        <v>122</v>
      </c>
      <c r="T228" s="103">
        <f>IF(ISERROR(VLOOKUP($A228,'SegEnds_NonXtal_BW#'!$A:$Z,14,FALSE)+VLOOKUP($A228,A:AL,19,FALSE)-50),"-",(VLOOKUP($A228,'SegEnds_NonXtal_BW#'!$A:$Z,14,FALSE)+VLOOKUP($A228,A:AL,19,FALSE)-50))</f>
        <v>129</v>
      </c>
      <c r="U228" s="9">
        <f>IF(ISERROR(VLOOKUP($A228,'SegEnds_NonXtal_BW#'!$A:$Z,15,FALSE)+VLOOKUP($A228,A:AL,22,FALSE)-50),"-",VLOOKUP($A228,'SegEnds_NonXtal_BW#'!$A:$Z,15,FALSE)+VLOOKUP($A228,A:AL,22,FALSE)-50)</f>
        <v>130</v>
      </c>
      <c r="V228" s="3">
        <v>142</v>
      </c>
      <c r="W228" s="3">
        <f>IF(ISERROR(VLOOKUP($A228,'SegEnds_NonXtal_BW#'!$A:$Z,16,FALSE)+VLOOKUP($A228,A:AL,22,FALSE)-50),"-",(VLOOKUP($A228,'SegEnds_NonXtal_BW#'!$A:$Z,16,FALSE)+VLOOKUP($A228,A:AL,22,FALSE)-50))</f>
        <v>156</v>
      </c>
      <c r="X228" s="3">
        <f>IF(ISERROR(VLOOKUP($A228,'SegEnds_NonXtal_BW#'!$A:$Z,17,FALSE)+VLOOKUP($A228,A:AL,25,FALSE)-50),"-",(VLOOKUP($A228,'SegEnds_NonXtal_BW#'!$A:$Z,17,FALSE)+VLOOKUP($A228,A:AL,25,FALSE)-50))</f>
        <v>173</v>
      </c>
      <c r="Y228" s="3">
        <v>173</v>
      </c>
      <c r="Z228" s="3">
        <f>Y228+2</f>
        <v>175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198</v>
      </c>
      <c r="AC228" s="3">
        <f>IF(ISERROR((VLOOKUP($A228,'SegEnds_NonXtal_BW#'!$A:$Z,20,FALSE)+VLOOKUP($A228,A:AL,28,FALSE)-50)),"-",(VLOOKUP($A228,'SegEnds_NonXtal_BW#'!$A:$Z,20,FALSE)+VLOOKUP($A228,A:AL,28,FALSE)-50))</f>
        <v>216</v>
      </c>
      <c r="AD228" s="3">
        <f>IF(ISERROR(VLOOKUP($A228,'SegEnds_NonXtal_BW#'!$A:$Z,21,FALSE)+VLOOKUP($A228,A:AL,31,FALSE)-50),"-",(VLOOKUP($A228,'SegEnds_NonXtal_BW#'!$A:$Z,21,FALSE)+VLOOKUP($A228,A:AL,31,FALSE)-50))</f>
        <v>221</v>
      </c>
      <c r="AE228" s="3">
        <v>247</v>
      </c>
      <c r="AF228" s="3">
        <f>IF(ISERROR((VLOOKUP($A228,'SegEnds_NonXtal_BW#'!$A:$Z,22,FALSE)+VLOOKUP($A228,A:AL,31,FALSE)-50)),"-",(VLOOKUP($A228,'SegEnds_NonXtal_BW#'!$A:$Z,22,FALSE)+VLOOKUP($A228,A:AL,31,FALSE)-50))</f>
        <v>258</v>
      </c>
      <c r="AG228" s="3">
        <f>IF(ISERROR(VLOOKUP($A228,'SegEnds_NonXtal_BW#'!$A:$Z,23,FALSE)+VLOOKUP($A228,A:AL,34,FALSE)-50),"-",(VLOOKUP($A228,'SegEnds_NonXtal_BW#'!$A:$Z,23,FALSE)+VLOOKUP($A228,A:AL,34,FALSE)-50))</f>
        <v>264</v>
      </c>
      <c r="AH228" s="3">
        <v>290</v>
      </c>
      <c r="AI228" s="3">
        <f>IF(ISERROR((VLOOKUP($A228,'SegEnds_NonXtal_BW#'!$A:$Z,24,FALSE)+VLOOKUP($A228,A:AL,34,FALSE)-50)),"-",(VLOOKUP($A228,'SegEnds_NonXtal_BW#'!$A:$Z,24,FALSE)+VLOOKUP($A228,A:AL,34,FALSE)-50))</f>
        <v>296</v>
      </c>
      <c r="AJ228" s="3">
        <f>IF(ISERROR(VLOOKUP($A228,'SegEnds_NonXtal_BW#'!$A:$Z,25,FALSE)+VLOOKUP($A228,A:AL,37,FALSE)-50),"-",(VLOOKUP($A228,'SegEnds_NonXtal_BW#'!$A:$Z,25,FALSE)+VLOOKUP($A228,A:AL,37,FALSE)-50))</f>
        <v>297</v>
      </c>
      <c r="AK228" s="3">
        <v>300</v>
      </c>
      <c r="AL228" s="3">
        <f>IF(ISERROR((VLOOKUP($A228,'SegEnds_NonXtal_BW#'!$A:$Z,26,FALSE)+VLOOKUP($A228,A:AL,37,FALSE)-50)),"-",(VLOOKUP($A228,'SegEnds_NonXtal_BW#'!$A:$Z,26,FALSE)+VLOOKUP($A228,A:AL,37,FALSE)-50))</f>
        <v>307</v>
      </c>
      <c r="AM228" s="28" t="str">
        <f>VLOOKUP(A228,Classification!A:B,2,FALSE)</f>
        <v>A</v>
      </c>
      <c r="AN228" s="28" t="b">
        <f>AND(IF(Y228="-",IF(AA228-W228&gt;3,TRUE,FALSE),TRUE),IF(M228="-",IF(O228-K228&gt;3,TRUE,FALSE),TRUE),C228&lt;E228,OR(E228&lt;F228,F228="-"),OR(F228&lt;H228,F228="-"),OR(H228&lt;I228,H228="-"),I228&lt;K228,OR(K228&lt;L228,L228="-"),OR(L228&lt;N228,L228="-"),OR(N228&lt;O228,N228="-"),O228&lt;Q228,OR(Q228&lt;R228,R228="-"),OR(R228&lt;T228,R228="-"),OR(T228&lt;U228,T228="-"),U228&lt;W228,OR(W228&lt;X228,X228="-"),OR(X228&lt;Z228,X228="-"),OR(Z228&lt;AA228,Z228="-"),AA228&lt;AC228,AC228&lt;AD228,AD228&lt;AF228,AF228&lt;AG228,AG228&lt;AI228,OR(AI228&lt;AJ228,AJ228="-"),OR(AJ228&lt;AL228,AJ228="-"))</f>
        <v>1</v>
      </c>
      <c r="AO228" s="3" t="str">
        <f>IF(ISERROR(MATCH(A228,'SegEnds_Xtal_Prot#'!B:B, 0)), "NoXtal", "Xtal")</f>
        <v>NoXtal</v>
      </c>
      <c r="AP228" s="3" t="str">
        <f>IF(ISERROR(F228-E228),"-",F228-E228)</f>
        <v>-</v>
      </c>
      <c r="AQ228" s="3" t="str">
        <f>IF(ISERROR(I228-H228),"-",I228-H228)</f>
        <v>-</v>
      </c>
      <c r="AR228" s="3">
        <f>IF(ISERROR(L228-K228),"-",L228-K228)</f>
        <v>3</v>
      </c>
      <c r="AS228" s="3">
        <f>IF(ISERROR(O228-N228),"-",O228-N228)</f>
        <v>1</v>
      </c>
      <c r="AT228" s="3">
        <f>IF(ISERROR(R228-Q228),"-",R228-Q228)</f>
        <v>1</v>
      </c>
      <c r="AU228" s="3">
        <f>IF(ISERROR(U228-T228),"-",U228-T228)</f>
        <v>1</v>
      </c>
      <c r="AV228" s="3">
        <f>IF(ISERROR(X228-W228),"-",X228-W228)</f>
        <v>17</v>
      </c>
      <c r="AW228" s="3">
        <f>IF(ISERROR(AA228-Z228),"-",AA228-Z228)</f>
        <v>3</v>
      </c>
      <c r="AX228" s="3">
        <f>IF(ISERROR(AD228-AC228),"-",AD228-AC228)</f>
        <v>5</v>
      </c>
      <c r="AY228" s="3">
        <f>IF(ISERROR(AG228-AF228),"-",AG228-AF228)</f>
        <v>6</v>
      </c>
      <c r="AZ228" s="3">
        <f>IF(ISERROR(AJ228-AI228),"-",AJ228-AI228)</f>
        <v>1</v>
      </c>
      <c r="BA228" s="3">
        <f>IF(ISERROR(LEN(VLOOKUP(A228,Seqs!A:E,2,FALSE))-AL228),"-",LEN(VLOOKUP(A228,Seqs!A:E,2,FALSE))-AL228)</f>
        <v>35</v>
      </c>
      <c r="BB228" s="16">
        <f>J228-D228</f>
        <v>30</v>
      </c>
      <c r="BC228" s="9">
        <f>IF(ISERROR(V228-S228),"-",V228-S228)</f>
        <v>20</v>
      </c>
      <c r="BD228" s="3">
        <f>J228-D228</f>
        <v>30</v>
      </c>
      <c r="BE228" s="3">
        <f>AE228-AB228</f>
        <v>49</v>
      </c>
    </row>
    <row r="229" spans="1:58" s="3" customFormat="1" x14ac:dyDescent="0.2">
      <c r="A229" s="3" t="s">
        <v>372</v>
      </c>
      <c r="B229" s="3" t="str">
        <f>LOWER(VLOOKUP(A229,Xtal_Templ!A:B,2,FALSE))</f>
        <v>ox2r_human</v>
      </c>
      <c r="C229" s="3">
        <f>VLOOKUP($A229,'SegEnds_NonXtal_BW#'!$A:$Z,3,FALSE)+D229-50</f>
        <v>44</v>
      </c>
      <c r="D229" s="3">
        <v>63</v>
      </c>
      <c r="E229" s="3">
        <f>IF(ISERROR(VLOOKUP($A229,'SegEnds_NonXtal_BW#'!$A:$Z,4,FALSE)+VLOOKUP($A229,A:AL,4,FALSE)-50),"-",(VLOOKUP($A229,'SegEnds_NonXtal_BW#'!$A:$Z,4,FALSE)+VLOOKUP($A229,A:AL,4,FALSE)-50))</f>
        <v>73</v>
      </c>
      <c r="F229" s="3">
        <f>G229-2</f>
        <v>74</v>
      </c>
      <c r="G229" s="3">
        <v>76</v>
      </c>
      <c r="H229" s="3">
        <f>G229+1</f>
        <v>77</v>
      </c>
      <c r="I229" s="3">
        <f>H229+1</f>
        <v>78</v>
      </c>
      <c r="J229" s="3">
        <v>91</v>
      </c>
      <c r="K229" s="3">
        <f>VLOOKUP($A229,'SegEnds_NonXtal_BW#'!$A:$Z,8,FALSE)+VLOOKUP($A229,A:AL,10,FALSE)-50</f>
        <v>108</v>
      </c>
      <c r="L229" s="3">
        <f>M229-1</f>
        <v>110</v>
      </c>
      <c r="M229" s="3">
        <v>111</v>
      </c>
      <c r="N229" s="3">
        <f>M229+2</f>
        <v>113</v>
      </c>
      <c r="O229" s="3">
        <f>N229+1</f>
        <v>114</v>
      </c>
      <c r="P229" s="3">
        <v>143</v>
      </c>
      <c r="Q229" s="3">
        <f>VLOOKUP($A229,'SegEnds_NonXtal_BW#'!$A:$Z,12,FALSE)+VLOOKUP($A229,A:AL,16,FALSE)-50</f>
        <v>149</v>
      </c>
      <c r="R229" s="3">
        <f>IF(ISERROR(VLOOKUP($A229,'SegEnds_NonXtal_BW#'!$A:$Z,13,FALSE)+VLOOKUP($A229,A:AL,19,FALSE)-50),"-",VLOOKUP($A229,'SegEnds_NonXtal_BW#'!$A:$Z,13,FALSE)+VLOOKUP($A229,A:AL,19,FALSE)-50)</f>
        <v>150</v>
      </c>
      <c r="S229" s="3">
        <v>150</v>
      </c>
      <c r="T229" s="103">
        <f>IF(ISERROR(VLOOKUP($A229,'SegEnds_NonXtal_BW#'!$A:$Z,14,FALSE)+VLOOKUP($A229,A:AL,19,FALSE)-50),"-",(VLOOKUP($A229,'SegEnds_NonXtal_BW#'!$A:$Z,14,FALSE)+VLOOKUP($A229,A:AL,19,FALSE)-50))</f>
        <v>157</v>
      </c>
      <c r="U229" s="9">
        <f>IF(ISERROR(VLOOKUP($A229,'SegEnds_NonXtal_BW#'!$A:$Z,15,FALSE)+VLOOKUP($A229,A:AL,22,FALSE)-50),"-",VLOOKUP($A229,'SegEnds_NonXtal_BW#'!$A:$Z,15,FALSE)+VLOOKUP($A229,A:AL,22,FALSE)-50)</f>
        <v>158</v>
      </c>
      <c r="V229" s="3">
        <v>170</v>
      </c>
      <c r="W229" s="3">
        <f>IF(ISERROR(VLOOKUP($A229,'SegEnds_NonXtal_BW#'!$A:$Z,16,FALSE)+VLOOKUP($A229,A:AL,22,FALSE)-50),"-",(VLOOKUP($A229,'SegEnds_NonXtal_BW#'!$A:$Z,16,FALSE)+VLOOKUP($A229,A:AL,22,FALSE)-50))</f>
        <v>184</v>
      </c>
      <c r="X229" s="3">
        <f>IF(ISERROR(VLOOKUP($A229,'SegEnds_NonXtal_BW#'!$A:$Z,17,FALSE)+VLOOKUP($A229,A:AL,25,FALSE)-50),"-",(VLOOKUP($A229,'SegEnds_NonXtal_BW#'!$A:$Z,17,FALSE)+VLOOKUP($A229,A:AL,25,FALSE)-50))</f>
        <v>201</v>
      </c>
      <c r="Y229" s="3">
        <v>201</v>
      </c>
      <c r="Z229" s="3">
        <f>Y229+2</f>
        <v>203</v>
      </c>
      <c r="AA229" s="3">
        <f>IF(ISERROR(VLOOKUP($A229,'SegEnds_NonXtal_BW#'!$A:$Z,19,FALSE)+VLOOKUP($A229,A:AL,28,FALSE)-50),"-",(VLOOKUP($A229,'SegEnds_NonXtal_BW#'!$A:$Z,19,FALSE)+VLOOKUP($A229,A:AL,28,FALSE)-50))</f>
        <v>208</v>
      </c>
      <c r="AB229" s="3">
        <v>226</v>
      </c>
      <c r="AC229" s="3">
        <f>IF(ISERROR((VLOOKUP($A229,'SegEnds_NonXtal_BW#'!$A:$Z,20,FALSE)+VLOOKUP($A229,A:AL,28,FALSE)-50)),"-",(VLOOKUP($A229,'SegEnds_NonXtal_BW#'!$A:$Z,20,FALSE)+VLOOKUP($A229,A:AL,28,FALSE)-50))</f>
        <v>250</v>
      </c>
      <c r="AD229" s="3">
        <f>IF(ISERROR(VLOOKUP($A229,'SegEnds_NonXtal_BW#'!$A:$Z,21,FALSE)+VLOOKUP($A229,A:AL,31,FALSE)-50),"-",(VLOOKUP($A229,'SegEnds_NonXtal_BW#'!$A:$Z,21,FALSE)+VLOOKUP($A229,A:AL,31,FALSE)-50))</f>
        <v>259</v>
      </c>
      <c r="AE229" s="3">
        <v>288</v>
      </c>
      <c r="AF229" s="3">
        <f>IF(ISERROR((VLOOKUP($A229,'SegEnds_NonXtal_BW#'!$A:$Z,22,FALSE)+VLOOKUP($A229,A:AL,31,FALSE)-50)),"-",(VLOOKUP($A229,'SegEnds_NonXtal_BW#'!$A:$Z,22,FALSE)+VLOOKUP($A229,A:AL,31,FALSE)-50))</f>
        <v>299</v>
      </c>
      <c r="AG229" s="3">
        <f>IF(ISERROR(VLOOKUP($A229,'SegEnds_NonXtal_BW#'!$A:$Z,23,FALSE)+VLOOKUP($A229,A:AL,34,FALSE)-50),"-",(VLOOKUP($A229,'SegEnds_NonXtal_BW#'!$A:$Z,23,FALSE)+VLOOKUP($A229,A:AL,34,FALSE)-50))</f>
        <v>307</v>
      </c>
      <c r="AH229" s="3">
        <v>329</v>
      </c>
      <c r="AI229" s="3">
        <f>IF(ISERROR((VLOOKUP($A229,'SegEnds_NonXtal_BW#'!$A:$Z,24,FALSE)+VLOOKUP($A229,A:AL,34,FALSE)-50)),"-",(VLOOKUP($A229,'SegEnds_NonXtal_BW#'!$A:$Z,24,FALSE)+VLOOKUP($A229,A:AL,34,FALSE)-50))</f>
        <v>335</v>
      </c>
      <c r="AJ229" s="3">
        <f>IF(ISERROR(VLOOKUP($A229,'SegEnds_NonXtal_BW#'!$A:$Z,25,FALSE)+VLOOKUP($A229,A:AL,37,FALSE)-50),"-",(VLOOKUP($A229,'SegEnds_NonXtal_BW#'!$A:$Z,25,FALSE)+VLOOKUP($A229,A:AL,37,FALSE)-50))</f>
        <v>336</v>
      </c>
      <c r="AK229" s="3">
        <v>339</v>
      </c>
      <c r="AL229" s="3">
        <f>IF(ISERROR((VLOOKUP($A229,'SegEnds_NonXtal_BW#'!$A:$Z,26,FALSE)+VLOOKUP($A229,A:AL,37,FALSE)-50)),"-",(VLOOKUP($A229,'SegEnds_NonXtal_BW#'!$A:$Z,26,FALSE)+VLOOKUP($A229,A:AL,37,FALSE)-50))</f>
        <v>347</v>
      </c>
      <c r="AM229" s="28" t="str">
        <f>VLOOKUP(A229,Classification!A:B,2,FALSE)</f>
        <v>A</v>
      </c>
      <c r="AN229" s="28" t="b">
        <f>AND(IF(Y229="-",IF(AA229-W229&gt;3,TRUE,FALSE),TRUE),IF(M229="-",IF(O229-K229&gt;3,TRUE,FALSE),TRUE),C229&lt;E229,OR(E229&lt;F229,F229="-"),OR(F229&lt;H229,F229="-"),OR(H229&lt;I229,H229="-"),I229&lt;K229,OR(K229&lt;L229,L229="-"),OR(L229&lt;N229,L229="-"),OR(N229&lt;O229,N229="-"),O229&lt;Q229,OR(Q229&lt;R229,R229="-"),OR(R229&lt;T229,R229="-"),OR(T229&lt;U229,T229="-"),U229&lt;W229,OR(W229&lt;X229,X229="-"),OR(X229&lt;Z229,X229="-"),OR(Z229&lt;AA229,Z229="-"),AA229&lt;AC229,AC229&lt;AD229,AD229&lt;AF229,AF229&lt;AG229,AG229&lt;AI229,OR(AI229&lt;AJ229,AJ229="-"),OR(AJ229&lt;AL229,AJ229="-"))</f>
        <v>1</v>
      </c>
      <c r="AO229" s="3" t="str">
        <f>IF(ISERROR(MATCH(A229,'SegEnds_Xtal_Prot#'!B:B, 0)), "NoXtal", "Xtal")</f>
        <v>NoXtal</v>
      </c>
      <c r="AP229" s="3">
        <f>IF(ISERROR(F229-E229),"-",F229-E229)</f>
        <v>1</v>
      </c>
      <c r="AQ229" s="3">
        <f>IF(ISERROR(I229-H229),"-",I229-H229)</f>
        <v>1</v>
      </c>
      <c r="AR229" s="3">
        <f>IF(ISERROR(L229-K229),"-",L229-K229)</f>
        <v>2</v>
      </c>
      <c r="AS229" s="3">
        <f>IF(ISERROR(O229-N229),"-",O229-N229)</f>
        <v>1</v>
      </c>
      <c r="AT229" s="3">
        <f>IF(ISERROR(R229-Q229),"-",R229-Q229)</f>
        <v>1</v>
      </c>
      <c r="AU229" s="3">
        <f>IF(ISERROR(U229-T229),"-",U229-T229)</f>
        <v>1</v>
      </c>
      <c r="AV229" s="3">
        <f>IF(ISERROR(X229-W229),"-",X229-W229)</f>
        <v>17</v>
      </c>
      <c r="AW229" s="3">
        <f>IF(ISERROR(AA229-Z229),"-",AA229-Z229)</f>
        <v>5</v>
      </c>
      <c r="AX229" s="3">
        <f>IF(ISERROR(AD229-AC229),"-",AD229-AC229)</f>
        <v>9</v>
      </c>
      <c r="AY229" s="3">
        <f>IF(ISERROR(AG229-AF229),"-",AG229-AF229)</f>
        <v>8</v>
      </c>
      <c r="AZ229" s="3">
        <f>IF(ISERROR(AJ229-AI229),"-",AJ229-AI229)</f>
        <v>1</v>
      </c>
      <c r="BA229" s="3">
        <f>IF(ISERROR(LEN(VLOOKUP(A229,Seqs!A:E,2,FALSE))-AL229),"-",LEN(VLOOKUP(A229,Seqs!A:E,2,FALSE))-AL229)</f>
        <v>84</v>
      </c>
      <c r="BB229" s="16">
        <f>J229-D229</f>
        <v>28</v>
      </c>
      <c r="BC229" s="9">
        <f>IF(ISERROR(V229-S229),"-",V229-S229)</f>
        <v>20</v>
      </c>
      <c r="BD229" s="3">
        <f>J229-D229</f>
        <v>28</v>
      </c>
      <c r="BE229" s="3">
        <f>AE229-AB229</f>
        <v>62</v>
      </c>
    </row>
    <row r="230" spans="1:58" s="3" customFormat="1" x14ac:dyDescent="0.2">
      <c r="A230" s="3" t="s">
        <v>374</v>
      </c>
      <c r="B230" s="3" t="str">
        <f>LOWER(VLOOKUP(A230,Xtal_Templ!A:B,2,FALSE))</f>
        <v>agtr1_human</v>
      </c>
      <c r="C230" s="3">
        <f>VLOOKUP($A230,'SegEnds_NonXtal_BW#'!$A:$Z,3,FALSE)+D230-50</f>
        <v>37</v>
      </c>
      <c r="D230" s="3">
        <v>57</v>
      </c>
      <c r="E230" s="3">
        <f>IF(ISERROR(VLOOKUP($A230,'SegEnds_NonXtal_BW#'!$A:$Z,4,FALSE)+VLOOKUP($A230,A:AL,4,FALSE)-50),"-",(VLOOKUP($A230,'SegEnds_NonXtal_BW#'!$A:$Z,4,FALSE)+VLOOKUP($A230,A:AL,4,FALSE)-50))</f>
        <v>67</v>
      </c>
      <c r="F230" s="3">
        <f>G230-2</f>
        <v>69</v>
      </c>
      <c r="G230" s="3">
        <v>71</v>
      </c>
      <c r="H230" s="3">
        <f>G230+1</f>
        <v>72</v>
      </c>
      <c r="I230" s="3">
        <f>H230+1</f>
        <v>73</v>
      </c>
      <c r="J230" s="3">
        <v>87</v>
      </c>
      <c r="K230" s="3">
        <f>VLOOKUP($A230,'SegEnds_NonXtal_BW#'!$A:$Z,8,FALSE)+VLOOKUP($A230,A:AL,10,FALSE)-50</f>
        <v>103</v>
      </c>
      <c r="L230" s="3">
        <f>M230-1</f>
        <v>106</v>
      </c>
      <c r="M230" s="3">
        <v>107</v>
      </c>
      <c r="N230" s="3">
        <f>M230+2</f>
        <v>109</v>
      </c>
      <c r="O230" s="3">
        <f>N230+1</f>
        <v>110</v>
      </c>
      <c r="P230" s="3">
        <v>139</v>
      </c>
      <c r="Q230" s="3">
        <f>VLOOKUP($A230,'SegEnds_NonXtal_BW#'!$A:$Z,12,FALSE)+VLOOKUP($A230,A:AL,16,FALSE)-50</f>
        <v>145</v>
      </c>
      <c r="R230" s="3">
        <f>IF(ISERROR(VLOOKUP($A230,'SegEnds_NonXtal_BW#'!$A:$Z,13,FALSE)+VLOOKUP($A230,A:AL,19,FALSE)-50),"-",VLOOKUP($A230,'SegEnds_NonXtal_BW#'!$A:$Z,13,FALSE)+VLOOKUP($A230,A:AL,19,FALSE)-50)</f>
        <v>146</v>
      </c>
      <c r="S230" s="3">
        <v>146</v>
      </c>
      <c r="T230" s="103">
        <f>IF(ISERROR(VLOOKUP($A230,'SegEnds_NonXtal_BW#'!$A:$Z,14,FALSE)+VLOOKUP($A230,A:AL,19,FALSE)-50),"-",(VLOOKUP($A230,'SegEnds_NonXtal_BW#'!$A:$Z,14,FALSE)+VLOOKUP($A230,A:AL,19,FALSE)-50))</f>
        <v>153</v>
      </c>
      <c r="U230" s="9">
        <f>IF(ISERROR(VLOOKUP($A230,'SegEnds_NonXtal_BW#'!$A:$Z,15,FALSE)+VLOOKUP($A230,A:AL,22,FALSE)-50),"-",VLOOKUP($A230,'SegEnds_NonXtal_BW#'!$A:$Z,15,FALSE)+VLOOKUP($A230,A:AL,22,FALSE)-50)</f>
        <v>154</v>
      </c>
      <c r="V230" s="3">
        <v>166</v>
      </c>
      <c r="W230" s="3">
        <f>IF(ISERROR(VLOOKUP($A230,'SegEnds_NonXtal_BW#'!$A:$Z,16,FALSE)+VLOOKUP($A230,A:AL,22,FALSE)-50),"-",(VLOOKUP($A230,'SegEnds_NonXtal_BW#'!$A:$Z,16,FALSE)+VLOOKUP($A230,A:AL,22,FALSE)-50))</f>
        <v>180</v>
      </c>
      <c r="X230" s="3">
        <f>IF(ISERROR(VLOOKUP($A230,'SegEnds_NonXtal_BW#'!$A:$Z,17,FALSE)+VLOOKUP($A230,A:AL,25,FALSE)-50),"-",(VLOOKUP($A230,'SegEnds_NonXtal_BW#'!$A:$Z,17,FALSE)+VLOOKUP($A230,A:AL,25,FALSE)-50))</f>
        <v>191</v>
      </c>
      <c r="Y230" s="3">
        <v>191</v>
      </c>
      <c r="Z230" s="3">
        <f>Y230+2</f>
        <v>193</v>
      </c>
      <c r="AA230" s="3">
        <f>IF(ISERROR(VLOOKUP($A230,'SegEnds_NonXtal_BW#'!$A:$Z,19,FALSE)+VLOOKUP($A230,A:AL,28,FALSE)-50),"-",(VLOOKUP($A230,'SegEnds_NonXtal_BW#'!$A:$Z,19,FALSE)+VLOOKUP($A230,A:AL,28,FALSE)-50))</f>
        <v>200</v>
      </c>
      <c r="AB230" s="3">
        <v>216</v>
      </c>
      <c r="AC230" s="3">
        <f>IF(ISERROR((VLOOKUP($A230,'SegEnds_NonXtal_BW#'!$A:$Z,20,FALSE)+VLOOKUP($A230,A:AL,28,FALSE)-50)),"-",(VLOOKUP($A230,'SegEnds_NonXtal_BW#'!$A:$Z,20,FALSE)+VLOOKUP($A230,A:AL,28,FALSE)-50))</f>
        <v>233</v>
      </c>
      <c r="AD230" s="3">
        <f>IF(ISERROR(VLOOKUP($A230,'SegEnds_NonXtal_BW#'!$A:$Z,21,FALSE)+VLOOKUP($A230,A:AL,31,FALSE)-50),"-",(VLOOKUP($A230,'SegEnds_NonXtal_BW#'!$A:$Z,21,FALSE)+VLOOKUP($A230,A:AL,31,FALSE)-50))</f>
        <v>239</v>
      </c>
      <c r="AE230" s="3">
        <v>261</v>
      </c>
      <c r="AF230" s="3">
        <f>IF(ISERROR((VLOOKUP($A230,'SegEnds_NonXtal_BW#'!$A:$Z,22,FALSE)+VLOOKUP($A230,A:AL,31,FALSE)-50)),"-",(VLOOKUP($A230,'SegEnds_NonXtal_BW#'!$A:$Z,22,FALSE)+VLOOKUP($A230,A:AL,31,FALSE)-50))</f>
        <v>275</v>
      </c>
      <c r="AG230" s="3">
        <f>IF(ISERROR(VLOOKUP($A230,'SegEnds_NonXtal_BW#'!$A:$Z,23,FALSE)+VLOOKUP($A230,A:AL,34,FALSE)-50),"-",(VLOOKUP($A230,'SegEnds_NonXtal_BW#'!$A:$Z,23,FALSE)+VLOOKUP($A230,A:AL,34,FALSE)-50))</f>
        <v>280</v>
      </c>
      <c r="AH230" s="3">
        <v>306</v>
      </c>
      <c r="AI230" s="3">
        <f>IF(ISERROR((VLOOKUP($A230,'SegEnds_NonXtal_BW#'!$A:$Z,24,FALSE)+VLOOKUP($A230,A:AL,34,FALSE)-50)),"-",(VLOOKUP($A230,'SegEnds_NonXtal_BW#'!$A:$Z,24,FALSE)+VLOOKUP($A230,A:AL,34,FALSE)-50))</f>
        <v>312</v>
      </c>
      <c r="AJ230" s="3">
        <f>IF(ISERROR(VLOOKUP($A230,'SegEnds_NonXtal_BW#'!$A:$Z,25,FALSE)+VLOOKUP($A230,A:AL,37,FALSE)-50),"-",(VLOOKUP($A230,'SegEnds_NonXtal_BW#'!$A:$Z,25,FALSE)+VLOOKUP($A230,A:AL,37,FALSE)-50))</f>
        <v>313</v>
      </c>
      <c r="AK230" s="3">
        <v>316</v>
      </c>
      <c r="AL230" s="3">
        <f>IF(ISERROR((VLOOKUP($A230,'SegEnds_NonXtal_BW#'!$A:$Z,26,FALSE)+VLOOKUP($A230,A:AL,37,FALSE)-50)),"-",(VLOOKUP($A230,'SegEnds_NonXtal_BW#'!$A:$Z,26,FALSE)+VLOOKUP($A230,A:AL,37,FALSE)-50))</f>
        <v>327</v>
      </c>
      <c r="AM230" s="28" t="str">
        <f>VLOOKUP(A230,Classification!A:B,2,FALSE)</f>
        <v>A</v>
      </c>
      <c r="AN230" s="28" t="b">
        <f>AND(IF(Y230="-",IF(AA230-W230&gt;3,TRUE,FALSE),TRUE),IF(M230="-",IF(O230-K230&gt;3,TRUE,FALSE),TRUE),C230&lt;E230,OR(E230&lt;F230,F230="-"),OR(F230&lt;H230,F230="-"),OR(H230&lt;I230,H230="-"),I230&lt;K230,OR(K230&lt;L230,L230="-"),OR(L230&lt;N230,L230="-"),OR(N230&lt;O230,N230="-"),O230&lt;Q230,OR(Q230&lt;R230,R230="-"),OR(R230&lt;T230,R230="-"),OR(T230&lt;U230,T230="-"),U230&lt;W230,OR(W230&lt;X230,X230="-"),OR(X230&lt;Z230,X230="-"),OR(Z230&lt;AA230,Z230="-"),AA230&lt;AC230,AC230&lt;AD230,AD230&lt;AF230,AF230&lt;AG230,AG230&lt;AI230,OR(AI230&lt;AJ230,AJ230="-"),OR(AJ230&lt;AL230,AJ230="-"))</f>
        <v>1</v>
      </c>
      <c r="AO230" s="3" t="str">
        <f>IF(ISERROR(MATCH(A230,'SegEnds_Xtal_Prot#'!B:B, 0)), "NoXtal", "Xtal")</f>
        <v>NoXtal</v>
      </c>
      <c r="AP230" s="3">
        <f>IF(ISERROR(F230-E230),"-",F230-E230)</f>
        <v>2</v>
      </c>
      <c r="AQ230" s="3">
        <f>IF(ISERROR(I230-H230),"-",I230-H230)</f>
        <v>1</v>
      </c>
      <c r="AR230" s="3">
        <f>IF(ISERROR(L230-K230),"-",L230-K230)</f>
        <v>3</v>
      </c>
      <c r="AS230" s="3">
        <f>IF(ISERROR(O230-N230),"-",O230-N230)</f>
        <v>1</v>
      </c>
      <c r="AT230" s="3">
        <f>IF(ISERROR(R230-Q230),"-",R230-Q230)</f>
        <v>1</v>
      </c>
      <c r="AU230" s="3">
        <f>IF(ISERROR(U230-T230),"-",U230-T230)</f>
        <v>1</v>
      </c>
      <c r="AV230" s="3">
        <f>IF(ISERROR(X230-W230),"-",X230-W230)</f>
        <v>11</v>
      </c>
      <c r="AW230" s="3">
        <f>IF(ISERROR(AA230-Z230),"-",AA230-Z230)</f>
        <v>7</v>
      </c>
      <c r="AX230" s="3">
        <f>IF(ISERROR(AD230-AC230),"-",AD230-AC230)</f>
        <v>6</v>
      </c>
      <c r="AY230" s="3">
        <f>IF(ISERROR(AG230-AF230),"-",AG230-AF230)</f>
        <v>5</v>
      </c>
      <c r="AZ230" s="3">
        <f>IF(ISERROR(AJ230-AI230),"-",AJ230-AI230)</f>
        <v>1</v>
      </c>
      <c r="BA230" s="3">
        <f>IF(ISERROR(LEN(VLOOKUP(A230,Seqs!A:E,2,FALSE))-AL230),"-",LEN(VLOOKUP(A230,Seqs!A:E,2,FALSE))-AL230)</f>
        <v>47</v>
      </c>
      <c r="BB230" s="16">
        <f>J230-D230</f>
        <v>30</v>
      </c>
      <c r="BC230" s="9">
        <f>IF(ISERROR(V230-S230),"-",V230-S230)</f>
        <v>20</v>
      </c>
      <c r="BD230" s="3">
        <f>J230-D230</f>
        <v>30</v>
      </c>
      <c r="BE230" s="3">
        <f>AE230-AB230</f>
        <v>45</v>
      </c>
    </row>
    <row r="231" spans="1:58" s="3" customFormat="1" x14ac:dyDescent="0.2">
      <c r="A231" s="3" t="s">
        <v>379</v>
      </c>
      <c r="B231" s="3" t="str">
        <f>LOWER(VLOOKUP(A231,Xtal_Templ!A:B,2,FALSE))</f>
        <v>s1pr1_human</v>
      </c>
      <c r="C231" s="3">
        <f>VLOOKUP($A231,'SegEnds_NonXtal_BW#'!$A:$Z,3,FALSE)+D231-50</f>
        <v>43</v>
      </c>
      <c r="D231" s="3">
        <v>64</v>
      </c>
      <c r="E231" s="3">
        <f>IF(ISERROR(VLOOKUP($A231,'SegEnds_NonXtal_BW#'!$A:$Z,4,FALSE)+VLOOKUP($A231,A:AL,4,FALSE)-50),"-",(VLOOKUP($A231,'SegEnds_NonXtal_BW#'!$A:$Z,4,FALSE)+VLOOKUP($A231,A:AL,4,FALSE)-50))</f>
        <v>74</v>
      </c>
      <c r="F231" s="3">
        <f>G231-2</f>
        <v>75</v>
      </c>
      <c r="G231" s="3">
        <v>77</v>
      </c>
      <c r="H231" s="3">
        <f>G231+1</f>
        <v>78</v>
      </c>
      <c r="I231" s="3">
        <f>H231+1</f>
        <v>79</v>
      </c>
      <c r="J231" s="3">
        <v>92</v>
      </c>
      <c r="K231" s="3">
        <f>VLOOKUP($A231,'SegEnds_NonXtal_BW#'!$A:$Z,8,FALSE)+VLOOKUP($A231,A:AL,10,FALSE)-50</f>
        <v>105</v>
      </c>
      <c r="L231" s="3">
        <f>M231-3</f>
        <v>107</v>
      </c>
      <c r="M231" s="3">
        <v>110</v>
      </c>
      <c r="N231" s="3">
        <f>M231+3</f>
        <v>113</v>
      </c>
      <c r="O231" s="3">
        <f>N231+1</f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183</v>
      </c>
      <c r="X231" s="3" t="str">
        <f>IF(ISERROR(VLOOKUP($A231,'SegEnds_NonXtal_BW#'!$A:$Z,17,FALSE)+VLOOKUP($A231,A:AL,25,FALSE)-50),"-",(VLOOKUP($A231,'SegEnds_NonXtal_BW#'!$A:$Z,17,FALSE)+VLOOKUP($A231,A:AL,25,FALSE)-50))</f>
        <v>-</v>
      </c>
      <c r="Y231" s="3" t="s">
        <v>23</v>
      </c>
      <c r="Z231" s="3" t="str">
        <f>IF(ISERROR(VLOOKUP($A231,'SegEnds_NonXtal_BW#'!$A:$Z,18,FALSE)+VLOOKUP($A231,A:AL,25,FALSE)-50),"-",(VLOOKUP($A231,'SegEnds_NonXtal_BW#'!$A:$Z,18,FALSE)+VLOOKUP($A231,A:AL,25,FALSE)-50))</f>
        <v>-</v>
      </c>
      <c r="AA231" s="3">
        <f>IF(ISERROR(VLOOKUP($A231,'SegEnds_NonXtal_BW#'!$A:$Z,19,FALSE)+VLOOKUP($A231,A:AL,28,FALSE)-50),"-",(VLOOKUP($A231,'SegEnds_NonXtal_BW#'!$A:$Z,19,FALSE)+VLOOKUP($A231,A:AL,28,FALSE)-50))</f>
        <v>201</v>
      </c>
      <c r="AB231" s="3">
        <v>215</v>
      </c>
      <c r="AC231" s="3">
        <f>IF(ISERROR((VLOOKUP($A231,'SegEnds_NonXtal_BW#'!$A:$Z,20,FALSE)+VLOOKUP($A231,A:AL,28,FALSE)-50)),"-",(VLOOKUP($A231,'SegEnds_NonXtal_BW#'!$A:$Z,20,FALSE)+VLOOKUP($A231,A:AL,28,FALSE)-50))</f>
        <v>233</v>
      </c>
      <c r="AD231" s="3">
        <f>IF(ISERROR(VLOOKUP($A231,'SegEnds_NonXtal_BW#'!$A:$Z,21,FALSE)+VLOOKUP($A231,A:AL,31,FALSE)-50),"-",(VLOOKUP($A231,'SegEnds_NonXtal_BW#'!$A:$Z,21,FALSE)+VLOOKUP($A231,A:AL,31,FALSE)-50))</f>
        <v>239</v>
      </c>
      <c r="AE231" s="3">
        <v>266</v>
      </c>
      <c r="AF231" s="3">
        <f>IF(ISERROR((VLOOKUP($A231,'SegEnds_NonXtal_BW#'!$A:$Z,22,FALSE)+VLOOKUP($A231,A:AL,31,FALSE)-50)),"-",(VLOOKUP($A231,'SegEnds_NonXtal_BW#'!$A:$Z,22,FALSE)+VLOOKUP($A231,A:AL,31,FALSE)-50))</f>
        <v>277</v>
      </c>
      <c r="AG231" s="3">
        <f>IF(ISERROR(VLOOKUP($A231,'SegEnds_NonXtal_BW#'!$A:$Z,23,FALSE)+VLOOKUP($A231,A:AL,34,FALSE)-50),"-",(VLOOKUP($A231,'SegEnds_NonXtal_BW#'!$A:$Z,23,FALSE)+VLOOKUP($A231,A:AL,34,FALSE)-50))</f>
        <v>284</v>
      </c>
      <c r="AH231" s="3">
        <v>304</v>
      </c>
      <c r="AI231" s="3">
        <f>IF(ISERROR((VLOOKUP($A231,'SegEnds_NonXtal_BW#'!$A:$Z,24,FALSE)+VLOOKUP($A231,A:AL,34,FALSE)-50)),"-",(VLOOKUP($A231,'SegEnds_NonXtal_BW#'!$A:$Z,24,FALSE)+VLOOKUP($A231,A:AL,34,FALSE)-50))</f>
        <v>310</v>
      </c>
      <c r="AJ231" s="3">
        <f>IF(ISERROR(VLOOKUP($A231,'SegEnds_NonXtal_BW#'!$A:$Z,25,FALSE)+VLOOKUP($A231,A:AL,37,FALSE)-50),"-",(VLOOKUP($A231,'SegEnds_NonXtal_BW#'!$A:$Z,25,FALSE)+VLOOKUP($A231,A:AL,37,FALSE)-50))</f>
        <v>311</v>
      </c>
      <c r="AK231" s="3">
        <v>314</v>
      </c>
      <c r="AL231" s="3">
        <f>IF(ISERROR((VLOOKUP($A231,'SegEnds_NonXtal_BW#'!$A:$Z,26,FALSE)+VLOOKUP($A231,A:AL,37,FALSE)-50)),"-",(VLOOKUP($A231,'SegEnds_NonXtal_BW#'!$A:$Z,26,FALSE)+VLOOKUP($A231,A:AL,37,FALSE)-50))</f>
        <v>323</v>
      </c>
      <c r="AM231" s="28" t="str">
        <f>VLOOKUP(A231,Classification!A:B,2,FALSE)</f>
        <v>A</v>
      </c>
      <c r="AN231" s="28" t="b">
        <f>AND(IF(Y231="-",IF(AA231-W231&gt;3,TRUE,FALSE),TRUE),IF(M231="-",IF(O231-K231&gt;3,TRUE,FALSE),TRUE),C231&lt;E231,OR(E231&lt;F231,F231="-"),OR(F231&lt;H231,F231="-"),OR(H231&lt;I231,H231="-"),I231&lt;K231,OR(K231&lt;L231,L231="-"),OR(L231&lt;N231,L231="-"),OR(N231&lt;O231,N231="-"),O231&lt;Q231,OR(Q231&lt;R231,R231="-"),OR(R231&lt;T231,R231="-"),OR(T231&lt;U231,T231="-"),U231&lt;W231,OR(W231&lt;X231,X231="-"),OR(X231&lt;Z231,X231="-"),OR(Z231&lt;AA231,Z231="-"),AA231&lt;AC231,AC231&lt;AD231,AD231&lt;AF231,AF231&lt;AG231,AG231&lt;AI231,OR(AI231&lt;AJ231,AJ231="-"),OR(AJ231&lt;AL231,AJ231="-"))</f>
        <v>1</v>
      </c>
      <c r="AO231" s="3" t="str">
        <f>IF(ISERROR(MATCH(A231,'SegEnds_Xtal_Prot#'!B:B, 0)), "NoXtal", "Xtal")</f>
        <v>NoXtal</v>
      </c>
      <c r="AP231" s="3">
        <f>IF(ISERROR(F231-E231),"-",F231-E231)</f>
        <v>1</v>
      </c>
      <c r="AQ231" s="3">
        <f>IF(ISERROR(I231-H231),"-",I231-H231)</f>
        <v>1</v>
      </c>
      <c r="AR231" s="3">
        <f>IF(ISERROR(L231-K231),"-",L231-K231)</f>
        <v>2</v>
      </c>
      <c r="AS231" s="3">
        <f>IF(ISERROR(O231-N231),"-",O231-N231)</f>
        <v>1</v>
      </c>
      <c r="AT231" s="3">
        <f>IF(ISERROR(R231-Q231),"-",R231-Q231)</f>
        <v>1</v>
      </c>
      <c r="AU231" s="3">
        <f>IF(ISERROR(U231-T231),"-",U231-T231)</f>
        <v>1</v>
      </c>
      <c r="AV231" s="3" t="str">
        <f>IF(ISERROR(X231-W231),"-",X231-W231)</f>
        <v>-</v>
      </c>
      <c r="AW231" s="3" t="str">
        <f>IF(ISERROR(AA231-Z231),"-",AA231-Z231)</f>
        <v>-</v>
      </c>
      <c r="AX231" s="3">
        <f>IF(ISERROR(AD231-AC231),"-",AD231-AC231)</f>
        <v>6</v>
      </c>
      <c r="AY231" s="3">
        <f>IF(ISERROR(AG231-AF231),"-",AG231-AF231)</f>
        <v>7</v>
      </c>
      <c r="AZ231" s="3">
        <f>IF(ISERROR(AJ231-AI231),"-",AJ231-AI231)</f>
        <v>1</v>
      </c>
      <c r="BA231" s="3">
        <f>IF(ISERROR(LEN(VLOOKUP(A231,Seqs!A:E,2,FALSE))-AL231),"-",LEN(VLOOKUP(A231,Seqs!A:E,2,FALSE))-AL231)</f>
        <v>61</v>
      </c>
      <c r="BB231" s="16">
        <f>J231-D231</f>
        <v>28</v>
      </c>
      <c r="BC231" s="9">
        <f>IF(ISERROR(V231-S231),"-",V231-S231)</f>
        <v>20</v>
      </c>
      <c r="BD231" s="3">
        <f>J231-D231</f>
        <v>28</v>
      </c>
      <c r="BE231" s="3">
        <f>AE231-AB231</f>
        <v>51</v>
      </c>
    </row>
    <row r="232" spans="1:58" s="3" customFormat="1" x14ac:dyDescent="0.2">
      <c r="A232" s="3" t="s">
        <v>381</v>
      </c>
      <c r="B232" s="3" t="str">
        <f>LOWER(VLOOKUP(A232,Xtal_Templ!A:B,2,FALSE))</f>
        <v>oprk_human</v>
      </c>
      <c r="C232" s="3">
        <f>VLOOKUP($A232,'SegEnds_NonXtal_BW#'!$A:$Z,3,FALSE)+D232-50</f>
        <v>56</v>
      </c>
      <c r="D232" s="3">
        <v>76</v>
      </c>
      <c r="E232" s="3">
        <f>IF(ISERROR(VLOOKUP($A232,'SegEnds_NonXtal_BW#'!$A:$Z,4,FALSE)+VLOOKUP($A232,A:AL,4,FALSE)-50),"-",(VLOOKUP($A232,'SegEnds_NonXtal_BW#'!$A:$Z,4,FALSE)+VLOOKUP($A232,A:AL,4,FALSE)-50))</f>
        <v>86</v>
      </c>
      <c r="F232" s="3">
        <f>G232-2</f>
        <v>87</v>
      </c>
      <c r="G232" s="3">
        <v>89</v>
      </c>
      <c r="H232" s="3">
        <f>G232+1</f>
        <v>90</v>
      </c>
      <c r="I232" s="3">
        <f>H232+1</f>
        <v>91</v>
      </c>
      <c r="J232" s="3">
        <v>104</v>
      </c>
      <c r="K232" s="3">
        <f>VLOOKUP($A232,'SegEnds_NonXtal_BW#'!$A:$Z,8,FALSE)+VLOOKUP($A232,A:AL,10,FALSE)-50</f>
        <v>120</v>
      </c>
      <c r="L232" s="3">
        <f>M232-1</f>
        <v>122</v>
      </c>
      <c r="M232" s="3">
        <v>123</v>
      </c>
      <c r="N232" s="3">
        <f>M232+2</f>
        <v>125</v>
      </c>
      <c r="O232" s="3">
        <f>N232+1</f>
        <v>126</v>
      </c>
      <c r="P232" s="3">
        <v>155</v>
      </c>
      <c r="Q232" s="3">
        <f>VLOOKUP($A232,'SegEnds_NonXtal_BW#'!$A:$Z,12,FALSE)+VLOOKUP($A232,A:AL,16,FALSE)-50</f>
        <v>161</v>
      </c>
      <c r="R232" s="3">
        <f>IF(ISERROR(VLOOKUP($A232,'SegEnds_NonXtal_BW#'!$A:$Z,13,FALSE)+VLOOKUP($A232,A:AL,19,FALSE)-50),"-",VLOOKUP($A232,'SegEnds_NonXtal_BW#'!$A:$Z,13,FALSE)+VLOOKUP($A232,A:AL,19,FALSE)-50)</f>
        <v>162</v>
      </c>
      <c r="S232" s="3">
        <v>162</v>
      </c>
      <c r="T232" s="103">
        <f>IF(ISERROR(VLOOKUP($A232,'SegEnds_NonXtal_BW#'!$A:$Z,14,FALSE)+VLOOKUP($A232,A:AL,19,FALSE)-50),"-",(VLOOKUP($A232,'SegEnds_NonXtal_BW#'!$A:$Z,14,FALSE)+VLOOKUP($A232,A:AL,19,FALSE)-50))</f>
        <v>169</v>
      </c>
      <c r="U232" s="9">
        <f>IF(ISERROR(VLOOKUP($A232,'SegEnds_NonXtal_BW#'!$A:$Z,15,FALSE)+VLOOKUP($A232,A:AL,22,FALSE)-50),"-",VLOOKUP($A232,'SegEnds_NonXtal_BW#'!$A:$Z,15,FALSE)+VLOOKUP($A232,A:AL,22,FALSE)-50)</f>
        <v>170</v>
      </c>
      <c r="V232" s="3">
        <v>182</v>
      </c>
      <c r="W232" s="3">
        <f>IF(ISERROR(VLOOKUP($A232,'SegEnds_NonXtal_BW#'!$A:$Z,16,FALSE)+VLOOKUP($A232,A:AL,22,FALSE)-50),"-",(VLOOKUP($A232,'SegEnds_NonXtal_BW#'!$A:$Z,16,FALSE)+VLOOKUP($A232,A:AL,22,FALSE)-50))</f>
        <v>196</v>
      </c>
      <c r="X232" s="3">
        <f>IF(ISERROR(VLOOKUP($A232,'SegEnds_NonXtal_BW#'!$A:$Z,17,FALSE)+VLOOKUP($A232,A:AL,25,FALSE)-50),"-",(VLOOKUP($A232,'SegEnds_NonXtal_BW#'!$A:$Z,17,FALSE)+VLOOKUP($A232,A:AL,25,FALSE)-50))</f>
        <v>208</v>
      </c>
      <c r="Y232" s="3">
        <v>208</v>
      </c>
      <c r="Z232" s="3">
        <f>Y232+2</f>
        <v>210</v>
      </c>
      <c r="AA232" s="3">
        <f>IF(ISERROR(VLOOKUP($A232,'SegEnds_NonXtal_BW#'!$A:$Z,19,FALSE)+VLOOKUP($A232,A:AL,28,FALSE)-50),"-",(VLOOKUP($A232,'SegEnds_NonXtal_BW#'!$A:$Z,19,FALSE)+VLOOKUP($A232,A:AL,28,FALSE)-50))</f>
        <v>216</v>
      </c>
      <c r="AB232" s="3">
        <v>235</v>
      </c>
      <c r="AC232" s="3">
        <f>IF(ISERROR((VLOOKUP($A232,'SegEnds_NonXtal_BW#'!$A:$Z,20,FALSE)+VLOOKUP($A232,A:AL,28,FALSE)-50)),"-",(VLOOKUP($A232,'SegEnds_NonXtal_BW#'!$A:$Z,20,FALSE)+VLOOKUP($A232,A:AL,28,FALSE)-50))</f>
        <v>253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286</v>
      </c>
      <c r="AF232" s="3">
        <f>IF(ISERROR((VLOOKUP($A232,'SegEnds_NonXtal_BW#'!$A:$Z,22,FALSE)+VLOOKUP($A232,A:AL,31,FALSE)-50)),"-",(VLOOKUP($A232,'SegEnds_NonXtal_BW#'!$A:$Z,22,FALSE)+VLOOKUP($A232,A:AL,31,FALSE)-50))</f>
        <v>297</v>
      </c>
      <c r="AG232" s="3">
        <f>IF(ISERROR(VLOOKUP($A232,'SegEnds_NonXtal_BW#'!$A:$Z,23,FALSE)+VLOOKUP($A232,A:AL,34,FALSE)-50),"-",(VLOOKUP($A232,'SegEnds_NonXtal_BW#'!$A:$Z,23,FALSE)+VLOOKUP($A232,A:AL,34,FALSE)-50))</f>
        <v>302</v>
      </c>
      <c r="AH232" s="3">
        <v>320</v>
      </c>
      <c r="AI232" s="3">
        <f>IF(ISERROR((VLOOKUP($A232,'SegEnds_NonXtal_BW#'!$A:$Z,24,FALSE)+VLOOKUP($A232,A:AL,34,FALSE)-50)),"-",(VLOOKUP($A232,'SegEnds_NonXtal_BW#'!$A:$Z,24,FALSE)+VLOOKUP($A232,A:AL,34,FALSE)-50))</f>
        <v>326</v>
      </c>
      <c r="AJ232" s="3">
        <f>IF(ISERROR(VLOOKUP($A232,'SegEnds_NonXtal_BW#'!$A:$Z,25,FALSE)+VLOOKUP($A232,A:AL,37,FALSE)-50),"-",(VLOOKUP($A232,'SegEnds_NonXtal_BW#'!$A:$Z,25,FALSE)+VLOOKUP($A232,A:AL,37,FALSE)-50))</f>
        <v>327</v>
      </c>
      <c r="AK232" s="3">
        <v>330</v>
      </c>
      <c r="AL232" s="3">
        <f>IF(ISERROR((VLOOKUP($A232,'SegEnds_NonXtal_BW#'!$A:$Z,26,FALSE)+VLOOKUP($A232,A:AL,37,FALSE)-50)),"-",(VLOOKUP($A232,'SegEnds_NonXtal_BW#'!$A:$Z,26,FALSE)+VLOOKUP($A232,A:AL,37,FALSE)-50))</f>
        <v>339</v>
      </c>
      <c r="AM232" s="28" t="str">
        <f>VLOOKUP(A232,Classification!A:B,2,FALSE)</f>
        <v>A</v>
      </c>
      <c r="AN232" s="28" t="b">
        <f>AND(IF(Y232="-",IF(AA232-W232&gt;3,TRUE,FALSE),TRUE),IF(M232="-",IF(O232-K232&gt;3,TRUE,FALSE),TRUE),C232&lt;E232,OR(E232&lt;F232,F232="-"),OR(F232&lt;H232,F232="-"),OR(H232&lt;I232,H232="-"),I232&lt;K232,OR(K232&lt;L232,L232="-"),OR(L232&lt;N232,L232="-"),OR(N232&lt;O232,N232="-"),O232&lt;Q232,OR(Q232&lt;R232,R232="-"),OR(R232&lt;T232,R232="-"),OR(T232&lt;U232,T232="-"),U232&lt;W232,OR(W232&lt;X232,X232="-"),OR(X232&lt;Z232,X232="-"),OR(Z232&lt;AA232,Z232="-"),AA232&lt;AC232,AC232&lt;AD232,AD232&lt;AF232,AF232&lt;AG232,AG232&lt;AI232,OR(AI232&lt;AJ232,AJ232="-"),OR(AJ232&lt;AL232,AJ232="-"))</f>
        <v>1</v>
      </c>
      <c r="AO232" s="3" t="str">
        <f>IF(ISERROR(MATCH(A232,'SegEnds_Xtal_Prot#'!B:B, 0)), "NoXtal", "Xtal")</f>
        <v>NoXtal</v>
      </c>
      <c r="AP232" s="3">
        <f>IF(ISERROR(F232-E232),"-",F232-E232)</f>
        <v>1</v>
      </c>
      <c r="AQ232" s="3">
        <f>IF(ISERROR(I232-H232),"-",I232-H232)</f>
        <v>1</v>
      </c>
      <c r="AR232" s="3">
        <f>IF(ISERROR(L232-K232),"-",L232-K232)</f>
        <v>2</v>
      </c>
      <c r="AS232" s="3">
        <f>IF(ISERROR(O232-N232),"-",O232-N232)</f>
        <v>1</v>
      </c>
      <c r="AT232" s="3">
        <f>IF(ISERROR(R232-Q232),"-",R232-Q232)</f>
        <v>1</v>
      </c>
      <c r="AU232" s="3">
        <f>IF(ISERROR(U232-T232),"-",U232-T232)</f>
        <v>1</v>
      </c>
      <c r="AV232" s="3">
        <f>IF(ISERROR(X232-W232),"-",X232-W232)</f>
        <v>12</v>
      </c>
      <c r="AW232" s="3">
        <f>IF(ISERROR(AA232-Z232),"-",AA232-Z232)</f>
        <v>6</v>
      </c>
      <c r="AX232" s="3">
        <f>IF(ISERROR(AD232-AC232),"-",AD232-AC232)</f>
        <v>6</v>
      </c>
      <c r="AY232" s="3">
        <f>IF(ISERROR(AG232-AF232),"-",AG232-AF232)</f>
        <v>5</v>
      </c>
      <c r="AZ232" s="3">
        <f>IF(ISERROR(AJ232-AI232),"-",AJ232-AI232)</f>
        <v>1</v>
      </c>
      <c r="BA232" s="3">
        <f>IF(ISERROR(LEN(VLOOKUP(A232,Seqs!A:E,2,FALSE))-AL232),"-",LEN(VLOOKUP(A232,Seqs!A:E,2,FALSE))-AL232)</f>
        <v>52</v>
      </c>
      <c r="BB232" s="16">
        <f>J232-D232</f>
        <v>28</v>
      </c>
      <c r="BC232" s="9">
        <f>IF(ISERROR(V232-S232),"-",V232-S232)</f>
        <v>20</v>
      </c>
      <c r="BD232" s="3">
        <f>J232-D232</f>
        <v>28</v>
      </c>
      <c r="BE232" s="3">
        <f>AE232-AB232</f>
        <v>51</v>
      </c>
    </row>
    <row r="233" spans="1:58" s="3" customFormat="1" x14ac:dyDescent="0.2">
      <c r="A233" s="3" t="s">
        <v>382</v>
      </c>
      <c r="B233" s="3" t="str">
        <f>LOWER(VLOOKUP(A233,Xtal_Templ!A:B,2,FALSE))</f>
        <v>oprk_human</v>
      </c>
      <c r="C233" s="3">
        <f>VLOOKUP($A233,'SegEnds_NonXtal_BW#'!$A:$Z,3,FALSE)+D233-50</f>
        <v>41</v>
      </c>
      <c r="D233" s="3">
        <v>61</v>
      </c>
      <c r="E233" s="3">
        <f>IF(ISERROR(VLOOKUP($A233,'SegEnds_NonXtal_BW#'!$A:$Z,4,FALSE)+VLOOKUP($A233,A:AL,4,FALSE)-50),"-",(VLOOKUP($A233,'SegEnds_NonXtal_BW#'!$A:$Z,4,FALSE)+VLOOKUP($A233,A:AL,4,FALSE)-50))</f>
        <v>71</v>
      </c>
      <c r="F233" s="3">
        <f>G233-2</f>
        <v>72</v>
      </c>
      <c r="G233" s="3">
        <v>74</v>
      </c>
      <c r="H233" s="3">
        <f>G233+1</f>
        <v>75</v>
      </c>
      <c r="I233" s="3">
        <f>H233+1</f>
        <v>76</v>
      </c>
      <c r="J233" s="3">
        <v>89</v>
      </c>
      <c r="K233" s="3">
        <f>VLOOKUP($A233,'SegEnds_NonXtal_BW#'!$A:$Z,8,FALSE)+VLOOKUP($A233,A:AL,10,FALSE)-50</f>
        <v>105</v>
      </c>
      <c r="L233" s="3">
        <f>M233-1</f>
        <v>107</v>
      </c>
      <c r="M233" s="3">
        <v>108</v>
      </c>
      <c r="N233" s="3">
        <f>M233+2</f>
        <v>110</v>
      </c>
      <c r="O233" s="3">
        <f>N233+1</f>
        <v>111</v>
      </c>
      <c r="P233" s="3">
        <v>140</v>
      </c>
      <c r="Q233" s="3">
        <f>VLOOKUP($A233,'SegEnds_NonXtal_BW#'!$A:$Z,12,FALSE)+VLOOKUP($A233,A:AL,16,FALSE)-50</f>
        <v>146</v>
      </c>
      <c r="R233" s="3">
        <f>IF(ISERROR(VLOOKUP($A233,'SegEnds_NonXtal_BW#'!$A:$Z,13,FALSE)+VLOOKUP($A233,A:AL,19,FALSE)-50),"-",VLOOKUP($A233,'SegEnds_NonXtal_BW#'!$A:$Z,13,FALSE)+VLOOKUP($A233,A:AL,19,FALSE)-50)</f>
        <v>147</v>
      </c>
      <c r="S233" s="3">
        <v>147</v>
      </c>
      <c r="T233" s="103">
        <f>IF(ISERROR(VLOOKUP($A233,'SegEnds_NonXtal_BW#'!$A:$Z,14,FALSE)+VLOOKUP($A233,A:AL,19,FALSE)-50),"-",(VLOOKUP($A233,'SegEnds_NonXtal_BW#'!$A:$Z,14,FALSE)+VLOOKUP($A233,A:AL,19,FALSE)-50))</f>
        <v>154</v>
      </c>
      <c r="U233" s="9">
        <f>IF(ISERROR(VLOOKUP($A233,'SegEnds_NonXtal_BW#'!$A:$Z,15,FALSE)+VLOOKUP($A233,A:AL,22,FALSE)-50),"-",VLOOKUP($A233,'SegEnds_NonXtal_BW#'!$A:$Z,15,FALSE)+VLOOKUP($A233,A:AL,22,FALSE)-50)</f>
        <v>155</v>
      </c>
      <c r="V233" s="3">
        <v>167</v>
      </c>
      <c r="W233" s="3">
        <f>IF(ISERROR(VLOOKUP($A233,'SegEnds_NonXtal_BW#'!$A:$Z,16,FALSE)+VLOOKUP($A233,A:AL,22,FALSE)-50),"-",(VLOOKUP($A233,'SegEnds_NonXtal_BW#'!$A:$Z,16,FALSE)+VLOOKUP($A233,A:AL,22,FALSE)-50))</f>
        <v>181</v>
      </c>
      <c r="X233" s="3">
        <f>IF(ISERROR(VLOOKUP($A233,'SegEnds_NonXtal_BW#'!$A:$Z,17,FALSE)+VLOOKUP($A233,A:AL,25,FALSE)-50),"-",(VLOOKUP($A233,'SegEnds_NonXtal_BW#'!$A:$Z,17,FALSE)+VLOOKUP($A233,A:AL,25,FALSE)-50))</f>
        <v>193</v>
      </c>
      <c r="Y233" s="3">
        <v>193</v>
      </c>
      <c r="Z233" s="3">
        <f>Y233+2</f>
        <v>195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220</v>
      </c>
      <c r="AC233" s="3">
        <f>IF(ISERROR((VLOOKUP($A233,'SegEnds_NonXtal_BW#'!$A:$Z,20,FALSE)+VLOOKUP($A233,A:AL,28,FALSE)-50)),"-",(VLOOKUP($A233,'SegEnds_NonXtal_BW#'!$A:$Z,20,FALSE)+VLOOKUP($A233,A:AL,28,FALSE)-50))</f>
        <v>238</v>
      </c>
      <c r="AD233" s="3">
        <f>IF(ISERROR(VLOOKUP($A233,'SegEnds_NonXtal_BW#'!$A:$Z,21,FALSE)+VLOOKUP($A233,A:AL,31,FALSE)-50),"-",(VLOOKUP($A233,'SegEnds_NonXtal_BW#'!$A:$Z,21,FALSE)+VLOOKUP($A233,A:AL,31,FALSE)-50))</f>
        <v>244</v>
      </c>
      <c r="AE233" s="3">
        <v>271</v>
      </c>
      <c r="AF233" s="3">
        <f>IF(ISERROR((VLOOKUP($A233,'SegEnds_NonXtal_BW#'!$A:$Z,22,FALSE)+VLOOKUP($A233,A:AL,31,FALSE)-50)),"-",(VLOOKUP($A233,'SegEnds_NonXtal_BW#'!$A:$Z,22,FALSE)+VLOOKUP($A233,A:AL,31,FALSE)-50))</f>
        <v>282</v>
      </c>
      <c r="AG233" s="3">
        <f>IF(ISERROR(VLOOKUP($A233,'SegEnds_NonXtal_BW#'!$A:$Z,23,FALSE)+VLOOKUP($A233,A:AL,34,FALSE)-50),"-",(VLOOKUP($A233,'SegEnds_NonXtal_BW#'!$A:$Z,23,FALSE)+VLOOKUP($A233,A:AL,34,FALSE)-50))</f>
        <v>287</v>
      </c>
      <c r="AH233" s="3">
        <v>309</v>
      </c>
      <c r="AI233" s="3">
        <f>IF(ISERROR((VLOOKUP($A233,'SegEnds_NonXtal_BW#'!$A:$Z,24,FALSE)+VLOOKUP($A233,A:AL,34,FALSE)-50)),"-",(VLOOKUP($A233,'SegEnds_NonXtal_BW#'!$A:$Z,24,FALSE)+VLOOKUP($A233,A:AL,34,FALSE)-50))</f>
        <v>315</v>
      </c>
      <c r="AJ233" s="3">
        <f>IF(ISERROR(VLOOKUP($A233,'SegEnds_NonXtal_BW#'!$A:$Z,25,FALSE)+VLOOKUP($A233,A:AL,37,FALSE)-50),"-",(VLOOKUP($A233,'SegEnds_NonXtal_BW#'!$A:$Z,25,FALSE)+VLOOKUP($A233,A:AL,37,FALSE)-50))</f>
        <v>316</v>
      </c>
      <c r="AK233" s="3">
        <v>319</v>
      </c>
      <c r="AL233" s="3">
        <f>IF(ISERROR((VLOOKUP($A233,'SegEnds_NonXtal_BW#'!$A:$Z,26,FALSE)+VLOOKUP($A233,A:AL,37,FALSE)-50)),"-",(VLOOKUP($A233,'SegEnds_NonXtal_BW#'!$A:$Z,26,FALSE)+VLOOKUP($A233,A:AL,37,FALSE)-50))</f>
        <v>328</v>
      </c>
      <c r="AM233" s="28" t="str">
        <f>VLOOKUP(A233,Classification!A:B,2,FALSE)</f>
        <v>A</v>
      </c>
      <c r="AN233" s="28" t="b">
        <f>AND(IF(Y233="-",IF(AA233-W233&gt;3,TRUE,FALSE),TRUE),IF(M233="-",IF(O233-K233&gt;3,TRUE,FALSE),TRUE),C233&lt;E233,OR(E233&lt;F233,F233="-"),OR(F233&lt;H233,F233="-"),OR(H233&lt;I233,H233="-"),I233&lt;K233,OR(K233&lt;L233,L233="-"),OR(L233&lt;N233,L233="-"),OR(N233&lt;O233,N233="-"),O233&lt;Q233,OR(Q233&lt;R233,R233="-"),OR(R233&lt;T233,R233="-"),OR(T233&lt;U233,T233="-"),U233&lt;W233,OR(W233&lt;X233,X233="-"),OR(X233&lt;Z233,X233="-"),OR(Z233&lt;AA233,Z233="-"),AA233&lt;AC233,AC233&lt;AD233,AD233&lt;AF233,AF233&lt;AG233,AG233&lt;AI233,OR(AI233&lt;AJ233,AJ233="-"),OR(AJ233&lt;AL233,AJ233="-"))</f>
        <v>1</v>
      </c>
      <c r="AO233" s="3" t="str">
        <f>IF(ISERROR(MATCH(A233,'SegEnds_Xtal_Prot#'!B:B, 0)), "NoXtal", "Xtal")</f>
        <v>NoXtal</v>
      </c>
      <c r="AP233" s="3">
        <f>IF(ISERROR(F233-E233),"-",F233-E233)</f>
        <v>1</v>
      </c>
      <c r="AQ233" s="3">
        <f>IF(ISERROR(I233-H233),"-",I233-H233)</f>
        <v>1</v>
      </c>
      <c r="AR233" s="3">
        <f>IF(ISERROR(L233-K233),"-",L233-K233)</f>
        <v>2</v>
      </c>
      <c r="AS233" s="3">
        <f>IF(ISERROR(O233-N233),"-",O233-N233)</f>
        <v>1</v>
      </c>
      <c r="AT233" s="3">
        <f>IF(ISERROR(R233-Q233),"-",R233-Q233)</f>
        <v>1</v>
      </c>
      <c r="AU233" s="3">
        <f>IF(ISERROR(U233-T233),"-",U233-T233)</f>
        <v>1</v>
      </c>
      <c r="AV233" s="3">
        <f>IF(ISERROR(X233-W233),"-",X233-W233)</f>
        <v>12</v>
      </c>
      <c r="AW233" s="3">
        <f>IF(ISERROR(AA233-Z233),"-",AA233-Z233)</f>
        <v>6</v>
      </c>
      <c r="AX233" s="3">
        <f>IF(ISERROR(AD233-AC233),"-",AD233-AC233)</f>
        <v>6</v>
      </c>
      <c r="AY233" s="3">
        <f>IF(ISERROR(AG233-AF233),"-",AG233-AF233)</f>
        <v>5</v>
      </c>
      <c r="AZ233" s="3">
        <f>IF(ISERROR(AJ233-AI233),"-",AJ233-AI233)</f>
        <v>1</v>
      </c>
      <c r="BA233" s="3">
        <f>IF(ISERROR(LEN(VLOOKUP(A233,Seqs!A:E,2,FALSE))-AL233),"-",LEN(VLOOKUP(A233,Seqs!A:E,2,FALSE))-AL233)</f>
        <v>41</v>
      </c>
      <c r="BB233" s="16">
        <f>J233-D233</f>
        <v>28</v>
      </c>
      <c r="BC233" s="9">
        <f>IF(ISERROR(V233-S233),"-",V233-S233)</f>
        <v>20</v>
      </c>
      <c r="BD233" s="3">
        <f>J233-D233</f>
        <v>28</v>
      </c>
      <c r="BE233" s="3">
        <f>AE233-AB233</f>
        <v>51</v>
      </c>
    </row>
    <row r="234" spans="1:58" s="3" customFormat="1" x14ac:dyDescent="0.2">
      <c r="A234" s="3" t="s">
        <v>383</v>
      </c>
      <c r="B234" s="3" t="str">
        <f>LOWER(VLOOKUP(A234,Xtal_Templ!A:B,2,FALSE))</f>
        <v>oprk_human</v>
      </c>
      <c r="C234" s="3">
        <f>VLOOKUP($A234,'SegEnds_NonXtal_BW#'!$A:$Z,3,FALSE)+D234-50</f>
        <v>42</v>
      </c>
      <c r="D234" s="3">
        <v>62</v>
      </c>
      <c r="E234" s="3">
        <f>IF(ISERROR(VLOOKUP($A234,'SegEnds_NonXtal_BW#'!$A:$Z,4,FALSE)+VLOOKUP($A234,A:AL,4,FALSE)-50),"-",(VLOOKUP($A234,'SegEnds_NonXtal_BW#'!$A:$Z,4,FALSE)+VLOOKUP($A234,A:AL,4,FALSE)-50))</f>
        <v>72</v>
      </c>
      <c r="F234" s="3">
        <f>G234-2</f>
        <v>73</v>
      </c>
      <c r="G234" s="3">
        <v>75</v>
      </c>
      <c r="H234" s="3">
        <f>G234+1</f>
        <v>76</v>
      </c>
      <c r="I234" s="3">
        <f>H234+1</f>
        <v>77</v>
      </c>
      <c r="J234" s="3">
        <v>90</v>
      </c>
      <c r="K234" s="3">
        <f>VLOOKUP($A234,'SegEnds_NonXtal_BW#'!$A:$Z,8,FALSE)+VLOOKUP($A234,A:AL,10,FALSE)-50</f>
        <v>106</v>
      </c>
      <c r="L234" s="3">
        <f>M234-1</f>
        <v>108</v>
      </c>
      <c r="M234" s="3">
        <v>109</v>
      </c>
      <c r="N234" s="3">
        <f>M234+2</f>
        <v>111</v>
      </c>
      <c r="O234" s="3">
        <f>N234+1</f>
        <v>112</v>
      </c>
      <c r="P234" s="3">
        <v>141</v>
      </c>
      <c r="Q234" s="3">
        <f>VLOOKUP($A234,'SegEnds_NonXtal_BW#'!$A:$Z,12,FALSE)+VLOOKUP($A234,A:AL,16,FALSE)-50</f>
        <v>147</v>
      </c>
      <c r="R234" s="3">
        <f>IF(ISERROR(VLOOKUP($A234,'SegEnds_NonXtal_BW#'!$A:$Z,13,FALSE)+VLOOKUP($A234,A:AL,19,FALSE)-50),"-",VLOOKUP($A234,'SegEnds_NonXtal_BW#'!$A:$Z,13,FALSE)+VLOOKUP($A234,A:AL,19,FALSE)-50)</f>
        <v>148</v>
      </c>
      <c r="S234" s="3">
        <v>148</v>
      </c>
      <c r="T234" s="103">
        <f>IF(ISERROR(VLOOKUP($A234,'SegEnds_NonXtal_BW#'!$A:$Z,14,FALSE)+VLOOKUP($A234,A:AL,19,FALSE)-50),"-",(VLOOKUP($A234,'SegEnds_NonXtal_BW#'!$A:$Z,14,FALSE)+VLOOKUP($A234,A:AL,19,FALSE)-50))</f>
        <v>155</v>
      </c>
      <c r="U234" s="9">
        <f>IF(ISERROR(VLOOKUP($A234,'SegEnds_NonXtal_BW#'!$A:$Z,15,FALSE)+VLOOKUP($A234,A:AL,22,FALSE)-50),"-",VLOOKUP($A234,'SegEnds_NonXtal_BW#'!$A:$Z,15,FALSE)+VLOOKUP($A234,A:AL,22,FALSE)-50)</f>
        <v>156</v>
      </c>
      <c r="V234" s="3">
        <v>168</v>
      </c>
      <c r="W234" s="3">
        <f>IF(ISERROR(VLOOKUP($A234,'SegEnds_NonXtal_BW#'!$A:$Z,16,FALSE)+VLOOKUP($A234,A:AL,22,FALSE)-50),"-",(VLOOKUP($A234,'SegEnds_NonXtal_BW#'!$A:$Z,16,FALSE)+VLOOKUP($A234,A:AL,22,FALSE)-50))</f>
        <v>182</v>
      </c>
      <c r="X234" s="3">
        <f>IF(ISERROR(VLOOKUP($A234,'SegEnds_NonXtal_BW#'!$A:$Z,17,FALSE)+VLOOKUP($A234,A:AL,25,FALSE)-50),"-",(VLOOKUP($A234,'SegEnds_NonXtal_BW#'!$A:$Z,17,FALSE)+VLOOKUP($A234,A:AL,25,FALSE)-50))</f>
        <v>191</v>
      </c>
      <c r="Y234" s="3">
        <v>191</v>
      </c>
      <c r="Z234" s="3">
        <f>Y234+2</f>
        <v>193</v>
      </c>
      <c r="AA234" s="3">
        <f>IF(ISERROR(VLOOKUP($A234,'SegEnds_NonXtal_BW#'!$A:$Z,19,FALSE)+VLOOKUP($A234,A:AL,28,FALSE)-50),"-",(VLOOKUP($A234,'SegEnds_NonXtal_BW#'!$A:$Z,19,FALSE)+VLOOKUP($A234,A:AL,28,FALSE)-50))</f>
        <v>199</v>
      </c>
      <c r="AB234" s="3">
        <v>218</v>
      </c>
      <c r="AC234" s="3">
        <f>IF(ISERROR((VLOOKUP($A234,'SegEnds_NonXtal_BW#'!$A:$Z,20,FALSE)+VLOOKUP($A234,A:AL,28,FALSE)-50)),"-",(VLOOKUP($A234,'SegEnds_NonXtal_BW#'!$A:$Z,20,FALSE)+VLOOKUP($A234,A:AL,28,FALSE)-50))</f>
        <v>240</v>
      </c>
      <c r="AD234" s="3">
        <f>IF(ISERROR(VLOOKUP($A234,'SegEnds_NonXtal_BW#'!$A:$Z,21,FALSE)+VLOOKUP($A234,A:AL,31,FALSE)-50),"-",(VLOOKUP($A234,'SegEnds_NonXtal_BW#'!$A:$Z,21,FALSE)+VLOOKUP($A234,A:AL,31,FALSE)-50))</f>
        <v>246</v>
      </c>
      <c r="AE234" s="3">
        <v>272</v>
      </c>
      <c r="AF234" s="3">
        <f>IF(ISERROR((VLOOKUP($A234,'SegEnds_NonXtal_BW#'!$A:$Z,22,FALSE)+VLOOKUP($A234,A:AL,31,FALSE)-50)),"-",(VLOOKUP($A234,'SegEnds_NonXtal_BW#'!$A:$Z,22,FALSE)+VLOOKUP($A234,A:AL,31,FALSE)-50))</f>
        <v>283</v>
      </c>
      <c r="AG234" s="3">
        <f>IF(ISERROR(VLOOKUP($A234,'SegEnds_NonXtal_BW#'!$A:$Z,23,FALSE)+VLOOKUP($A234,A:AL,34,FALSE)-50),"-",(VLOOKUP($A234,'SegEnds_NonXtal_BW#'!$A:$Z,23,FALSE)+VLOOKUP($A234,A:AL,34,FALSE)-50))</f>
        <v>288</v>
      </c>
      <c r="AH234" s="3">
        <v>310</v>
      </c>
      <c r="AI234" s="3">
        <f>IF(ISERROR((VLOOKUP($A234,'SegEnds_NonXtal_BW#'!$A:$Z,24,FALSE)+VLOOKUP($A234,A:AL,34,FALSE)-50)),"-",(VLOOKUP($A234,'SegEnds_NonXtal_BW#'!$A:$Z,24,FALSE)+VLOOKUP($A234,A:AL,34,FALSE)-50))</f>
        <v>316</v>
      </c>
      <c r="AJ234" s="3">
        <f>IF(ISERROR(VLOOKUP($A234,'SegEnds_NonXtal_BW#'!$A:$Z,25,FALSE)+VLOOKUP($A234,A:AL,37,FALSE)-50),"-",(VLOOKUP($A234,'SegEnds_NonXtal_BW#'!$A:$Z,25,FALSE)+VLOOKUP($A234,A:AL,37,FALSE)-50))</f>
        <v>317</v>
      </c>
      <c r="AK234" s="3">
        <v>320</v>
      </c>
      <c r="AL234" s="3">
        <f>IF(ISERROR((VLOOKUP($A234,'SegEnds_NonXtal_BW#'!$A:$Z,26,FALSE)+VLOOKUP($A234,A:AL,37,FALSE)-50)),"-",(VLOOKUP($A234,'SegEnds_NonXtal_BW#'!$A:$Z,26,FALSE)+VLOOKUP($A234,A:AL,37,FALSE)-50))</f>
        <v>329</v>
      </c>
      <c r="AM234" s="28" t="str">
        <f>VLOOKUP(A234,Classification!A:B,2,FALSE)</f>
        <v>A</v>
      </c>
      <c r="AN234" s="28" t="b">
        <f>AND(IF(Y234="-",IF(AA234-W234&gt;3,TRUE,FALSE),TRUE),IF(M234="-",IF(O234-K234&gt;3,TRUE,FALSE),TRUE),C234&lt;E234,OR(E234&lt;F234,F234="-"),OR(F234&lt;H234,F234="-"),OR(H234&lt;I234,H234="-"),I234&lt;K234,OR(K234&lt;L234,L234="-"),OR(L234&lt;N234,L234="-"),OR(N234&lt;O234,N234="-"),O234&lt;Q234,OR(Q234&lt;R234,R234="-"),OR(R234&lt;T234,R234="-"),OR(T234&lt;U234,T234="-"),U234&lt;W234,OR(W234&lt;X234,X234="-"),OR(X234&lt;Z234,X234="-"),OR(Z234&lt;AA234,Z234="-"),AA234&lt;AC234,AC234&lt;AD234,AD234&lt;AF234,AF234&lt;AG234,AG234&lt;AI234,OR(AI234&lt;AJ234,AJ234="-"),OR(AJ234&lt;AL234,AJ234="-"))</f>
        <v>1</v>
      </c>
      <c r="AO234" s="3" t="str">
        <f>IF(ISERROR(MATCH(A234,'SegEnds_Xtal_Prot#'!B:B, 0)), "NoXtal", "Xtal")</f>
        <v>NoXtal</v>
      </c>
      <c r="AP234" s="3">
        <f>IF(ISERROR(F234-E234),"-",F234-E234)</f>
        <v>1</v>
      </c>
      <c r="AQ234" s="3">
        <f>IF(ISERROR(I234-H234),"-",I234-H234)</f>
        <v>1</v>
      </c>
      <c r="AR234" s="3">
        <f>IF(ISERROR(L234-K234),"-",L234-K234)</f>
        <v>2</v>
      </c>
      <c r="AS234" s="3">
        <f>IF(ISERROR(O234-N234),"-",O234-N234)</f>
        <v>1</v>
      </c>
      <c r="AT234" s="3">
        <f>IF(ISERROR(R234-Q234),"-",R234-Q234)</f>
        <v>1</v>
      </c>
      <c r="AU234" s="3">
        <f>IF(ISERROR(U234-T234),"-",U234-T234)</f>
        <v>1</v>
      </c>
      <c r="AV234" s="3">
        <f>IF(ISERROR(X234-W234),"-",X234-W234)</f>
        <v>9</v>
      </c>
      <c r="AW234" s="3">
        <f>IF(ISERROR(AA234-Z234),"-",AA234-Z234)</f>
        <v>6</v>
      </c>
      <c r="AX234" s="3">
        <f>IF(ISERROR(AD234-AC234),"-",AD234-AC234)</f>
        <v>6</v>
      </c>
      <c r="AY234" s="3">
        <f>IF(ISERROR(AG234-AF234),"-",AG234-AF234)</f>
        <v>5</v>
      </c>
      <c r="AZ234" s="3">
        <f>IF(ISERROR(AJ234-AI234),"-",AJ234-AI234)</f>
        <v>1</v>
      </c>
      <c r="BA234" s="3">
        <f>IF(ISERROR(LEN(VLOOKUP(A234,Seqs!A:E,2,FALSE))-AL234),"-",LEN(VLOOKUP(A234,Seqs!A:E,2,FALSE))-AL234)</f>
        <v>89</v>
      </c>
      <c r="BB234" s="16">
        <f>J234-D234</f>
        <v>28</v>
      </c>
      <c r="BC234" s="9">
        <f>IF(ISERROR(V234-S234),"-",V234-S234)</f>
        <v>20</v>
      </c>
      <c r="BD234" s="3">
        <f>J234-D234</f>
        <v>28</v>
      </c>
      <c r="BE234" s="3">
        <f>AE234-AB234</f>
        <v>54</v>
      </c>
    </row>
    <row r="235" spans="1:58" s="3" customFormat="1" x14ac:dyDescent="0.2">
      <c r="A235" s="3" t="s">
        <v>384</v>
      </c>
      <c r="B235" s="3" t="str">
        <f>LOWER(VLOOKUP(A235,Xtal_Templ!A:B,2,FALSE))</f>
        <v>oprd_human</v>
      </c>
      <c r="C235" s="3">
        <f>VLOOKUP($A235,'SegEnds_NonXtal_BW#'!$A:$Z,3,FALSE)+D235-50</f>
        <v>37</v>
      </c>
      <c r="D235" s="3">
        <v>65</v>
      </c>
      <c r="E235" s="3">
        <f>IF(ISERROR(VLOOKUP($A235,'SegEnds_NonXtal_BW#'!$A:$Z,4,FALSE)+VLOOKUP($A235,A:AL,4,FALSE)-50),"-",(VLOOKUP($A235,'SegEnds_NonXtal_BW#'!$A:$Z,4,FALSE)+VLOOKUP($A235,A:AL,4,FALSE)-50))</f>
        <v>75</v>
      </c>
      <c r="F235" s="3">
        <f>G235-2</f>
        <v>76</v>
      </c>
      <c r="G235" s="3">
        <v>78</v>
      </c>
      <c r="H235" s="3">
        <f>G235+1</f>
        <v>79</v>
      </c>
      <c r="I235" s="3">
        <f>H235+1</f>
        <v>80</v>
      </c>
      <c r="J235" s="3">
        <v>93</v>
      </c>
      <c r="K235" s="3">
        <f>VLOOKUP($A235,'SegEnds_NonXtal_BW#'!$A:$Z,8,FALSE)+VLOOKUP($A235,A:AL,10,FALSE)-50</f>
        <v>109</v>
      </c>
      <c r="L235" s="3">
        <f>M235-1</f>
        <v>111</v>
      </c>
      <c r="M235" s="3">
        <v>112</v>
      </c>
      <c r="N235" s="3">
        <f>M235+2</f>
        <v>114</v>
      </c>
      <c r="O235" s="3">
        <f>N235+1</f>
        <v>115</v>
      </c>
      <c r="P235" s="3">
        <v>144</v>
      </c>
      <c r="Q235" s="3">
        <f>VLOOKUP($A235,'SegEnds_NonXtal_BW#'!$A:$Z,12,FALSE)+VLOOKUP($A235,A:AL,16,FALSE)-50</f>
        <v>150</v>
      </c>
      <c r="R235" s="3">
        <f>IF(ISERROR(VLOOKUP($A235,'SegEnds_NonXtal_BW#'!$A:$Z,13,FALSE)+VLOOKUP($A235,A:AL,19,FALSE)-50),"-",VLOOKUP($A235,'SegEnds_NonXtal_BW#'!$A:$Z,13,FALSE)+VLOOKUP($A235,A:AL,19,FALSE)-50)</f>
        <v>151</v>
      </c>
      <c r="S235" s="3">
        <v>151</v>
      </c>
      <c r="T235" s="103">
        <f>IF(ISERROR(VLOOKUP($A235,'SegEnds_NonXtal_BW#'!$A:$Z,14,FALSE)+VLOOKUP($A235,A:AL,19,FALSE)-50),"-",(VLOOKUP($A235,'SegEnds_NonXtal_BW#'!$A:$Z,14,FALSE)+VLOOKUP($A235,A:AL,19,FALSE)-50))</f>
        <v>158</v>
      </c>
      <c r="U235" s="9">
        <f>IF(ISERROR(VLOOKUP($A235,'SegEnds_NonXtal_BW#'!$A:$Z,15,FALSE)+VLOOKUP($A235,A:AL,22,FALSE)-50),"-",VLOOKUP($A235,'SegEnds_NonXtal_BW#'!$A:$Z,15,FALSE)+VLOOKUP($A235,A:AL,22,FALSE)-50)</f>
        <v>159</v>
      </c>
      <c r="V235" s="3">
        <v>171</v>
      </c>
      <c r="W235" s="3">
        <f>IF(ISERROR(VLOOKUP($A235,'SegEnds_NonXtal_BW#'!$A:$Z,16,FALSE)+VLOOKUP($A235,A:AL,22,FALSE)-50),"-",(VLOOKUP($A235,'SegEnds_NonXtal_BW#'!$A:$Z,16,FALSE)+VLOOKUP($A235,A:AL,22,FALSE)-50))</f>
        <v>185</v>
      </c>
      <c r="X235" s="3">
        <f>IF(ISERROR(VLOOKUP($A235,'SegEnds_NonXtal_BW#'!$A:$Z,17,FALSE)+VLOOKUP($A235,A:AL,25,FALSE)-50),"-",(VLOOKUP($A235,'SegEnds_NonXtal_BW#'!$A:$Z,17,FALSE)+VLOOKUP($A235,A:AL,25,FALSE)-50))</f>
        <v>198</v>
      </c>
      <c r="Y235" s="3">
        <v>198</v>
      </c>
      <c r="Z235" s="3">
        <f>Y235+2</f>
        <v>200</v>
      </c>
      <c r="AA235" s="3">
        <f>IF(ISERROR(VLOOKUP($A235,'SegEnds_NonXtal_BW#'!$A:$Z,19,FALSE)+VLOOKUP($A235,A:AL,28,FALSE)-50),"-",(VLOOKUP($A235,'SegEnds_NonXtal_BW#'!$A:$Z,19,FALSE)+VLOOKUP($A235,A:AL,28,FALSE)-50))</f>
        <v>204</v>
      </c>
      <c r="AB235" s="3">
        <v>223</v>
      </c>
      <c r="AC235" s="3">
        <f>IF(ISERROR((VLOOKUP($A235,'SegEnds_NonXtal_BW#'!$A:$Z,20,FALSE)+VLOOKUP($A235,A:AL,28,FALSE)-50)),"-",(VLOOKUP($A235,'SegEnds_NonXtal_BW#'!$A:$Z,20,FALSE)+VLOOKUP($A235,A:AL,28,FALSE)-50))</f>
        <v>241</v>
      </c>
      <c r="AD235" s="3">
        <f>IF(ISERROR(VLOOKUP($A235,'SegEnds_NonXtal_BW#'!$A:$Z,21,FALSE)+VLOOKUP($A235,A:AL,31,FALSE)-50),"-",(VLOOKUP($A235,'SegEnds_NonXtal_BW#'!$A:$Z,21,FALSE)+VLOOKUP($A235,A:AL,31,FALSE)-50))</f>
        <v>247</v>
      </c>
      <c r="AE235" s="3">
        <v>274</v>
      </c>
      <c r="AF235" s="3">
        <f>IF(ISERROR((VLOOKUP($A235,'SegEnds_NonXtal_BW#'!$A:$Z,22,FALSE)+VLOOKUP($A235,A:AL,31,FALSE)-50)),"-",(VLOOKUP($A235,'SegEnds_NonXtal_BW#'!$A:$Z,22,FALSE)+VLOOKUP($A235,A:AL,31,FALSE)-50))</f>
        <v>285</v>
      </c>
      <c r="AG235" s="3">
        <f>IF(ISERROR(VLOOKUP($A235,'SegEnds_NonXtal_BW#'!$A:$Z,23,FALSE)+VLOOKUP($A235,A:AL,34,FALSE)-50),"-",(VLOOKUP($A235,'SegEnds_NonXtal_BW#'!$A:$Z,23,FALSE)+VLOOKUP($A235,A:AL,34,FALSE)-50))</f>
        <v>290</v>
      </c>
      <c r="AH235" s="3">
        <v>308</v>
      </c>
      <c r="AI235" s="3">
        <f>IF(ISERROR((VLOOKUP($A235,'SegEnds_NonXtal_BW#'!$A:$Z,24,FALSE)+VLOOKUP($A235,A:AL,34,FALSE)-50)),"-",(VLOOKUP($A235,'SegEnds_NonXtal_BW#'!$A:$Z,24,FALSE)+VLOOKUP($A235,A:AL,34,FALSE)-50))</f>
        <v>314</v>
      </c>
      <c r="AJ235" s="3">
        <f>IF(ISERROR(VLOOKUP($A235,'SegEnds_NonXtal_BW#'!$A:$Z,25,FALSE)+VLOOKUP($A235,A:AL,37,FALSE)-50),"-",(VLOOKUP($A235,'SegEnds_NonXtal_BW#'!$A:$Z,25,FALSE)+VLOOKUP($A235,A:AL,37,FALSE)-50))</f>
        <v>315</v>
      </c>
      <c r="AK235" s="3">
        <v>318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>AND(IF(Y235="-",IF(AA235-W235&gt;3,TRUE,FALSE),TRUE),IF(M235="-",IF(O235-K235&gt;3,TRUE,FALSE),TRUE),C235&lt;E235,OR(E235&lt;F235,F235="-"),OR(F235&lt;H235,F235="-"),OR(H235&lt;I235,H235="-"),I235&lt;K235,OR(K235&lt;L235,L235="-"),OR(L235&lt;N235,L235="-"),OR(N235&lt;O235,N235="-"),O235&lt;Q235,OR(Q235&lt;R235,R235="-"),OR(R235&lt;T235,R235="-"),OR(T235&lt;U235,T235="-"),U235&lt;W235,OR(W235&lt;X235,X235="-"),OR(X235&lt;Z235,X235="-"),OR(Z235&lt;AA235,Z235="-"),AA235&lt;AC235,AC235&lt;AD235,AD235&lt;AF235,AF235&lt;AG235,AG235&lt;AI235,OR(AI235&lt;AJ235,AJ235="-"),OR(AJ235&lt;AL235,AJ235="-"))</f>
        <v>1</v>
      </c>
      <c r="AO235" s="3" t="str">
        <f>IF(ISERROR(MATCH(A235,'SegEnds_Xtal_Prot#'!B:B, 0)), "NoXtal", "Xtal")</f>
        <v>NoXtal</v>
      </c>
      <c r="AP235" s="3">
        <f>IF(ISERROR(F235-E235),"-",F235-E235)</f>
        <v>1</v>
      </c>
      <c r="AQ235" s="3">
        <f>IF(ISERROR(I235-H235),"-",I235-H235)</f>
        <v>1</v>
      </c>
      <c r="AR235" s="3">
        <f>IF(ISERROR(L235-K235),"-",L235-K235)</f>
        <v>2</v>
      </c>
      <c r="AS235" s="3">
        <f>IF(ISERROR(O235-N235),"-",O235-N235)</f>
        <v>1</v>
      </c>
      <c r="AT235" s="3">
        <f>IF(ISERROR(R235-Q235),"-",R235-Q235)</f>
        <v>1</v>
      </c>
      <c r="AU235" s="3">
        <f>IF(ISERROR(U235-T235),"-",U235-T235)</f>
        <v>1</v>
      </c>
      <c r="AV235" s="3">
        <f>IF(ISERROR(X235-W235),"-",X235-W235)</f>
        <v>13</v>
      </c>
      <c r="AW235" s="3">
        <f>IF(ISERROR(AA235-Z235),"-",AA235-Z235)</f>
        <v>4</v>
      </c>
      <c r="AX235" s="3">
        <f>IF(ISERROR(AD235-AC235),"-",AD235-AC235)</f>
        <v>6</v>
      </c>
      <c r="AY235" s="3">
        <f>IF(ISERROR(AG235-AF235),"-",AG235-AF235)</f>
        <v>5</v>
      </c>
      <c r="AZ235" s="3">
        <f>IF(ISERROR(AJ235-AI235),"-",AJ235-AI235)</f>
        <v>1</v>
      </c>
      <c r="BA235" s="3">
        <f>IF(ISERROR(LEN(VLOOKUP(A235,Seqs!A:E,2,FALSE))-AL235),"-",LEN(VLOOKUP(A235,Seqs!A:E,2,FALSE))-AL235)</f>
        <v>60</v>
      </c>
      <c r="BB235" s="16">
        <f>J235-D235</f>
        <v>28</v>
      </c>
      <c r="BC235" s="9">
        <f>IF(ISERROR(V235-S235),"-",V235-S235)</f>
        <v>20</v>
      </c>
      <c r="BD235" s="3">
        <f>J235-D235</f>
        <v>28</v>
      </c>
      <c r="BE235" s="3">
        <f>AE235-AB235</f>
        <v>51</v>
      </c>
    </row>
    <row r="236" spans="1:58" s="3" customFormat="1" x14ac:dyDescent="0.2">
      <c r="A236" s="3" t="s">
        <v>385</v>
      </c>
      <c r="B236" s="3" t="str">
        <f>LOWER(VLOOKUP(A236,Xtal_Templ!A:B,2,FALSE))</f>
        <v>oprk_human</v>
      </c>
      <c r="C236" s="3">
        <f>VLOOKUP($A236,'SegEnds_NonXtal_BW#'!$A:$Z,3,FALSE)+D236-50</f>
        <v>38</v>
      </c>
      <c r="D236" s="3">
        <v>58</v>
      </c>
      <c r="E236" s="3">
        <f>IF(ISERROR(VLOOKUP($A236,'SegEnds_NonXtal_BW#'!$A:$Z,4,FALSE)+VLOOKUP($A236,A:AL,4,FALSE)-50),"-",(VLOOKUP($A236,'SegEnds_NonXtal_BW#'!$A:$Z,4,FALSE)+VLOOKUP($A236,A:AL,4,FALSE)-50))</f>
        <v>68</v>
      </c>
      <c r="F236" s="3">
        <f>G236-2</f>
        <v>69</v>
      </c>
      <c r="G236" s="3">
        <v>71</v>
      </c>
      <c r="H236" s="3">
        <f>G236+1</f>
        <v>72</v>
      </c>
      <c r="I236" s="3">
        <f>H236+1</f>
        <v>73</v>
      </c>
      <c r="J236" s="3">
        <v>86</v>
      </c>
      <c r="K236" s="3">
        <f>VLOOKUP($A236,'SegEnds_NonXtal_BW#'!$A:$Z,8,FALSE)+VLOOKUP($A236,A:AL,10,FALSE)-50</f>
        <v>102</v>
      </c>
      <c r="L236" s="3">
        <f>M236-1</f>
        <v>104</v>
      </c>
      <c r="M236" s="3">
        <v>105</v>
      </c>
      <c r="N236" s="3">
        <f>M236+2</f>
        <v>107</v>
      </c>
      <c r="O236" s="3">
        <f>N236+1</f>
        <v>108</v>
      </c>
      <c r="P236" s="3">
        <v>137</v>
      </c>
      <c r="Q236" s="3">
        <f>VLOOKUP($A236,'SegEnds_NonXtal_BW#'!$A:$Z,12,FALSE)+VLOOKUP($A236,A:AL,16,FALSE)-50</f>
        <v>143</v>
      </c>
      <c r="R236" s="3">
        <f>IF(ISERROR(VLOOKUP($A236,'SegEnds_NonXtal_BW#'!$A:$Z,13,FALSE)+VLOOKUP($A236,A:AL,19,FALSE)-50),"-",VLOOKUP($A236,'SegEnds_NonXtal_BW#'!$A:$Z,13,FALSE)+VLOOKUP($A236,A:AL,19,FALSE)-50)</f>
        <v>144</v>
      </c>
      <c r="S236" s="3">
        <v>144</v>
      </c>
      <c r="T236" s="103">
        <f>IF(ISERROR(VLOOKUP($A236,'SegEnds_NonXtal_BW#'!$A:$Z,14,FALSE)+VLOOKUP($A236,A:AL,19,FALSE)-50),"-",(VLOOKUP($A236,'SegEnds_NonXtal_BW#'!$A:$Z,14,FALSE)+VLOOKUP($A236,A:AL,19,FALSE)-50))</f>
        <v>151</v>
      </c>
      <c r="U236" s="9">
        <f>IF(ISERROR(VLOOKUP($A236,'SegEnds_NonXtal_BW#'!$A:$Z,15,FALSE)+VLOOKUP($A236,A:AL,22,FALSE)-50),"-",VLOOKUP($A236,'SegEnds_NonXtal_BW#'!$A:$Z,15,FALSE)+VLOOKUP($A236,A:AL,22,FALSE)-50)</f>
        <v>152</v>
      </c>
      <c r="V236" s="3">
        <v>164</v>
      </c>
      <c r="W236" s="3">
        <f>IF(ISERROR(VLOOKUP($A236,'SegEnds_NonXtal_BW#'!$A:$Z,16,FALSE)+VLOOKUP($A236,A:AL,22,FALSE)-50),"-",(VLOOKUP($A236,'SegEnds_NonXtal_BW#'!$A:$Z,16,FALSE)+VLOOKUP($A236,A:AL,22,FALSE)-50))</f>
        <v>178</v>
      </c>
      <c r="X236" s="3">
        <f>IF(ISERROR(VLOOKUP($A236,'SegEnds_NonXtal_BW#'!$A:$Z,17,FALSE)+VLOOKUP($A236,A:AL,25,FALSE)-50),"-",(VLOOKUP($A236,'SegEnds_NonXtal_BW#'!$A:$Z,17,FALSE)+VLOOKUP($A236,A:AL,25,FALSE)-50))</f>
        <v>186</v>
      </c>
      <c r="Y236" s="3">
        <v>186</v>
      </c>
      <c r="Z236" s="3">
        <f>Y236+2</f>
        <v>188</v>
      </c>
      <c r="AA236" s="3">
        <f>IF(ISERROR(VLOOKUP($A236,'SegEnds_NonXtal_BW#'!$A:$Z,19,FALSE)+VLOOKUP($A236,A:AL,28,FALSE)-50),"-",(VLOOKUP($A236,'SegEnds_NonXtal_BW#'!$A:$Z,19,FALSE)+VLOOKUP($A236,A:AL,28,FALSE)-50))</f>
        <v>194</v>
      </c>
      <c r="AB236" s="3">
        <v>213</v>
      </c>
      <c r="AC236" s="3">
        <f>IF(ISERROR((VLOOKUP($A236,'SegEnds_NonXtal_BW#'!$A:$Z,20,FALSE)+VLOOKUP($A236,A:AL,28,FALSE)-50)),"-",(VLOOKUP($A236,'SegEnds_NonXtal_BW#'!$A:$Z,20,FALSE)+VLOOKUP($A236,A:AL,28,FALSE)-50))</f>
        <v>235</v>
      </c>
      <c r="AD236" s="3">
        <f>IF(ISERROR(VLOOKUP($A236,'SegEnds_NonXtal_BW#'!$A:$Z,21,FALSE)+VLOOKUP($A236,A:AL,31,FALSE)-50),"-",(VLOOKUP($A236,'SegEnds_NonXtal_BW#'!$A:$Z,21,FALSE)+VLOOKUP($A236,A:AL,31,FALSE)-50))</f>
        <v>242</v>
      </c>
      <c r="AE236" s="3">
        <v>263</v>
      </c>
      <c r="AF236" s="3">
        <f>IF(ISERROR((VLOOKUP($A236,'SegEnds_NonXtal_BW#'!$A:$Z,22,FALSE)+VLOOKUP($A236,A:AL,31,FALSE)-50)),"-",(VLOOKUP($A236,'SegEnds_NonXtal_BW#'!$A:$Z,22,FALSE)+VLOOKUP($A236,A:AL,31,FALSE)-50))</f>
        <v>274</v>
      </c>
      <c r="AG236" s="3">
        <f>IF(ISERROR(VLOOKUP($A236,'SegEnds_NonXtal_BW#'!$A:$Z,23,FALSE)+VLOOKUP($A236,A:AL,34,FALSE)-50),"-",(VLOOKUP($A236,'SegEnds_NonXtal_BW#'!$A:$Z,23,FALSE)+VLOOKUP($A236,A:AL,34,FALSE)-50))</f>
        <v>279</v>
      </c>
      <c r="AH236" s="3">
        <v>301</v>
      </c>
      <c r="AI236" s="3">
        <f>IF(ISERROR((VLOOKUP($A236,'SegEnds_NonXtal_BW#'!$A:$Z,24,FALSE)+VLOOKUP($A236,A:AL,34,FALSE)-50)),"-",(VLOOKUP($A236,'SegEnds_NonXtal_BW#'!$A:$Z,24,FALSE)+VLOOKUP($A236,A:AL,34,FALSE)-50))</f>
        <v>307</v>
      </c>
      <c r="AJ236" s="3">
        <f>IF(ISERROR(VLOOKUP($A236,'SegEnds_NonXtal_BW#'!$A:$Z,25,FALSE)+VLOOKUP($A236,A:AL,37,FALSE)-50),"-",(VLOOKUP($A236,'SegEnds_NonXtal_BW#'!$A:$Z,25,FALSE)+VLOOKUP($A236,A:AL,37,FALSE)-50))</f>
        <v>308</v>
      </c>
      <c r="AK236" s="3">
        <v>311</v>
      </c>
      <c r="AL236" s="3">
        <f>IF(ISERROR((VLOOKUP($A236,'SegEnds_NonXtal_BW#'!$A:$Z,26,FALSE)+VLOOKUP($A236,A:AL,37,FALSE)-50)),"-",(VLOOKUP($A236,'SegEnds_NonXtal_BW#'!$A:$Z,26,FALSE)+VLOOKUP($A236,A:AL,37,FALSE)-50))</f>
        <v>320</v>
      </c>
      <c r="AM236" s="28" t="str">
        <f>VLOOKUP(A236,Classification!A:B,2,FALSE)</f>
        <v>A</v>
      </c>
      <c r="AN236" s="28" t="b">
        <f>AND(IF(Y236="-",IF(AA236-W236&gt;3,TRUE,FALSE),TRUE),IF(M236="-",IF(O236-K236&gt;3,TRUE,FALSE),TRUE),C236&lt;E236,OR(E236&lt;F236,F236="-"),OR(F236&lt;H236,F236="-"),OR(H236&lt;I236,H236="-"),I236&lt;K236,OR(K236&lt;L236,L236="-"),OR(L236&lt;N236,L236="-"),OR(N236&lt;O236,N236="-"),O236&lt;Q236,OR(Q236&lt;R236,R236="-"),OR(R236&lt;T236,R236="-"),OR(T236&lt;U236,T236="-"),U236&lt;W236,OR(W236&lt;X236,X236="-"),OR(X236&lt;Z236,X236="-"),OR(Z236&lt;AA236,Z236="-"),AA236&lt;AC236,AC236&lt;AD236,AD236&lt;AF236,AF236&lt;AG236,AG236&lt;AI236,OR(AI236&lt;AJ236,AJ236="-"),OR(AJ236&lt;AL236,AJ236="-"))</f>
        <v>1</v>
      </c>
      <c r="AO236" s="3" t="str">
        <f>IF(ISERROR(MATCH(A236,'SegEnds_Xtal_Prot#'!B:B, 0)), "NoXtal", "Xtal")</f>
        <v>NoXtal</v>
      </c>
      <c r="AP236" s="3">
        <f>IF(ISERROR(F236-E236),"-",F236-E236)</f>
        <v>1</v>
      </c>
      <c r="AQ236" s="3">
        <f>IF(ISERROR(I236-H236),"-",I236-H236)</f>
        <v>1</v>
      </c>
      <c r="AR236" s="3">
        <f>IF(ISERROR(L236-K236),"-",L236-K236)</f>
        <v>2</v>
      </c>
      <c r="AS236" s="3">
        <f>IF(ISERROR(O236-N236),"-",O236-N236)</f>
        <v>1</v>
      </c>
      <c r="AT236" s="3">
        <f>IF(ISERROR(R236-Q236),"-",R236-Q236)</f>
        <v>1</v>
      </c>
      <c r="AU236" s="3">
        <f>IF(ISERROR(U236-T236),"-",U236-T236)</f>
        <v>1</v>
      </c>
      <c r="AV236" s="3">
        <f>IF(ISERROR(X236-W236),"-",X236-W236)</f>
        <v>8</v>
      </c>
      <c r="AW236" s="3">
        <f>IF(ISERROR(AA236-Z236),"-",AA236-Z236)</f>
        <v>6</v>
      </c>
      <c r="AX236" s="3">
        <f>IF(ISERROR(AD236-AC236),"-",AD236-AC236)</f>
        <v>7</v>
      </c>
      <c r="AY236" s="3">
        <f>IF(ISERROR(AG236-AF236),"-",AG236-AF236)</f>
        <v>5</v>
      </c>
      <c r="AZ236" s="3">
        <f>IF(ISERROR(AJ236-AI236),"-",AJ236-AI236)</f>
        <v>1</v>
      </c>
      <c r="BA236" s="3">
        <f>IF(ISERROR(LEN(VLOOKUP(A236,Seqs!A:E,2,FALSE))-AL236),"-",LEN(VLOOKUP(A236,Seqs!A:E,2,FALSE))-AL236)</f>
        <v>44</v>
      </c>
      <c r="BB236" s="16">
        <f>J236-D236</f>
        <v>28</v>
      </c>
      <c r="BC236" s="9">
        <f>IF(ISERROR(V236-S236),"-",V236-S236)</f>
        <v>20</v>
      </c>
      <c r="BD236" s="3">
        <f>J236-D236</f>
        <v>28</v>
      </c>
      <c r="BE236" s="3">
        <f>AE236-AB236</f>
        <v>50</v>
      </c>
    </row>
    <row r="237" spans="1:58" s="3" customFormat="1" x14ac:dyDescent="0.2">
      <c r="A237" s="3" t="s">
        <v>386</v>
      </c>
      <c r="B237" s="3" t="str">
        <f>LOWER(VLOOKUP(A237,Xtal_Templ!A:B,2,FALSE))</f>
        <v>p2ry1_human</v>
      </c>
      <c r="C237" s="3">
        <f>VLOOKUP($A237,'SegEnds_NonXtal_BW#'!$A:$Z,3,FALSE)+D237-50</f>
        <v>21</v>
      </c>
      <c r="D237" s="3">
        <v>41</v>
      </c>
      <c r="E237" s="3">
        <f>IF(ISERROR(VLOOKUP($A237,'SegEnds_NonXtal_BW#'!$A:$Z,4,FALSE)+VLOOKUP($A237,A:AL,4,FALSE)-50),"-",(VLOOKUP($A237,'SegEnds_NonXtal_BW#'!$A:$Z,4,FALSE)+VLOOKUP($A237,A:AL,4,FALSE)-50))</f>
        <v>51</v>
      </c>
      <c r="F237" s="3" t="str">
        <f>IF(ISERROR(VLOOKUP($A237,'SegEnds_NonXtal_BW#'!$A:$Z,5,FALSE)+VLOOKUP($A237,A:AL,7,FALSE)-50),"-",(VLOOKUP($A237,'SegEnds_NonXtal_BW#'!$A:$Z,5,FALSE)+VLOOKUP($A237,A:AL,7,FALSE)-50))</f>
        <v>-</v>
      </c>
      <c r="G237" s="3" t="s">
        <v>23</v>
      </c>
      <c r="H237" s="3" t="str">
        <f>IF(ISERROR(VLOOKUP($A237,'SegEnds_NonXtal_BW#'!$A:$Z,6,FALSE)+VLOOKUP($A237,A:AL,7,FALSE)-50),"-",(VLOOKUP($A237,'SegEnds_NonXtal_BW#'!$A:$Z,6,FALSE)+VLOOKUP($A237,A:AL,7,FALSE)-50))</f>
        <v>-</v>
      </c>
      <c r="I237" s="3">
        <f>VLOOKUP($A237,'SegEnds_NonXtal_BW#'!$A:$Z,7,FALSE)+J237-50</f>
        <v>56</v>
      </c>
      <c r="J237" s="3">
        <v>69</v>
      </c>
      <c r="K237" s="3">
        <f>VLOOKUP($A237,'SegEnds_NonXtal_BW#'!$A:$Z,8,FALSE)+VLOOKUP($A237,A:AL,10,FALSE)-50</f>
        <v>85</v>
      </c>
      <c r="L237" s="3">
        <f>M237-1</f>
        <v>87</v>
      </c>
      <c r="M237" s="3">
        <v>88</v>
      </c>
      <c r="N237" s="3">
        <f>M237+2</f>
        <v>90</v>
      </c>
      <c r="O237" s="3">
        <f>N237+1</f>
        <v>91</v>
      </c>
      <c r="P237" s="3">
        <v>120</v>
      </c>
      <c r="Q237" s="3">
        <f>VLOOKUP($A237,'SegEnds_NonXtal_BW#'!$A:$Z,12,FALSE)+VLOOKUP($A237,A:AL,16,FALSE)-50</f>
        <v>126</v>
      </c>
      <c r="R237" s="3">
        <f>IF(ISERROR(VLOOKUP($A237,'SegEnds_NonXtal_BW#'!$A:$Z,13,FALSE)+VLOOKUP($A237,A:AL,19,FALSE)-50),"-",VLOOKUP($A237,'SegEnds_NonXtal_BW#'!$A:$Z,13,FALSE)+VLOOKUP($A237,A:AL,19,FALSE)-50)</f>
        <v>127</v>
      </c>
      <c r="S237" s="3">
        <v>127</v>
      </c>
      <c r="T237" s="103">
        <f>IF(ISERROR(VLOOKUP($A237,'SegEnds_NonXtal_BW#'!$A:$Z,14,FALSE)+VLOOKUP($A237,A:AL,19,FALSE)-50),"-",(VLOOKUP($A237,'SegEnds_NonXtal_BW#'!$A:$Z,14,FALSE)+VLOOKUP($A237,A:AL,19,FALSE)-50))</f>
        <v>134</v>
      </c>
      <c r="U237" s="9">
        <f>IF(ISERROR(VLOOKUP($A237,'SegEnds_NonXtal_BW#'!$A:$Z,15,FALSE)+VLOOKUP($A237,A:AL,22,FALSE)-50),"-",VLOOKUP($A237,'SegEnds_NonXtal_BW#'!$A:$Z,15,FALSE)+VLOOKUP($A237,A:AL,22,FALSE)-50)</f>
        <v>135</v>
      </c>
      <c r="V237" s="3">
        <v>147</v>
      </c>
      <c r="W237" s="3">
        <f>IF(ISERROR(VLOOKUP($A237,'SegEnds_NonXtal_BW#'!$A:$Z,16,FALSE)+VLOOKUP($A237,A:AL,22,FALSE)-50),"-",(VLOOKUP($A237,'SegEnds_NonXtal_BW#'!$A:$Z,16,FALSE)+VLOOKUP($A237,A:AL,22,FALSE)-50))</f>
        <v>161</v>
      </c>
      <c r="X237" s="3">
        <f>IF(ISERROR(VLOOKUP($A237,'SegEnds_NonXtal_BW#'!$A:$Z,17,FALSE)+VLOOKUP($A237,A:AL,25,FALSE)-50),"-",(VLOOKUP($A237,'SegEnds_NonXtal_BW#'!$A:$Z,17,FALSE)+VLOOKUP($A237,A:AL,25,FALSE)-50))</f>
        <v>172</v>
      </c>
      <c r="Y237" s="3">
        <v>172</v>
      </c>
      <c r="Z237" s="3">
        <f>Y237+2</f>
        <v>174</v>
      </c>
      <c r="AA237" s="3">
        <f>IF(ISERROR(VLOOKUP($A237,'SegEnds_NonXtal_BW#'!$A:$Z,19,FALSE)+VLOOKUP($A237,A:AL,28,FALSE)-50),"-",(VLOOKUP($A237,'SegEnds_NonXtal_BW#'!$A:$Z,19,FALSE)+VLOOKUP($A237,A:AL,28,FALSE)-50))</f>
        <v>181</v>
      </c>
      <c r="AB237" s="3">
        <v>199</v>
      </c>
      <c r="AC237" s="3">
        <f>IF(ISERROR((VLOOKUP($A237,'SegEnds_NonXtal_BW#'!$A:$Z,20,FALSE)+VLOOKUP($A237,A:AL,28,FALSE)-50)),"-",(VLOOKUP($A237,'SegEnds_NonXtal_BW#'!$A:$Z,20,FALSE)+VLOOKUP($A237,A:AL,28,FALSE)-50))</f>
        <v>217</v>
      </c>
      <c r="AD237" s="3">
        <f>IF(ISERROR(VLOOKUP($A237,'SegEnds_NonXtal_BW#'!$A:$Z,21,FALSE)+VLOOKUP($A237,A:AL,31,FALSE)-50),"-",(VLOOKUP($A237,'SegEnds_NonXtal_BW#'!$A:$Z,21,FALSE)+VLOOKUP($A237,A:AL,31,FALSE)-50))</f>
        <v>221</v>
      </c>
      <c r="AE237" s="3">
        <v>247</v>
      </c>
      <c r="AF237" s="3">
        <f>IF(ISERROR((VLOOKUP($A237,'SegEnds_NonXtal_BW#'!$A:$Z,22,FALSE)+VLOOKUP($A237,A:AL,31,FALSE)-50)),"-",(VLOOKUP($A237,'SegEnds_NonXtal_BW#'!$A:$Z,22,FALSE)+VLOOKUP($A237,A:AL,31,FALSE)-50))</f>
        <v>261</v>
      </c>
      <c r="AG237" s="3">
        <f>IF(ISERROR(VLOOKUP($A237,'SegEnds_NonXtal_BW#'!$A:$Z,23,FALSE)+VLOOKUP($A237,A:AL,34,FALSE)-50),"-",(VLOOKUP($A237,'SegEnds_NonXtal_BW#'!$A:$Z,23,FALSE)+VLOOKUP($A237,A:AL,34,FALSE)-50))</f>
        <v>266</v>
      </c>
      <c r="AH237" s="3">
        <v>292</v>
      </c>
      <c r="AI237" s="3">
        <f>IF(ISERROR((VLOOKUP($A237,'SegEnds_NonXtal_BW#'!$A:$Z,24,FALSE)+VLOOKUP($A237,A:AL,34,FALSE)-50)),"-",(VLOOKUP($A237,'SegEnds_NonXtal_BW#'!$A:$Z,24,FALSE)+VLOOKUP($A237,A:AL,34,FALSE)-50))</f>
        <v>298</v>
      </c>
      <c r="AJ237" s="3">
        <f>IF(ISERROR(VLOOKUP($A237,'SegEnds_NonXtal_BW#'!$A:$Z,25,FALSE)+VLOOKUP($A237,A:AL,37,FALSE)-50),"-",(VLOOKUP($A237,'SegEnds_NonXtal_BW#'!$A:$Z,25,FALSE)+VLOOKUP($A237,A:AL,37,FALSE)-50))</f>
        <v>299</v>
      </c>
      <c r="AK237" s="3">
        <v>302</v>
      </c>
      <c r="AL237" s="3">
        <f>IF(ISERROR((VLOOKUP($A237,'SegEnds_NonXtal_BW#'!$A:$Z,26,FALSE)+VLOOKUP($A237,A:AL,37,FALSE)-50)),"-",(VLOOKUP($A237,'SegEnds_NonXtal_BW#'!$A:$Z,26,FALSE)+VLOOKUP($A237,A:AL,37,FALSE)-50))</f>
        <v>311</v>
      </c>
      <c r="AM237" s="28" t="str">
        <f>VLOOKUP(A237,Classification!A:B,2,FALSE)</f>
        <v>A</v>
      </c>
      <c r="AN237" s="28" t="b">
        <f>AND(IF(Y237="-",IF(AA237-W237&gt;3,TRUE,FALSE),TRUE),IF(M237="-",IF(O237-K237&gt;3,TRUE,FALSE),TRUE),C237&lt;E237,OR(E237&lt;F237,F237="-"),OR(F237&lt;H237,F237="-"),OR(H237&lt;I237,H237="-"),I237&lt;K237,OR(K237&lt;L237,L237="-"),OR(L237&lt;N237,L237="-"),OR(N237&lt;O237,N237="-"),O237&lt;Q237,OR(Q237&lt;R237,R237="-"),OR(R237&lt;T237,R237="-"),OR(T237&lt;U237,T237="-"),U237&lt;W237,OR(W237&lt;X237,X237="-"),OR(X237&lt;Z237,X237="-"),OR(Z237&lt;AA237,Z237="-"),AA237&lt;AC237,AC237&lt;AD237,AD237&lt;AF237,AF237&lt;AG237,AG237&lt;AI237,OR(AI237&lt;AJ237,AJ237="-"),OR(AJ237&lt;AL237,AJ237="-"))</f>
        <v>1</v>
      </c>
      <c r="AO237" s="3" t="str">
        <f>IF(ISERROR(MATCH(A237,'SegEnds_Xtal_Prot#'!B:B, 0)), "NoXtal", "Xtal")</f>
        <v>NoXtal</v>
      </c>
      <c r="AP237" s="3" t="str">
        <f>IF(ISERROR(F237-E237),"-",F237-E237)</f>
        <v>-</v>
      </c>
      <c r="AQ237" s="3" t="str">
        <f>IF(ISERROR(I237-H237),"-",I237-H237)</f>
        <v>-</v>
      </c>
      <c r="AR237" s="3">
        <f>IF(ISERROR(L237-K237),"-",L237-K237)</f>
        <v>2</v>
      </c>
      <c r="AS237" s="3">
        <f>IF(ISERROR(O237-N237),"-",O237-N237)</f>
        <v>1</v>
      </c>
      <c r="AT237" s="3">
        <f>IF(ISERROR(R237-Q237),"-",R237-Q237)</f>
        <v>1</v>
      </c>
      <c r="AU237" s="3">
        <f>IF(ISERROR(U237-T237),"-",U237-T237)</f>
        <v>1</v>
      </c>
      <c r="AV237" s="3">
        <f>IF(ISERROR(X237-W237),"-",X237-W237)</f>
        <v>11</v>
      </c>
      <c r="AW237" s="3">
        <f>IF(ISERROR(AA237-Z237),"-",AA237-Z237)</f>
        <v>7</v>
      </c>
      <c r="AX237" s="3">
        <f>IF(ISERROR(AD237-AC237),"-",AD237-AC237)</f>
        <v>4</v>
      </c>
      <c r="AY237" s="3">
        <f>IF(ISERROR(AG237-AF237),"-",AG237-AF237)</f>
        <v>5</v>
      </c>
      <c r="AZ237" s="3">
        <f>IF(ISERROR(AJ237-AI237),"-",AJ237-AI237)</f>
        <v>1</v>
      </c>
      <c r="BA237" s="3">
        <f>IF(ISERROR(LEN(VLOOKUP(A237,Seqs!A:E,2,FALSE))-AL237),"-",LEN(VLOOKUP(A237,Seqs!A:E,2,FALSE))-AL237)</f>
        <v>23</v>
      </c>
      <c r="BB237" s="16">
        <f>J237-D237</f>
        <v>28</v>
      </c>
      <c r="BC237" s="9">
        <f>IF(ISERROR(V237-S237),"-",V237-S237)</f>
        <v>20</v>
      </c>
      <c r="BD237" s="3">
        <f>J237-D237</f>
        <v>28</v>
      </c>
      <c r="BE237" s="3">
        <f>AE237-AB237</f>
        <v>48</v>
      </c>
      <c r="BF237" s="3">
        <f>AH237-AE237</f>
        <v>45</v>
      </c>
    </row>
    <row r="238" spans="1:58" s="3" customFormat="1" x14ac:dyDescent="0.2">
      <c r="A238" s="3" t="s">
        <v>473</v>
      </c>
      <c r="B238" s="3" t="str">
        <f>LOWER(VLOOKUP(A238,Xtal_Templ!A:B,2,FALSE))</f>
        <v>cnr1_human</v>
      </c>
      <c r="C238" s="3">
        <f>VLOOKUP($A238,'SegEnds_NonXtal_BW#'!$A:$Z,3,FALSE)+D238-50</f>
        <v>20</v>
      </c>
      <c r="D238" s="3">
        <v>42</v>
      </c>
      <c r="E238" s="3">
        <f>IF(ISERROR(VLOOKUP($A238,'SegEnds_NonXtal_BW#'!$A:$Z,4,FALSE)+VLOOKUP($A238,A:AL,4,FALSE)-50),"-",(VLOOKUP($A238,'SegEnds_NonXtal_BW#'!$A:$Z,4,FALSE)+VLOOKUP($A238,A:AL,4,FALSE)-50))</f>
        <v>52</v>
      </c>
      <c r="F238" s="3" t="str">
        <f>IF(ISERROR(VLOOKUP($A238,'SegEnds_NonXtal_BW#'!$A:$Z,5,FALSE)+VLOOKUP($A238,A:AL,7,FALSE)-50),"-",(VLOOKUP($A238,'SegEnds_NonXtal_BW#'!$A:$Z,5,FALSE)+VLOOKUP($A238,A:AL,7,FALSE)-50))</f>
        <v>-</v>
      </c>
      <c r="G238" s="3" t="s">
        <v>23</v>
      </c>
      <c r="H238" s="3" t="str">
        <f>IF(ISERROR(VLOOKUP($A238,'SegEnds_NonXtal_BW#'!$A:$Z,6,FALSE)+VLOOKUP($A238,A:AL,7,FALSE)-50),"-",(VLOOKUP($A238,'SegEnds_NonXtal_BW#'!$A:$Z,6,FALSE)+VLOOKUP($A238,A:AL,7,FALSE)-50))</f>
        <v>-</v>
      </c>
      <c r="I238" s="3">
        <f>VLOOKUP($A238,'SegEnds_NonXtal_BW#'!$A:$Z,7,FALSE)+J238-50</f>
        <v>61</v>
      </c>
      <c r="J238" s="3">
        <v>74</v>
      </c>
      <c r="K238" s="3">
        <f>VLOOKUP($A238,'SegEnds_NonXtal_BW#'!$A:$Z,8,FALSE)+VLOOKUP($A238,A:AL,10,FALSE)-50</f>
        <v>91</v>
      </c>
      <c r="L238" s="3">
        <f>M238-1</f>
        <v>94</v>
      </c>
      <c r="M238" s="3">
        <v>95</v>
      </c>
      <c r="N238" s="3">
        <f>M238+2</f>
        <v>97</v>
      </c>
      <c r="O238" s="3">
        <f>N238+1</f>
        <v>98</v>
      </c>
      <c r="P238" s="3">
        <v>130</v>
      </c>
      <c r="Q238" s="3">
        <f>VLOOKUP($A238,'SegEnds_NonXtal_BW#'!$A:$Z,12,FALSE)+VLOOKUP($A238,A:AL,16,FALSE)-50</f>
        <v>136</v>
      </c>
      <c r="R238" s="3">
        <f>IF(ISERROR(VLOOKUP($A238,'SegEnds_NonXtal_BW#'!$A:$Z,13,FALSE)+VLOOKUP($A238,A:AL,19,FALSE)-50),"-",VLOOKUP($A238,'SegEnds_NonXtal_BW#'!$A:$Z,13,FALSE)+VLOOKUP($A238,A:AL,19,FALSE)-50)</f>
        <v>137</v>
      </c>
      <c r="S238" s="3">
        <v>137</v>
      </c>
      <c r="T238" s="103">
        <f>IF(ISERROR(VLOOKUP($A238,'SegEnds_NonXtal_BW#'!$A:$Z,14,FALSE)+VLOOKUP($A238,A:AL,19,FALSE)-50),"-",(VLOOKUP($A238,'SegEnds_NonXtal_BW#'!$A:$Z,14,FALSE)+VLOOKUP($A238,A:AL,19,FALSE)-50))</f>
        <v>144</v>
      </c>
      <c r="U238" s="9">
        <f>IF(ISERROR(VLOOKUP($A238,'SegEnds_NonXtal_BW#'!$A:$Z,15,FALSE)+VLOOKUP($A238,A:AL,22,FALSE)-50),"-",VLOOKUP($A238,'SegEnds_NonXtal_BW#'!$A:$Z,15,FALSE)+VLOOKUP($A238,A:AL,22,FALSE)-50)</f>
        <v>145</v>
      </c>
      <c r="V238" s="3">
        <v>157</v>
      </c>
      <c r="W238" s="3">
        <f>IF(ISERROR(VLOOKUP($A238,'SegEnds_NonXtal_BW#'!$A:$Z,16,FALSE)+VLOOKUP($A238,A:AL,22,FALSE)-50),"-",(VLOOKUP($A238,'SegEnds_NonXtal_BW#'!$A:$Z,16,FALSE)+VLOOKUP($A238,A:AL,22,FALSE)-50))</f>
        <v>170</v>
      </c>
      <c r="X238" s="3">
        <f>Y238</f>
        <v>183</v>
      </c>
      <c r="Y238" s="3">
        <v>183</v>
      </c>
      <c r="Z238" s="3">
        <f>Y238+2</f>
        <v>185</v>
      </c>
      <c r="AA238" s="3">
        <f>IF(ISERROR(VLOOKUP($A238,'SegEnds_NonXtal_BW#'!$A:$Z,19,FALSE)+VLOOKUP($A238,A:AL,28,FALSE)-50),"-",(VLOOKUP($A238,'SegEnds_NonXtal_BW#'!$A:$Z,19,FALSE)+VLOOKUP($A238,A:AL,28,FALSE)-50))</f>
        <v>204</v>
      </c>
      <c r="AB238" s="3">
        <v>218</v>
      </c>
      <c r="AC238" s="3">
        <f>IF(ISERROR((VLOOKUP($A238,'SegEnds_NonXtal_BW#'!$A:$Z,20,FALSE)+VLOOKUP($A238,A:AL,28,FALSE)-50)),"-",(VLOOKUP($A238,'SegEnds_NonXtal_BW#'!$A:$Z,20,FALSE)+VLOOKUP($A238,A:AL,28,FALSE)-50))</f>
        <v>236</v>
      </c>
      <c r="AD238" s="3">
        <f>IF(ISERROR(VLOOKUP($A238,'SegEnds_NonXtal_BW#'!$A:$Z,21,FALSE)+VLOOKUP($A238,A:AL,31,FALSE)-50),"-",(VLOOKUP($A238,'SegEnds_NonXtal_BW#'!$A:$Z,21,FALSE)+VLOOKUP($A238,A:AL,31,FALSE)-50))</f>
        <v>240</v>
      </c>
      <c r="AE238" s="3">
        <v>260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305</v>
      </c>
      <c r="AI238" s="3">
        <f>IF(ISERROR((VLOOKUP($A238,'SegEnds_NonXtal_BW#'!$A:$Z,24,FALSE)+VLOOKUP($A238,A:AL,34,FALSE)-50)),"-",(VLOOKUP($A238,'SegEnds_NonXtal_BW#'!$A:$Z,24,FALSE)+VLOOKUP($A238,A:AL,34,FALSE)-50))</f>
        <v>311</v>
      </c>
      <c r="AJ238" s="3">
        <f>IF(ISERROR(VLOOKUP($A238,'SegEnds_NonXtal_BW#'!$A:$Z,25,FALSE)+VLOOKUP($A238,A:AL,37,FALSE)-50),"-",(VLOOKUP($A238,'SegEnds_NonXtal_BW#'!$A:$Z,25,FALSE)+VLOOKUP($A238,A:AL,37,FALSE)-50))</f>
        <v>312</v>
      </c>
      <c r="AK238" s="3">
        <v>315</v>
      </c>
      <c r="AL238" s="3">
        <f>IF(ISERROR((VLOOKUP($A238,'SegEnds_NonXtal_BW#'!$A:$Z,26,FALSE)+VLOOKUP($A238,A:AL,37,FALSE)-50)),"-",(VLOOKUP($A238,'SegEnds_NonXtal_BW#'!$A:$Z,26,FALSE)+VLOOKUP($A238,A:AL,37,FALSE)-50))</f>
        <v>324</v>
      </c>
      <c r="AM238" s="28" t="str">
        <f>VLOOKUP(A238,Classification!A:B,2,FALSE)</f>
        <v>A</v>
      </c>
      <c r="AN238" s="28" t="b">
        <f>AND(IF(Y238="-",IF(AA238-W238&gt;3,TRUE,FALSE),TRUE),IF(M238="-",IF(O238-K238&gt;3,TRUE,FALSE),TRUE),C238&lt;E238,OR(E238&lt;F238,F238="-"),OR(F238&lt;H238,F238="-"),OR(H238&lt;I238,H238="-"),I238&lt;K238,OR(K238&lt;L238,L238="-"),OR(L238&lt;N238,L238="-"),OR(N238&lt;O238,N238="-"),O238&lt;Q238,OR(Q238&lt;R238,R238="-"),OR(R238&lt;T238,R238="-"),OR(T238&lt;U238,T238="-"),U238&lt;W238,OR(W238&lt;X238,X238="-"),OR(X238&lt;Z238,X238="-"),OR(Z238&lt;AA238,Z238="-"),AA238&lt;AC238,AC238&lt;AD238,AD238&lt;AF238,AF238&lt;AG238,AG238&lt;AI238,OR(AI238&lt;AJ238,AJ238="-"),OR(AJ238&lt;AL238,AJ238="-"))</f>
        <v>1</v>
      </c>
      <c r="AO238" s="3" t="str">
        <f>IF(ISERROR(MATCH(A238,'SegEnds_Xtal_Prot#'!B:B, 0)), "NoXtal", "Xtal")</f>
        <v>NoXtal</v>
      </c>
      <c r="AP238" s="3" t="str">
        <f>IF(ISERROR(F238-E238),"-",F238-E238)</f>
        <v>-</v>
      </c>
      <c r="AQ238" s="3" t="str">
        <f>IF(ISERROR(I238-H238),"-",I238-H238)</f>
        <v>-</v>
      </c>
      <c r="AR238" s="3">
        <f>IF(ISERROR(L238-K238),"-",L238-K238)</f>
        <v>3</v>
      </c>
      <c r="AS238" s="3">
        <f>IF(ISERROR(O238-N238),"-",O238-N238)</f>
        <v>1</v>
      </c>
      <c r="AT238" s="3">
        <f>IF(ISERROR(R238-Q238),"-",R238-Q238)</f>
        <v>1</v>
      </c>
      <c r="AU238" s="3">
        <f>IF(ISERROR(U238-T238),"-",U238-T238)</f>
        <v>1</v>
      </c>
      <c r="AV238" s="3">
        <f>IF(ISERROR(X238-W238),"-",X238-W238)</f>
        <v>13</v>
      </c>
      <c r="AW238" s="3">
        <f>IF(ISERROR(AA238-Z238),"-",AA238-Z238)</f>
        <v>19</v>
      </c>
      <c r="AX238" s="3">
        <f>IF(ISERROR(AD238-AC238),"-",AD238-AC238)</f>
        <v>4</v>
      </c>
      <c r="AY238" s="3">
        <f>IF(ISERROR(AG238-AF238),"-",AG238-AF238)</f>
        <v>5</v>
      </c>
      <c r="AZ238" s="3">
        <f>IF(ISERROR(AJ238-AI238),"-",AJ238-AI238)</f>
        <v>1</v>
      </c>
      <c r="BA238" s="3">
        <f>IF(ISERROR(LEN(VLOOKUP(A238,Seqs!A:E,2,FALSE))-AL238),"-",LEN(VLOOKUP(A238,Seqs!A:E,2,FALSE))-AL238)</f>
        <v>19</v>
      </c>
      <c r="BB238" s="16">
        <f>J238-D238</f>
        <v>32</v>
      </c>
      <c r="BC238" s="9">
        <f>IF(ISERROR(V238-S238),"-",V238-S238)</f>
        <v>20</v>
      </c>
      <c r="BD238" s="3">
        <f>J238-D238</f>
        <v>32</v>
      </c>
      <c r="BE238" s="3">
        <f>AE238-AB238</f>
        <v>42</v>
      </c>
      <c r="BF238" s="3">
        <f>AH238-AE238</f>
        <v>45</v>
      </c>
    </row>
    <row r="239" spans="1:58" s="3" customFormat="1" x14ac:dyDescent="0.2">
      <c r="A239" s="3" t="s">
        <v>387</v>
      </c>
      <c r="B239" s="3" t="str">
        <f>LOWER(VLOOKUP(A239,Xtal_Templ!A:B,2,FALSE))</f>
        <v>5ht1b_human</v>
      </c>
      <c r="C239" s="3">
        <f>VLOOKUP($A239,'SegEnds_NonXtal_BW#'!$A:$Z,3,FALSE)+D239-50</f>
        <v>20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>
        <f>G239-2</f>
        <v>52</v>
      </c>
      <c r="G239" s="3">
        <v>54</v>
      </c>
      <c r="H239" s="3">
        <f>G239+1</f>
        <v>55</v>
      </c>
      <c r="I239" s="3">
        <f>H239+1</f>
        <v>56</v>
      </c>
      <c r="J239" s="3">
        <v>69</v>
      </c>
      <c r="K239" s="3">
        <f>VLOOKUP($A239,'SegEnds_NonXtal_BW#'!$A:$Z,8,FALSE)+VLOOKUP($A239,A:AL,10,FALSE)-50</f>
        <v>86</v>
      </c>
      <c r="L239" s="3">
        <f>M239-1</f>
        <v>88</v>
      </c>
      <c r="M239" s="3">
        <v>89</v>
      </c>
      <c r="N239" s="3">
        <f>M239+2</f>
        <v>91</v>
      </c>
      <c r="O239" s="3">
        <f>N239+1</f>
        <v>92</v>
      </c>
      <c r="P239" s="3">
        <v>121</v>
      </c>
      <c r="Q239" s="3">
        <f>VLOOKUP($A239,'SegEnds_NonXtal_BW#'!$A:$Z,12,FALSE)+VLOOKUP($A239,A:AL,16,FALSE)-50</f>
        <v>127</v>
      </c>
      <c r="R239" s="3">
        <f>IF(ISERROR(VLOOKUP($A239,'SegEnds_NonXtal_BW#'!$A:$Z,13,FALSE)+VLOOKUP($A239,A:AL,19,FALSE)-50),"-",VLOOKUP($A239,'SegEnds_NonXtal_BW#'!$A:$Z,13,FALSE)+VLOOKUP($A239,A:AL,19,FALSE)-50)</f>
        <v>128</v>
      </c>
      <c r="S239" s="3">
        <v>128</v>
      </c>
      <c r="T239" s="103">
        <f>IF(ISERROR(VLOOKUP($A239,'SegEnds_NonXtal_BW#'!$A:$Z,14,FALSE)+VLOOKUP($A239,A:AL,19,FALSE)-50),"-",(VLOOKUP($A239,'SegEnds_NonXtal_BW#'!$A:$Z,14,FALSE)+VLOOKUP($A239,A:AL,19,FALSE)-50))</f>
        <v>135</v>
      </c>
      <c r="U239" s="9">
        <f>IF(ISERROR(VLOOKUP($A239,'SegEnds_NonXtal_BW#'!$A:$Z,15,FALSE)+VLOOKUP($A239,A:AL,22,FALSE)-50),"-",VLOOKUP($A239,'SegEnds_NonXtal_BW#'!$A:$Z,15,FALSE)+VLOOKUP($A239,A:AL,22,FALSE)-50)</f>
        <v>136</v>
      </c>
      <c r="V239" s="3">
        <v>148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182</v>
      </c>
      <c r="Y239" s="3">
        <v>182</v>
      </c>
      <c r="Z239" s="3">
        <f>Y239+2</f>
        <v>184</v>
      </c>
      <c r="AA239" s="3">
        <f>IF(ISERROR(VLOOKUP($A239,'SegEnds_NonXtal_BW#'!$A:$Z,19,FALSE)+VLOOKUP($A239,A:AL,28,FALSE)-50),"-",(VLOOKUP($A239,'SegEnds_NonXtal_BW#'!$A:$Z,19,FALSE)+VLOOKUP($A239,A:AL,28,FALSE)-50))</f>
        <v>187</v>
      </c>
      <c r="AB239" s="3">
        <v>202</v>
      </c>
      <c r="AC239" s="3">
        <f>IF(ISERROR((VLOOKUP($A239,'SegEnds_NonXtal_BW#'!$A:$Z,20,FALSE)+VLOOKUP($A239,A:AL,28,FALSE)-50)),"-",(VLOOKUP($A239,'SegEnds_NonXtal_BW#'!$A:$Z,20,FALSE)+VLOOKUP($A239,A:AL,28,FALSE)-50))</f>
        <v>226</v>
      </c>
      <c r="AD239" s="3">
        <f>IF(ISERROR(VLOOKUP($A239,'SegEnds_NonXtal_BW#'!$A:$Z,21,FALSE)+VLOOKUP($A239,A:AL,31,FALSE)-50),"-",(VLOOKUP($A239,'SegEnds_NonXtal_BW#'!$A:$Z,21,FALSE)+VLOOKUP($A239,A:AL,31,FALSE)-50))</f>
        <v>237</v>
      </c>
      <c r="AE239" s="3">
        <v>266</v>
      </c>
      <c r="AF239" s="3">
        <f>IF(ISERROR((VLOOKUP($A239,'SegEnds_NonXtal_BW#'!$A:$Z,22,FALSE)+VLOOKUP($A239,A:AL,31,FALSE)-50)),"-",(VLOOKUP($A239,'SegEnds_NonXtal_BW#'!$A:$Z,22,FALSE)+VLOOKUP($A239,A:AL,31,FALSE)-50))</f>
        <v>277</v>
      </c>
      <c r="AG239" s="3">
        <f>IF(ISERROR(VLOOKUP($A239,'SegEnds_NonXtal_BW#'!$A:$Z,23,FALSE)+VLOOKUP($A239,A:AL,34,FALSE)-50),"-",(VLOOKUP($A239,'SegEnds_NonXtal_BW#'!$A:$Z,23,FALSE)+VLOOKUP($A239,A:AL,34,FALSE)-50))</f>
        <v>282</v>
      </c>
      <c r="AH239" s="3">
        <v>301</v>
      </c>
      <c r="AI239" s="3"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319</v>
      </c>
      <c r="AM239" s="28" t="str">
        <f>VLOOKUP(A239,Classification!A:B,2,FALSE)</f>
        <v>A</v>
      </c>
      <c r="AN239" s="28" t="b">
        <f>AND(IF(Y239="-",IF(AA239-W239&gt;3,TRUE,FALSE),TRUE),IF(M239="-",IF(O239-K239&gt;3,TRUE,FALSE),TRUE),C239&lt;E239,OR(E239&lt;F239,F239="-"),OR(F239&lt;H239,F239="-"),OR(H239&lt;I239,H239="-"),I239&lt;K239,OR(K239&lt;L239,L239="-"),OR(L239&lt;N239,L239="-"),OR(N239&lt;O239,N239="-"),O239&lt;Q239,OR(Q239&lt;R239,R239="-"),OR(R239&lt;T239,R239="-"),OR(T239&lt;U239,T239="-"),U239&lt;W239,OR(W239&lt;X239,X239="-"),OR(X239&lt;Z239,X239="-"),OR(Z239&lt;AA239,Z239="-"),AA239&lt;AC239,AC239&lt;AD239,AD239&lt;AF239,AF239&lt;AG239,AG239&lt;AI239,OR(AI239&lt;AJ239,AJ239="-"),OR(AJ239&lt;AL239,AJ239="-"))</f>
        <v>1</v>
      </c>
      <c r="AO239" s="3" t="str">
        <f>IF(ISERROR(MATCH(A239,'SegEnds_Xtal_Prot#'!B:B, 0)), "NoXtal", "Xtal")</f>
        <v>NoXtal</v>
      </c>
      <c r="AP239" s="3">
        <f>IF(ISERROR(F239-E239),"-",F239-E239)</f>
        <v>1</v>
      </c>
      <c r="AQ239" s="3">
        <f>IF(ISERROR(I239-H239),"-",I239-H239)</f>
        <v>1</v>
      </c>
      <c r="AR239" s="3">
        <f>IF(ISERROR(L239-K239),"-",L239-K239)</f>
        <v>2</v>
      </c>
      <c r="AS239" s="3">
        <f>IF(ISERROR(O239-N239),"-",O239-N239)</f>
        <v>1</v>
      </c>
      <c r="AT239" s="3">
        <f>IF(ISERROR(R239-Q239),"-",R239-Q239)</f>
        <v>1</v>
      </c>
      <c r="AU239" s="3">
        <f>IF(ISERROR(U239-T239),"-",U239-T239)</f>
        <v>1</v>
      </c>
      <c r="AV239" s="3">
        <f>IF(ISERROR(X239-W239),"-",X239-W239)</f>
        <v>21</v>
      </c>
      <c r="AW239" s="3">
        <f>IF(ISERROR(AA239-Z239),"-",AA239-Z239)</f>
        <v>3</v>
      </c>
      <c r="AX239" s="3">
        <f>IF(ISERROR(AD239-AC239),"-",AD239-AC239)</f>
        <v>11</v>
      </c>
      <c r="AY239" s="3">
        <f>IF(ISERROR(AG239-AF239),"-",AG239-AF239)</f>
        <v>5</v>
      </c>
      <c r="AZ239" s="3">
        <f>IF(ISERROR(AJ239-AI239),"-",AJ239-AI239)</f>
        <v>1</v>
      </c>
      <c r="BA239" s="3">
        <f>IF(ISERROR(LEN(VLOOKUP(A239,Seqs!A:E,2,FALSE))-AL239),"-",LEN(VLOOKUP(A239,Seqs!A:E,2,FALSE))-AL239)</f>
        <v>20</v>
      </c>
      <c r="BB239" s="16">
        <f>J239-D239</f>
        <v>28</v>
      </c>
      <c r="BC239" s="9">
        <f>IF(ISERROR(V239-S239),"-",V239-S239)</f>
        <v>20</v>
      </c>
      <c r="BD239" s="3">
        <f>J239-D239</f>
        <v>28</v>
      </c>
      <c r="BE239" s="3">
        <f>AE239-AB239</f>
        <v>64</v>
      </c>
      <c r="BF239" s="3">
        <f>AH239-AE239</f>
        <v>35</v>
      </c>
    </row>
    <row r="240" spans="1:58" s="3" customFormat="1" x14ac:dyDescent="0.2">
      <c r="A240" s="3" t="s">
        <v>388</v>
      </c>
      <c r="B240" s="3" t="str">
        <f>LOWER(VLOOKUP(A240,Xtal_Templ!A:B,2,FALSE))</f>
        <v>adrb2_human</v>
      </c>
      <c r="C240" s="3">
        <f>VLOOKUP($A240,'SegEnds_NonXtal_BW#'!$A:$Z,3,FALSE)+D240-50</f>
        <v>36</v>
      </c>
      <c r="D240" s="3">
        <v>61</v>
      </c>
      <c r="E240" s="3">
        <f>IF(ISERROR(VLOOKUP($A240,'SegEnds_NonXtal_BW#'!$A:$Z,4,FALSE)+VLOOKUP($A240,A:AL,4,FALSE)-50),"-",(VLOOKUP($A240,'SegEnds_NonXtal_BW#'!$A:$Z,4,FALSE)+VLOOKUP($A240,A:AL,4,FALSE)-50))</f>
        <v>71</v>
      </c>
      <c r="F240" s="3">
        <f>G240-2</f>
        <v>72</v>
      </c>
      <c r="G240" s="3">
        <v>74</v>
      </c>
      <c r="H240" s="3">
        <f>G240+1</f>
        <v>75</v>
      </c>
      <c r="I240" s="3">
        <f>H240+1</f>
        <v>76</v>
      </c>
      <c r="J240" s="3">
        <v>89</v>
      </c>
      <c r="K240" s="3">
        <f>VLOOKUP($A240,'SegEnds_NonXtal_BW#'!$A:$Z,8,FALSE)+VLOOKUP($A240,A:AL,10,FALSE)-50</f>
        <v>106</v>
      </c>
      <c r="L240" s="3">
        <f>M240-1</f>
        <v>108</v>
      </c>
      <c r="M240" s="3">
        <v>109</v>
      </c>
      <c r="N240" s="3">
        <f>M240+2</f>
        <v>111</v>
      </c>
      <c r="O240" s="3">
        <f>N240+1</f>
        <v>112</v>
      </c>
      <c r="P240" s="3">
        <v>141</v>
      </c>
      <c r="Q240" s="3">
        <f>VLOOKUP($A240,'SegEnds_NonXtal_BW#'!$A:$Z,12,FALSE)+VLOOKUP($A240,A:AL,16,FALSE)-50</f>
        <v>147</v>
      </c>
      <c r="R240" s="3">
        <f>IF(ISERROR(VLOOKUP($A240,'SegEnds_NonXtal_BW#'!$A:$Z,13,FALSE)+VLOOKUP($A240,A:AL,19,FALSE)-50),"-",VLOOKUP($A240,'SegEnds_NonXtal_BW#'!$A:$Z,13,FALSE)+VLOOKUP($A240,A:AL,19,FALSE)-50)</f>
        <v>148</v>
      </c>
      <c r="S240" s="3">
        <v>148</v>
      </c>
      <c r="T240" s="103">
        <f>IF(ISERROR(VLOOKUP($A240,'SegEnds_NonXtal_BW#'!$A:$Z,14,FALSE)+VLOOKUP($A240,A:AL,19,FALSE)-50),"-",(VLOOKUP($A240,'SegEnds_NonXtal_BW#'!$A:$Z,14,FALSE)+VLOOKUP($A240,A:AL,19,FALSE)-50))</f>
        <v>155</v>
      </c>
      <c r="U240" s="9">
        <f>IF(ISERROR(VLOOKUP($A240,'SegEnds_NonXtal_BW#'!$A:$Z,15,FALSE)+VLOOKUP($A240,A:AL,22,FALSE)-50),"-",VLOOKUP($A240,'SegEnds_NonXtal_BW#'!$A:$Z,15,FALSE)+VLOOKUP($A240,A:AL,22,FALSE)-50)</f>
        <v>156</v>
      </c>
      <c r="V240" s="3">
        <v>168</v>
      </c>
      <c r="W240" s="3">
        <f>IF(ISERROR(VLOOKUP($A240,'SegEnds_NonXtal_BW#'!$A:$Z,16,FALSE)+VLOOKUP($A240,A:AL,22,FALSE)-50),"-",(VLOOKUP($A240,'SegEnds_NonXtal_BW#'!$A:$Z,16,FALSE)+VLOOKUP($A240,A:AL,22,FALSE)-50))</f>
        <v>182</v>
      </c>
      <c r="X240" s="3">
        <f>IF(ISERROR(VLOOKUP($A240,'SegEnds_NonXtal_BW#'!$A:$Z,17,FALSE)+VLOOKUP($A240,A:AL,25,FALSE)-50),"-",(VLOOKUP($A240,'SegEnds_NonXtal_BW#'!$A:$Z,17,FALSE)+VLOOKUP($A240,A:AL,25,FALSE)-50))</f>
        <v>201</v>
      </c>
      <c r="Y240" s="3">
        <v>201</v>
      </c>
      <c r="Z240" s="3">
        <f>Y240+2</f>
        <v>203</v>
      </c>
      <c r="AA240" s="3">
        <f>IF(ISERROR(VLOOKUP($A240,'SegEnds_NonXtal_BW#'!$A:$Z,19,FALSE)+VLOOKUP($A240,A:AL,28,FALSE)-50),"-",(VLOOKUP($A240,'SegEnds_NonXtal_BW#'!$A:$Z,19,FALSE)+VLOOKUP($A240,A:AL,28,FALSE)-50))</f>
        <v>206</v>
      </c>
      <c r="AB240" s="3">
        <v>221</v>
      </c>
      <c r="AC240" s="3">
        <f>IF(ISERROR((VLOOKUP($A240,'SegEnds_NonXtal_BW#'!$A:$Z,20,FALSE)+VLOOKUP($A240,A:AL,28,FALSE)-50)),"-",(VLOOKUP($A240,'SegEnds_NonXtal_BW#'!$A:$Z,20,FALSE)+VLOOKUP($A240,A:AL,28,FALSE)-50))</f>
        <v>244</v>
      </c>
      <c r="AD240" s="3">
        <f>IF(ISERROR(VLOOKUP($A240,'SegEnds_NonXtal_BW#'!$A:$Z,21,FALSE)+VLOOKUP($A240,A:AL,31,FALSE)-50),"-",(VLOOKUP($A240,'SegEnds_NonXtal_BW#'!$A:$Z,21,FALSE)+VLOOKUP($A240,A:AL,31,FALSE)-50))</f>
        <v>249</v>
      </c>
      <c r="AE240" s="3">
        <v>277</v>
      </c>
      <c r="AF240" s="3">
        <f>IF(ISERROR((VLOOKUP($A240,'SegEnds_NonXtal_BW#'!$A:$Z,22,FALSE)+VLOOKUP($A240,A:AL,31,FALSE)-50)),"-",(VLOOKUP($A240,'SegEnds_NonXtal_BW#'!$A:$Z,22,FALSE)+VLOOKUP($A240,A:AL,31,FALSE)-50))</f>
        <v>288</v>
      </c>
      <c r="AG240" s="3">
        <f>IF(ISERROR(VLOOKUP($A240,'SegEnds_NonXtal_BW#'!$A:$Z,23,FALSE)+VLOOKUP($A240,A:AL,34,FALSE)-50),"-",(VLOOKUP($A240,'SegEnds_NonXtal_BW#'!$A:$Z,23,FALSE)+VLOOKUP($A240,A:AL,34,FALSE)-50))</f>
        <v>293</v>
      </c>
      <c r="AH240" s="3">
        <v>312</v>
      </c>
      <c r="AI240" s="3">
        <f>IF(ISERROR((VLOOKUP($A240,'SegEnds_NonXtal_BW#'!$A:$Z,24,FALSE)+VLOOKUP($A240,A:AL,34,FALSE)-50)),"-",(VLOOKUP($A240,'SegEnds_NonXtal_BW#'!$A:$Z,24,FALSE)+VLOOKUP($A240,A:AL,34,FALSE)-50))</f>
        <v>318</v>
      </c>
      <c r="AJ240" s="3">
        <f>IF(ISERROR(VLOOKUP($A240,'SegEnds_NonXtal_BW#'!$A:$Z,25,FALSE)+VLOOKUP($A240,A:AL,37,FALSE)-50),"-",(VLOOKUP($A240,'SegEnds_NonXtal_BW#'!$A:$Z,25,FALSE)+VLOOKUP($A240,A:AL,37,FALSE)-50))</f>
        <v>319</v>
      </c>
      <c r="AK240" s="3">
        <v>322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>AND(IF(Y240="-",IF(AA240-W240&gt;3,TRUE,FALSE),TRUE),IF(M240="-",IF(O240-K240&gt;3,TRUE,FALSE),TRU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NoXtal</v>
      </c>
      <c r="AP240" s="3">
        <f>IF(ISERROR(F240-E240),"-",F240-E240)</f>
        <v>1</v>
      </c>
      <c r="AQ240" s="3">
        <f>IF(ISERROR(I240-H240),"-",I240-H240)</f>
        <v>1</v>
      </c>
      <c r="AR240" s="3">
        <f>IF(ISERROR(L240-K240),"-",L240-K240)</f>
        <v>2</v>
      </c>
      <c r="AS240" s="3">
        <f>IF(ISERROR(O240-N240),"-",O240-N240)</f>
        <v>1</v>
      </c>
      <c r="AT240" s="3">
        <f>IF(ISERROR(R240-Q240),"-",R240-Q240)</f>
        <v>1</v>
      </c>
      <c r="AU240" s="3">
        <f>IF(ISERROR(U240-T240),"-",U240-T240)</f>
        <v>1</v>
      </c>
      <c r="AV240" s="3">
        <f>IF(ISERROR(X240-W240),"-",X240-W240)</f>
        <v>19</v>
      </c>
      <c r="AW240" s="3">
        <f>IF(ISERROR(AA240-Z240),"-",AA240-Z240)</f>
        <v>3</v>
      </c>
      <c r="AX240" s="3">
        <f>IF(ISERROR(AD240-AC240),"-",AD240-AC240)</f>
        <v>5</v>
      </c>
      <c r="AY240" s="3">
        <f>IF(ISERROR(AG240-AF240),"-",AG240-AF240)</f>
        <v>5</v>
      </c>
      <c r="AZ240" s="3">
        <f>IF(ISERROR(AJ240-AI240),"-",AJ240-AI240)</f>
        <v>1</v>
      </c>
      <c r="BA240" s="3">
        <f>IF(ISERROR(LEN(VLOOKUP(A240,Seqs!A:E,2,FALSE))-AL240),"-",LEN(VLOOKUP(A240,Seqs!A:E,2,FALSE))-AL240)</f>
        <v>20</v>
      </c>
      <c r="BB240" s="16">
        <f>J240-D240</f>
        <v>28</v>
      </c>
      <c r="BC240" s="9">
        <f>IF(ISERROR(V240-S240),"-",V240-S240)</f>
        <v>20</v>
      </c>
      <c r="BD240" s="3">
        <f>J240-D240</f>
        <v>28</v>
      </c>
      <c r="BE240" s="3">
        <f>AE240-AB240</f>
        <v>56</v>
      </c>
      <c r="BF240" s="3">
        <f>AH240-AE240</f>
        <v>35</v>
      </c>
    </row>
    <row r="241" spans="1:58" s="3" customFormat="1" x14ac:dyDescent="0.2">
      <c r="A241" s="3" t="s">
        <v>389</v>
      </c>
      <c r="B241" s="3" t="str">
        <f>LOWER(VLOOKUP(A241,Xtal_Templ!A:B,2,FALSE))</f>
        <v>adrb2_human</v>
      </c>
      <c r="C241" s="3">
        <f>VLOOKUP($A241,'SegEnds_NonXtal_BW#'!$A:$Z,3,FALSE)+D241-50</f>
        <v>24</v>
      </c>
      <c r="D241" s="3">
        <v>49</v>
      </c>
      <c r="E241" s="3">
        <f>IF(ISERROR(VLOOKUP($A241,'SegEnds_NonXtal_BW#'!$A:$Z,4,FALSE)+VLOOKUP($A241,A:AL,4,FALSE)-50),"-",(VLOOKUP($A241,'SegEnds_NonXtal_BW#'!$A:$Z,4,FALSE)+VLOOKUP($A241,A:AL,4,FALSE)-50))</f>
        <v>59</v>
      </c>
      <c r="F241" s="3">
        <f>G241-2</f>
        <v>60</v>
      </c>
      <c r="G241" s="3">
        <v>62</v>
      </c>
      <c r="H241" s="3">
        <f>G241+1</f>
        <v>63</v>
      </c>
      <c r="I241" s="3">
        <f>H241+1</f>
        <v>64</v>
      </c>
      <c r="J241" s="3">
        <v>77</v>
      </c>
      <c r="K241" s="3">
        <f>VLOOKUP($A241,'SegEnds_NonXtal_BW#'!$A:$Z,8,FALSE)+VLOOKUP($A241,A:AL,10,FALSE)-50</f>
        <v>94</v>
      </c>
      <c r="L241" s="3">
        <f>M241-1</f>
        <v>96</v>
      </c>
      <c r="M241" s="3">
        <v>97</v>
      </c>
      <c r="N241" s="3">
        <f>M241+2</f>
        <v>99</v>
      </c>
      <c r="O241" s="3">
        <f>N241+1</f>
        <v>100</v>
      </c>
      <c r="P241" s="3">
        <v>129</v>
      </c>
      <c r="Q241" s="3">
        <f>VLOOKUP($A241,'SegEnds_NonXtal_BW#'!$A:$Z,12,FALSE)+VLOOKUP($A241,A:AL,16,FALSE)-50</f>
        <v>135</v>
      </c>
      <c r="R241" s="3">
        <f>IF(ISERROR(VLOOKUP($A241,'SegEnds_NonXtal_BW#'!$A:$Z,13,FALSE)+VLOOKUP($A241,A:AL,19,FALSE)-50),"-",VLOOKUP($A241,'SegEnds_NonXtal_BW#'!$A:$Z,13,FALSE)+VLOOKUP($A241,A:AL,19,FALSE)-50)</f>
        <v>136</v>
      </c>
      <c r="S241" s="3">
        <v>136</v>
      </c>
      <c r="T241" s="103">
        <f>IF(ISERROR(VLOOKUP($A241,'SegEnds_NonXtal_BW#'!$A:$Z,14,FALSE)+VLOOKUP($A241,A:AL,19,FALSE)-50),"-",(VLOOKUP($A241,'SegEnds_NonXtal_BW#'!$A:$Z,14,FALSE)+VLOOKUP($A241,A:AL,19,FALSE)-50))</f>
        <v>143</v>
      </c>
      <c r="U241" s="9">
        <f>IF(ISERROR(VLOOKUP($A241,'SegEnds_NonXtal_BW#'!$A:$Z,15,FALSE)+VLOOKUP($A241,A:AL,22,FALSE)-50),"-",VLOOKUP($A241,'SegEnds_NonXtal_BW#'!$A:$Z,15,FALSE)+VLOOKUP($A241,A:AL,22,FALSE)-50)</f>
        <v>144</v>
      </c>
      <c r="V241" s="3">
        <v>156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IF(ISERROR(VLOOKUP($A241,'SegEnds_NonXtal_BW#'!$A:$Z,17,FALSE)+VLOOKUP($A241,A:AL,25,FALSE)-50),"-",(VLOOKUP($A241,'SegEnds_NonXtal_BW#'!$A:$Z,17,FALSE)+VLOOKUP($A241,A:AL,25,FALSE)-50))</f>
        <v>189</v>
      </c>
      <c r="Y241" s="3">
        <v>189</v>
      </c>
      <c r="Z241" s="3">
        <f>Y241+2</f>
        <v>191</v>
      </c>
      <c r="AA241" s="3">
        <f>IF(ISERROR(VLOOKUP($A241,'SegEnds_NonXtal_BW#'!$A:$Z,19,FALSE)+VLOOKUP($A241,A:AL,28,FALSE)-50),"-",(VLOOKUP($A241,'SegEnds_NonXtal_BW#'!$A:$Z,19,FALSE)+VLOOKUP($A241,A:AL,28,FALSE)-50))</f>
        <v>194</v>
      </c>
      <c r="AB241" s="3">
        <v>209</v>
      </c>
      <c r="AC241" s="3">
        <f>IF(ISERROR((VLOOKUP($A241,'SegEnds_NonXtal_BW#'!$A:$Z,20,FALSE)+VLOOKUP($A241,A:AL,28,FALSE)-50)),"-",(VLOOKUP($A241,'SegEnds_NonXtal_BW#'!$A:$Z,20,FALSE)+VLOOKUP($A241,A:AL,28,FALSE)-50))</f>
        <v>233</v>
      </c>
      <c r="AD241" s="3">
        <f>IF(ISERROR(VLOOKUP($A241,'SegEnds_NonXtal_BW#'!$A:$Z,21,FALSE)+VLOOKUP($A241,A:AL,31,FALSE)-50),"-",(VLOOKUP($A241,'SegEnds_NonXtal_BW#'!$A:$Z,21,FALSE)+VLOOKUP($A241,A:AL,31,FALSE)-50))</f>
        <v>242</v>
      </c>
      <c r="AE241" s="3">
        <v>271</v>
      </c>
      <c r="AF241" s="3">
        <f>IF(ISERROR((VLOOKUP($A241,'SegEnds_NonXtal_BW#'!$A:$Z,22,FALSE)+VLOOKUP($A241,A:AL,31,FALSE)-50)),"-",(VLOOKUP($A241,'SegEnds_NonXtal_BW#'!$A:$Z,22,FALSE)+VLOOKUP($A241,A:AL,31,FALSE)-50))</f>
        <v>282</v>
      </c>
      <c r="AG241" s="3">
        <f>IF(ISERROR(VLOOKUP($A241,'SegEnds_NonXtal_BW#'!$A:$Z,23,FALSE)+VLOOKUP($A241,A:AL,34,FALSE)-50),"-",(VLOOKUP($A241,'SegEnds_NonXtal_BW#'!$A:$Z,23,FALSE)+VLOOKUP($A241,A:AL,34,FALSE)-50))</f>
        <v>287</v>
      </c>
      <c r="AH241" s="3">
        <v>306</v>
      </c>
      <c r="AI241" s="3">
        <f>IF(ISERROR((VLOOKUP($A241,'SegEnds_NonXtal_BW#'!$A:$Z,24,FALSE)+VLOOKUP($A241,A:AL,34,FALSE)-50)),"-",(VLOOKUP($A241,'SegEnds_NonXtal_BW#'!$A:$Z,24,FALSE)+VLOOKUP($A241,A:AL,34,FALSE)-50))</f>
        <v>312</v>
      </c>
      <c r="AJ241" s="3">
        <f>IF(ISERROR(VLOOKUP($A241,'SegEnds_NonXtal_BW#'!$A:$Z,25,FALSE)+VLOOKUP($A241,A:AL,37,FALSE)-50),"-",(VLOOKUP($A241,'SegEnds_NonXtal_BW#'!$A:$Z,25,FALSE)+VLOOKUP($A241,A:AL,37,FALSE)-50))</f>
        <v>313</v>
      </c>
      <c r="AK241" s="3">
        <v>316</v>
      </c>
      <c r="AL241" s="3">
        <f>IF(ISERROR((VLOOKUP($A241,'SegEnds_NonXtal_BW#'!$A:$Z,26,FALSE)+VLOOKUP($A241,A:AL,37,FALSE)-50)),"-",(VLOOKUP($A241,'SegEnds_NonXtal_BW#'!$A:$Z,26,FALSE)+VLOOKUP($A241,A:AL,37,FALSE)-50))</f>
        <v>325</v>
      </c>
      <c r="AM241" s="28" t="str">
        <f>VLOOKUP(A241,Classification!A:B,2,FALSE)</f>
        <v>A</v>
      </c>
      <c r="AN241" s="28" t="b">
        <f>AND(IF(Y241="-",IF(AA241-W241&gt;3,TRUE,FALSE),TRUE),IF(M241="-",IF(O241-K241&gt;3,TRUE,FALSE),TRU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NoXtal</v>
      </c>
      <c r="AP241" s="3">
        <f>IF(ISERROR(F241-E241),"-",F241-E241)</f>
        <v>1</v>
      </c>
      <c r="AQ241" s="3">
        <f>IF(ISERROR(I241-H241),"-",I241-H241)</f>
        <v>1</v>
      </c>
      <c r="AR241" s="3">
        <f>IF(ISERROR(L241-K241),"-",L241-K241)</f>
        <v>2</v>
      </c>
      <c r="AS241" s="3">
        <f>IF(ISERROR(O241-N241),"-",O241-N241)</f>
        <v>1</v>
      </c>
      <c r="AT241" s="3">
        <f>IF(ISERROR(R241-Q241),"-",R241-Q241)</f>
        <v>1</v>
      </c>
      <c r="AU241" s="3">
        <f>IF(ISERROR(U241-T241),"-",U241-T241)</f>
        <v>1</v>
      </c>
      <c r="AV241" s="3">
        <f>IF(ISERROR(X241-W241),"-",X241-W241)</f>
        <v>19</v>
      </c>
      <c r="AW241" s="3">
        <f>IF(ISERROR(AA241-Z241),"-",AA241-Z241)</f>
        <v>3</v>
      </c>
      <c r="AX241" s="3">
        <f>IF(ISERROR(AD241-AC241),"-",AD241-AC241)</f>
        <v>9</v>
      </c>
      <c r="AY241" s="3">
        <f>IF(ISERROR(AG241-AF241),"-",AG241-AF241)</f>
        <v>5</v>
      </c>
      <c r="AZ241" s="3">
        <f>IF(ISERROR(AJ241-AI241),"-",AJ241-AI241)</f>
        <v>1</v>
      </c>
      <c r="BA241" s="3">
        <f>IF(ISERROR(LEN(VLOOKUP(A241,Seqs!A:E,2,FALSE))-AL241),"-",LEN(VLOOKUP(A241,Seqs!A:E,2,FALSE))-AL241)</f>
        <v>18</v>
      </c>
      <c r="BB241" s="16">
        <f>J241-D241</f>
        <v>28</v>
      </c>
      <c r="BC241" s="9">
        <f>IF(ISERROR(V241-S241),"-",V241-S241)</f>
        <v>20</v>
      </c>
      <c r="BD241" s="3">
        <f>J241-D241</f>
        <v>28</v>
      </c>
      <c r="BE241" s="3">
        <f>AE241-AB241</f>
        <v>62</v>
      </c>
      <c r="BF241" s="3">
        <f>AH241-AE241</f>
        <v>35</v>
      </c>
    </row>
    <row r="242" spans="1:58" s="3" customFormat="1" x14ac:dyDescent="0.2">
      <c r="A242" s="3" t="s">
        <v>390</v>
      </c>
      <c r="B242" s="3" t="str">
        <f>LOWER(VLOOKUP(A242,Xtal_Templ!A:B,2,FALSE))</f>
        <v>5ht1b_human</v>
      </c>
      <c r="C242" s="3">
        <f>VLOOKUP($A242,'SegEnds_NonXtal_BW#'!$A:$Z,3,FALSE)+D242-50</f>
        <v>31</v>
      </c>
      <c r="D242" s="3">
        <v>52</v>
      </c>
      <c r="E242" s="3">
        <f>IF(ISERROR(VLOOKUP($A242,'SegEnds_NonXtal_BW#'!$A:$Z,4,FALSE)+VLOOKUP($A242,A:AL,4,FALSE)-50),"-",(VLOOKUP($A242,'SegEnds_NonXtal_BW#'!$A:$Z,4,FALSE)+VLOOKUP($A242,A:AL,4,FALSE)-50))</f>
        <v>62</v>
      </c>
      <c r="F242" s="3">
        <f>G242-2</f>
        <v>63</v>
      </c>
      <c r="G242" s="3">
        <v>65</v>
      </c>
      <c r="H242" s="3">
        <f>G242+1</f>
        <v>66</v>
      </c>
      <c r="I242" s="3">
        <f>H242+1</f>
        <v>67</v>
      </c>
      <c r="J242" s="3">
        <v>80</v>
      </c>
      <c r="K242" s="3">
        <f>VLOOKUP($A242,'SegEnds_NonXtal_BW#'!$A:$Z,8,FALSE)+VLOOKUP($A242,A:AL,10,FALSE)-50</f>
        <v>97</v>
      </c>
      <c r="L242" s="3">
        <f>M242-1</f>
        <v>99</v>
      </c>
      <c r="M242" s="3">
        <v>100</v>
      </c>
      <c r="N242" s="3">
        <f>M242+2</f>
        <v>102</v>
      </c>
      <c r="O242" s="3">
        <f>N242+1</f>
        <v>103</v>
      </c>
      <c r="P242" s="3">
        <v>132</v>
      </c>
      <c r="Q242" s="3">
        <f>VLOOKUP($A242,'SegEnds_NonXtal_BW#'!$A:$Z,12,FALSE)+VLOOKUP($A242,A:AL,16,FALSE)-50</f>
        <v>138</v>
      </c>
      <c r="R242" s="3">
        <f>IF(ISERROR(VLOOKUP($A242,'SegEnds_NonXtal_BW#'!$A:$Z,13,FALSE)+VLOOKUP($A242,A:AL,19,FALSE)-50),"-",VLOOKUP($A242,'SegEnds_NonXtal_BW#'!$A:$Z,13,FALSE)+VLOOKUP($A242,A:AL,19,FALSE)-50)</f>
        <v>139</v>
      </c>
      <c r="S242" s="3">
        <v>139</v>
      </c>
      <c r="T242" s="103">
        <f>IF(ISERROR(VLOOKUP($A242,'SegEnds_NonXtal_BW#'!$A:$Z,14,FALSE)+VLOOKUP($A242,A:AL,19,FALSE)-50),"-",(VLOOKUP($A242,'SegEnds_NonXtal_BW#'!$A:$Z,14,FALSE)+VLOOKUP($A242,A:AL,19,FALSE)-50))</f>
        <v>146</v>
      </c>
      <c r="U242" s="9">
        <f>IF(ISERROR(VLOOKUP($A242,'SegEnds_NonXtal_BW#'!$A:$Z,15,FALSE)+VLOOKUP($A242,A:AL,22,FALSE)-50),"-",VLOOKUP($A242,'SegEnds_NonXtal_BW#'!$A:$Z,15,FALSE)+VLOOKUP($A242,A:AL,22,FALSE)-50)</f>
        <v>147</v>
      </c>
      <c r="V242" s="3">
        <v>159</v>
      </c>
      <c r="W242" s="3">
        <f>IF(ISERROR(VLOOKUP($A242,'SegEnds_NonXtal_BW#'!$A:$Z,16,FALSE)+VLOOKUP($A242,A:AL,22,FALSE)-50),"-",(VLOOKUP($A242,'SegEnds_NonXtal_BW#'!$A:$Z,16,FALSE)+VLOOKUP($A242,A:AL,22,FALSE)-50))</f>
        <v>172</v>
      </c>
      <c r="X242" s="3">
        <f>IF(ISERROR(VLOOKUP($A242,'SegEnds_NonXtal_BW#'!$A:$Z,17,FALSE)+VLOOKUP($A242,A:AL,25,FALSE)-50),"-",(VLOOKUP($A242,'SegEnds_NonXtal_BW#'!$A:$Z,17,FALSE)+VLOOKUP($A242,A:AL,25,FALSE)-50))</f>
        <v>192</v>
      </c>
      <c r="Y242" s="3">
        <v>192</v>
      </c>
      <c r="Z242" s="3">
        <f>Y242+2</f>
        <v>194</v>
      </c>
      <c r="AA242" s="3">
        <f>IF(ISERROR(VLOOKUP($A242,'SegEnds_NonXtal_BW#'!$A:$Z,19,FALSE)+VLOOKUP($A242,A:AL,28,FALSE)-50),"-",(VLOOKUP($A242,'SegEnds_NonXtal_BW#'!$A:$Z,19,FALSE)+VLOOKUP($A242,A:AL,28,FALSE)-50))</f>
        <v>196</v>
      </c>
      <c r="AB242" s="3">
        <v>211</v>
      </c>
      <c r="AC242" s="3">
        <f>IF(ISERROR((VLOOKUP($A242,'SegEnds_NonXtal_BW#'!$A:$Z,20,FALSE)+VLOOKUP($A242,A:AL,28,FALSE)-50)),"-",(VLOOKUP($A242,'SegEnds_NonXtal_BW#'!$A:$Z,20,FALSE)+VLOOKUP($A242,A:AL,28,FALSE)-50))</f>
        <v>234</v>
      </c>
      <c r="AD242" s="3">
        <f>IF(ISERROR(VLOOKUP($A242,'SegEnds_NonXtal_BW#'!$A:$Z,21,FALSE)+VLOOKUP($A242,A:AL,31,FALSE)-50),"-",(VLOOKUP($A242,'SegEnds_NonXtal_BW#'!$A:$Z,21,FALSE)+VLOOKUP($A242,A:AL,31,FALSE)-50))</f>
        <v>239</v>
      </c>
      <c r="AE242" s="3">
        <v>267</v>
      </c>
      <c r="AF242" s="3">
        <f>IF(ISERROR((VLOOKUP($A242,'SegEnds_NonXtal_BW#'!$A:$Z,22,FALSE)+VLOOKUP($A242,A:AL,31,FALSE)-50)),"-",(VLOOKUP($A242,'SegEnds_NonXtal_BW#'!$A:$Z,22,FALSE)+VLOOKUP($A242,A:AL,31,FALSE)-50))</f>
        <v>278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302</v>
      </c>
      <c r="AI242" s="3">
        <f>IF(ISERROR((VLOOKUP($A242,'SegEnds_NonXtal_BW#'!$A:$Z,24,FALSE)+VLOOKUP($A242,A:AL,34,FALSE)-50)),"-",(VLOOKUP($A242,'SegEnds_NonXtal_BW#'!$A:$Z,24,FALSE)+VLOOKUP($A242,A:AL,34,FALSE)-50))</f>
        <v>308</v>
      </c>
      <c r="AJ242" s="3">
        <f>IF(ISERROR(VLOOKUP($A242,'SegEnds_NonXtal_BW#'!$A:$Z,25,FALSE)+VLOOKUP($A242,A:AL,37,FALSE)-50),"-",(VLOOKUP($A242,'SegEnds_NonXtal_BW#'!$A:$Z,25,FALSE)+VLOOKUP($A242,A:AL,37,FALSE)-50))</f>
        <v>309</v>
      </c>
      <c r="AK242" s="3">
        <v>312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>AND(IF(Y242="-",IF(AA242-W242&gt;3,TRUE,FALSE),TRUE),IF(M242="-",IF(O242-K242&gt;3,TRUE,FALSE),TRUE),C242&lt;E242,OR(E242&lt;F242,F242="-"),OR(F242&lt;H242,F242="-"),OR(H242&lt;I242,H242="-"),I242&lt;K242,OR(K242&lt;L242,L242="-"),OR(L242&lt;N242,L242="-"),OR(N242&lt;O242,N242="-"),O242&lt;Q242,OR(Q242&lt;R242,R242="-"),OR(R242&lt;T242,R242="-"),OR(T242&lt;U242,T242="-"),U242&lt;W242,OR(W242&lt;X242,X242="-"),OR(X242&lt;Z242,X242="-"),OR(Z242&lt;AA242,Z242="-"),AA242&lt;AC242,AC242&lt;AD242,AD242&lt;AF242,AF242&lt;AG242,AG242&lt;AI242,OR(AI242&lt;AJ242,AJ242="-"),OR(AJ242&lt;AL242,AJ242="-"))</f>
        <v>1</v>
      </c>
      <c r="AO242" s="3" t="str">
        <f>IF(ISERROR(MATCH(A242,'SegEnds_Xtal_Prot#'!B:B, 0)), "NoXtal", "Xtal")</f>
        <v>NoXtal</v>
      </c>
      <c r="AP242" s="3">
        <f>IF(ISERROR(F242-E242),"-",F242-E242)</f>
        <v>1</v>
      </c>
      <c r="AQ242" s="3">
        <f>IF(ISERROR(I242-H242),"-",I242-H242)</f>
        <v>1</v>
      </c>
      <c r="AR242" s="3">
        <f>IF(ISERROR(L242-K242),"-",L242-K242)</f>
        <v>2</v>
      </c>
      <c r="AS242" s="3">
        <f>IF(ISERROR(O242-N242),"-",O242-N242)</f>
        <v>1</v>
      </c>
      <c r="AT242" s="3">
        <f>IF(ISERROR(R242-Q242),"-",R242-Q242)</f>
        <v>1</v>
      </c>
      <c r="AU242" s="3">
        <f>IF(ISERROR(U242-T242),"-",U242-T242)</f>
        <v>1</v>
      </c>
      <c r="AV242" s="3">
        <f>IF(ISERROR(X242-W242),"-",X242-W242)</f>
        <v>20</v>
      </c>
      <c r="AW242" s="3">
        <f>IF(ISERROR(AA242-Z242),"-",AA242-Z242)</f>
        <v>2</v>
      </c>
      <c r="AX242" s="3">
        <f>IF(ISERROR(AD242-AC242),"-",AD242-AC242)</f>
        <v>5</v>
      </c>
      <c r="AY242" s="3">
        <f>IF(ISERROR(AG242-AF242),"-",AG242-AF242)</f>
        <v>5</v>
      </c>
      <c r="AZ242" s="3">
        <f>IF(ISERROR(AJ242-AI242),"-",AJ242-AI242)</f>
        <v>1</v>
      </c>
      <c r="BA242" s="3">
        <f>IF(ISERROR(LEN(VLOOKUP(A242,Seqs!A:E,2,FALSE))-AL242),"-",LEN(VLOOKUP(A242,Seqs!A:E,2,FALSE))-AL242)</f>
        <v>17</v>
      </c>
      <c r="BB242" s="16">
        <f>J242-D242</f>
        <v>28</v>
      </c>
      <c r="BC242" s="9">
        <f>IF(ISERROR(V242-S242),"-",V242-S242)</f>
        <v>20</v>
      </c>
      <c r="BD242" s="3">
        <f>J242-D242</f>
        <v>28</v>
      </c>
      <c r="BE242" s="3">
        <f>AE242-AB242</f>
        <v>56</v>
      </c>
      <c r="BF242" s="3">
        <f>AH242-AE242</f>
        <v>35</v>
      </c>
    </row>
    <row r="243" spans="1:58" s="3" customFormat="1" x14ac:dyDescent="0.2">
      <c r="A243" s="3" t="s">
        <v>391</v>
      </c>
      <c r="B243" s="3" t="str">
        <f>LOWER(VLOOKUP(A243,Xtal_Templ!A:B,2,FALSE))</f>
        <v>5ht1b_human</v>
      </c>
      <c r="C243" s="3">
        <f>VLOOKUP($A243,'SegEnds_NonXtal_BW#'!$A:$Z,3,FALSE)+D243-50</f>
        <v>29</v>
      </c>
      <c r="D243" s="3">
        <v>50</v>
      </c>
      <c r="E243" s="3">
        <f>IF(ISERROR(VLOOKUP($A243,'SegEnds_NonXtal_BW#'!$A:$Z,4,FALSE)+VLOOKUP($A243,A:AL,4,FALSE)-50),"-",(VLOOKUP($A243,'SegEnds_NonXtal_BW#'!$A:$Z,4,FALSE)+VLOOKUP($A243,A:AL,4,FALSE)-50))</f>
        <v>60</v>
      </c>
      <c r="F243" s="3">
        <f>G243-2</f>
        <v>61</v>
      </c>
      <c r="G243" s="3">
        <v>63</v>
      </c>
      <c r="H243" s="3">
        <f>G243+1</f>
        <v>64</v>
      </c>
      <c r="I243" s="3">
        <f>H243+1</f>
        <v>65</v>
      </c>
      <c r="J243" s="3">
        <v>78</v>
      </c>
      <c r="K243" s="3">
        <f>VLOOKUP($A243,'SegEnds_NonXtal_BW#'!$A:$Z,8,FALSE)+VLOOKUP($A243,A:AL,10,FALSE)-50</f>
        <v>95</v>
      </c>
      <c r="L243" s="3">
        <f>M243-1</f>
        <v>97</v>
      </c>
      <c r="M243" s="3">
        <v>98</v>
      </c>
      <c r="N243" s="3">
        <f>M243+2</f>
        <v>100</v>
      </c>
      <c r="O243" s="3">
        <f>N243+1</f>
        <v>101</v>
      </c>
      <c r="P243" s="3">
        <v>130</v>
      </c>
      <c r="Q243" s="3">
        <f>VLOOKUP($A243,'SegEnds_NonXtal_BW#'!$A:$Z,12,FALSE)+VLOOKUP($A243,A:AL,16,FALSE)-50</f>
        <v>136</v>
      </c>
      <c r="R243" s="3">
        <f>IF(ISERROR(VLOOKUP($A243,'SegEnds_NonXtal_BW#'!$A:$Z,13,FALSE)+VLOOKUP($A243,A:AL,19,FALSE)-50),"-",VLOOKUP($A243,'SegEnds_NonXtal_BW#'!$A:$Z,13,FALSE)+VLOOKUP($A243,A:AL,19,FALSE)-50)</f>
        <v>137</v>
      </c>
      <c r="S243" s="3">
        <v>137</v>
      </c>
      <c r="T243" s="103">
        <f>IF(ISERROR(VLOOKUP($A243,'SegEnds_NonXtal_BW#'!$A:$Z,14,FALSE)+VLOOKUP($A243,A:AL,19,FALSE)-50),"-",(VLOOKUP($A243,'SegEnds_NonXtal_BW#'!$A:$Z,14,FALSE)+VLOOKUP($A243,A:AL,19,FALSE)-50))</f>
        <v>144</v>
      </c>
      <c r="U243" s="9">
        <f>IF(ISERROR(VLOOKUP($A243,'SegEnds_NonXtal_BW#'!$A:$Z,15,FALSE)+VLOOKUP($A243,A:AL,22,FALSE)-50),"-",VLOOKUP($A243,'SegEnds_NonXtal_BW#'!$A:$Z,15,FALSE)+VLOOKUP($A243,A:AL,22,FALSE)-50)</f>
        <v>145</v>
      </c>
      <c r="V243" s="3">
        <v>157</v>
      </c>
      <c r="W243" s="3">
        <f>IF(ISERROR(VLOOKUP($A243,'SegEnds_NonXtal_BW#'!$A:$Z,16,FALSE)+VLOOKUP($A243,A:AL,22,FALSE)-50),"-",(VLOOKUP($A243,'SegEnds_NonXtal_BW#'!$A:$Z,16,FALSE)+VLOOKUP($A243,A:AL,22,FALSE)-50))</f>
        <v>170</v>
      </c>
      <c r="X243" s="3">
        <f>IF(ISERROR(VLOOKUP($A243,'SegEnds_NonXtal_BW#'!$A:$Z,17,FALSE)+VLOOKUP($A243,A:AL,25,FALSE)-50),"-",(VLOOKUP($A243,'SegEnds_NonXtal_BW#'!$A:$Z,17,FALSE)+VLOOKUP($A243,A:AL,25,FALSE)-50))</f>
        <v>190</v>
      </c>
      <c r="Y243" s="3">
        <v>190</v>
      </c>
      <c r="Z243" s="3">
        <f>Y243+2</f>
        <v>192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244</v>
      </c>
      <c r="AE243" s="3">
        <v>273</v>
      </c>
      <c r="AF243" s="3">
        <f>IF(ISERROR((VLOOKUP($A243,'SegEnds_NonXtal_BW#'!$A:$Z,22,FALSE)+VLOOKUP($A243,A:AL,31,FALSE)-50)),"-",(VLOOKUP($A243,'SegEnds_NonXtal_BW#'!$A:$Z,22,FALSE)+VLOOKUP($A243,A:AL,31,FALSE)-50))</f>
        <v>284</v>
      </c>
      <c r="AG243" s="3">
        <f>IF(ISERROR(VLOOKUP($A243,'SegEnds_NonXtal_BW#'!$A:$Z,23,FALSE)+VLOOKUP($A243,A:AL,34,FALSE)-50),"-",(VLOOKUP($A243,'SegEnds_NonXtal_BW#'!$A:$Z,23,FALSE)+VLOOKUP($A243,A:AL,34,FALSE)-50))</f>
        <v>289</v>
      </c>
      <c r="AH243" s="3">
        <v>308</v>
      </c>
      <c r="AI243" s="3">
        <f>IF(ISERROR((VLOOKUP($A243,'SegEnds_NonXtal_BW#'!$A:$Z,24,FALSE)+VLOOKUP($A243,A:AL,34,FALSE)-50)),"-",(VLOOKUP($A243,'SegEnds_NonXtal_BW#'!$A:$Z,24,FALSE)+VLOOKUP($A243,A:AL,34,FALSE)-50))</f>
        <v>314</v>
      </c>
      <c r="AJ243" s="3">
        <f>IF(ISERROR(VLOOKUP($A243,'SegEnds_NonXtal_BW#'!$A:$Z,25,FALSE)+VLOOKUP($A243,A:AL,37,FALSE)-50),"-",(VLOOKUP($A243,'SegEnds_NonXtal_BW#'!$A:$Z,25,FALSE)+VLOOKUP($A243,A:AL,37,FALSE)-50))</f>
        <v>315</v>
      </c>
      <c r="AK243" s="3">
        <v>318</v>
      </c>
      <c r="AL243" s="3">
        <f>IF(ISERROR((VLOOKUP($A243,'SegEnds_NonXtal_BW#'!$A:$Z,26,FALSE)+VLOOKUP($A243,A:AL,37,FALSE)-50)),"-",(VLOOKUP($A243,'SegEnds_NonXtal_BW#'!$A:$Z,26,FALSE)+VLOOKUP($A243,A:AL,37,FALSE)-50))</f>
        <v>326</v>
      </c>
      <c r="AM243" s="28" t="str">
        <f>VLOOKUP(A243,Classification!A:B,2,FALSE)</f>
        <v>A</v>
      </c>
      <c r="AN243" s="28" t="b">
        <f>AND(IF(Y243="-",IF(AA243-W243&gt;3,TRUE,FALSE),TRUE),IF(M243="-",IF(O243-K243&gt;3,TRUE,FALSE),TRUE),C243&lt;E243,OR(E243&lt;F243,F243="-"),OR(F243&lt;H243,F243="-"),OR(H243&lt;I243,H243="-"),I243&lt;K243,OR(K243&lt;L243,L243="-"),OR(L243&lt;N243,L243="-"),OR(N243&lt;O243,N243="-"),O243&lt;Q243,OR(Q243&lt;R243,R243="-"),OR(R243&lt;T243,R243="-"),OR(T243&lt;U243,T243="-"),U243&lt;W243,OR(W243&lt;X243,X243="-"),OR(X243&lt;Z243,X243="-"),OR(Z243&lt;AA243,Z243="-"),AA243&lt;AC243,AC243&lt;AD243,AD243&lt;AF243,AF243&lt;AG243,AG243&lt;AI243,OR(AI243&lt;AJ243,AJ243="-"),OR(AJ243&lt;AL243,AJ243="-"))</f>
        <v>1</v>
      </c>
      <c r="AO243" s="3" t="str">
        <f>IF(ISERROR(MATCH(A243,'SegEnds_Xtal_Prot#'!B:B, 0)), "NoXtal", "Xtal")</f>
        <v>NoXtal</v>
      </c>
      <c r="AP243" s="3">
        <f>IF(ISERROR(F243-E243),"-",F243-E243)</f>
        <v>1</v>
      </c>
      <c r="AQ243" s="3">
        <f>IF(ISERROR(I243-H243),"-",I243-H243)</f>
        <v>1</v>
      </c>
      <c r="AR243" s="3">
        <f>IF(ISERROR(L243-K243),"-",L243-K243)</f>
        <v>2</v>
      </c>
      <c r="AS243" s="3">
        <f>IF(ISERROR(O243-N243),"-",O243-N243)</f>
        <v>1</v>
      </c>
      <c r="AT243" s="3">
        <f>IF(ISERROR(R243-Q243),"-",R243-Q243)</f>
        <v>1</v>
      </c>
      <c r="AU243" s="3">
        <f>IF(ISERROR(U243-T243),"-",U243-T243)</f>
        <v>1</v>
      </c>
      <c r="AV243" s="3">
        <f>IF(ISERROR(X243-W243),"-",X243-W243)</f>
        <v>20</v>
      </c>
      <c r="AW243" s="3">
        <f>IF(ISERROR(AA243-Z243),"-",AA243-Z243)</f>
        <v>2</v>
      </c>
      <c r="AX243" s="3">
        <f>IF(ISERROR(AD243-AC243),"-",AD243-AC243)</f>
        <v>11</v>
      </c>
      <c r="AY243" s="3">
        <f>IF(ISERROR(AG243-AF243),"-",AG243-AF243)</f>
        <v>5</v>
      </c>
      <c r="AZ243" s="3">
        <f>IF(ISERROR(AJ243-AI243),"-",AJ243-AI243)</f>
        <v>1</v>
      </c>
      <c r="BA243" s="3">
        <f>IF(ISERROR(LEN(VLOOKUP(A243,Seqs!A:E,2,FALSE))-AL243),"-",LEN(VLOOKUP(A243,Seqs!A:E,2,FALSE))-AL243)</f>
        <v>19</v>
      </c>
      <c r="BB243" s="16">
        <f>J243-D243</f>
        <v>28</v>
      </c>
      <c r="BC243" s="9">
        <f>IF(ISERROR(V243-S243),"-",V243-S243)</f>
        <v>20</v>
      </c>
      <c r="BD243" s="3">
        <f>J243-D243</f>
        <v>28</v>
      </c>
      <c r="BE243" s="3">
        <f>AE243-AB243</f>
        <v>64</v>
      </c>
      <c r="BF243" s="3">
        <f>AH243-AE243</f>
        <v>35</v>
      </c>
    </row>
    <row r="244" spans="1:58" s="3" customFormat="1" x14ac:dyDescent="0.2">
      <c r="A244" s="3" t="s">
        <v>392</v>
      </c>
      <c r="B244" s="3" t="str">
        <f>LOWER(VLOOKUP(A244,Xtal_Templ!A:B,2,FALSE))</f>
        <v>5ht1b_human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>G244-2</f>
        <v>60</v>
      </c>
      <c r="G244" s="3">
        <v>62</v>
      </c>
      <c r="H244" s="3">
        <f>G244+1</f>
        <v>63</v>
      </c>
      <c r="I244" s="3">
        <f>H244+1</f>
        <v>64</v>
      </c>
      <c r="J244" s="3">
        <v>77</v>
      </c>
      <c r="K244" s="3">
        <f>VLOOKUP($A244,'SegEnds_NonXtal_BW#'!$A:$Z,8,FALSE)+VLOOKUP($A244,A:AL,10,FALSE)-50</f>
        <v>94</v>
      </c>
      <c r="L244" s="3">
        <f>M244-1</f>
        <v>96</v>
      </c>
      <c r="M244" s="3">
        <v>97</v>
      </c>
      <c r="N244" s="3">
        <f>M244+2</f>
        <v>99</v>
      </c>
      <c r="O244" s="3">
        <f>N244+1</f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3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169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>Y244+2</f>
        <v>191</v>
      </c>
      <c r="AA244" s="3">
        <f>IF(ISERROR(VLOOKUP($A244,'SegEnds_NonXtal_BW#'!$A:$Z,19,FALSE)+VLOOKUP($A244,A:AL,28,FALSE)-50),"-",(VLOOKUP($A244,'SegEnds_NonXtal_BW#'!$A:$Z,19,FALSE)+VLOOKUP($A244,A:AL,28,FALSE)-50))</f>
        <v>193</v>
      </c>
      <c r="AB244" s="3">
        <v>208</v>
      </c>
      <c r="AC244" s="3">
        <f>IF(ISERROR((VLOOKUP($A244,'SegEnds_NonXtal_BW#'!$A:$Z,20,FALSE)+VLOOKUP($A244,A:AL,28,FALSE)-50)),"-",(VLOOKUP($A244,'SegEnds_NonXtal_BW#'!$A:$Z,20,FALSE)+VLOOKUP($A244,A:AL,28,FALSE)-50))</f>
        <v>232</v>
      </c>
      <c r="AD244" s="3">
        <f>IF(ISERROR(VLOOKUP($A244,'SegEnds_NonXtal_BW#'!$A:$Z,21,FALSE)+VLOOKUP($A244,A:AL,31,FALSE)-50),"-",(VLOOKUP($A244,'SegEnds_NonXtal_BW#'!$A:$Z,21,FALSE)+VLOOKUP($A244,A:AL,31,FALSE)-50))</f>
        <v>243</v>
      </c>
      <c r="AE244" s="3">
        <v>272</v>
      </c>
      <c r="AF244" s="3">
        <f>IF(ISERROR((VLOOKUP($A244,'SegEnds_NonXtal_BW#'!$A:$Z,22,FALSE)+VLOOKUP($A244,A:AL,31,FALSE)-50)),"-",(VLOOKUP($A244,'SegEnds_NonXtal_BW#'!$A:$Z,22,FALSE)+VLOOKUP($A244,A:AL,31,FALSE)-50))</f>
        <v>283</v>
      </c>
      <c r="AG244" s="3">
        <f>IF(ISERROR(VLOOKUP($A244,'SegEnds_NonXtal_BW#'!$A:$Z,23,FALSE)+VLOOKUP($A244,A:AL,34,FALSE)-50),"-",(VLOOKUP($A244,'SegEnds_NonXtal_BW#'!$A:$Z,23,FALSE)+VLOOKUP($A244,A:AL,34,FALSE)-50))</f>
        <v>288</v>
      </c>
      <c r="AH244" s="3">
        <v>307</v>
      </c>
      <c r="AI244" s="3">
        <f>IF(ISERROR((VLOOKUP($A244,'SegEnds_NonXtal_BW#'!$A:$Z,24,FALSE)+VLOOKUP($A244,A:AL,34,FALSE)-50)),"-",(VLOOKUP($A244,'SegEnds_NonXtal_BW#'!$A:$Z,24,FALSE)+VLOOKUP($A244,A:AL,34,FALSE)-50))</f>
        <v>313</v>
      </c>
      <c r="AJ244" s="3">
        <f>IF(ISERROR(VLOOKUP($A244,'SegEnds_NonXtal_BW#'!$A:$Z,25,FALSE)+VLOOKUP($A244,A:AL,37,FALSE)-50),"-",(VLOOKUP($A244,'SegEnds_NonXtal_BW#'!$A:$Z,25,FALSE)+VLOOKUP($A244,A:AL,37,FALSE)-50))</f>
        <v>314</v>
      </c>
      <c r="AK244" s="3">
        <v>317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>AND(IF(Y244="-",IF(AA244-W244&gt;3,TRUE,FALSE),TRUE),IF(M244="-",IF(O244-K244&gt;3,TRUE,FALSE),TRUE),C244&lt;E244,OR(E244&lt;F244,F244="-"),OR(F244&lt;H244,F244="-"),OR(H244&lt;I244,H244="-"),I244&lt;K244,OR(K244&lt;L244,L244="-"),OR(L244&lt;N244,L244="-"),OR(N244&lt;O244,N244="-"),O244&lt;Q244,OR(Q244&lt;R244,R244="-"),OR(R244&lt;T244,R244="-"),OR(T244&lt;U244,T244="-"),U244&lt;W244,OR(W244&lt;X244,X244="-"),OR(X244&lt;Z244,X244="-"),OR(Z244&lt;AA244,Z244="-"),AA244&lt;AC244,AC244&lt;AD244,AD244&lt;AF244,AF244&lt;AG244,AG244&lt;AI244,OR(AI244&lt;AJ244,AJ244="-"),OR(AJ244&lt;AL244,AJ244="-"))</f>
        <v>1</v>
      </c>
      <c r="AO244" s="3" t="str">
        <f>IF(ISERROR(MATCH(A244,'SegEnds_Xtal_Prot#'!B:B, 0)), "NoXtal", "Xtal")</f>
        <v>NoXtal</v>
      </c>
      <c r="AP244" s="3">
        <f>IF(ISERROR(F244-E244),"-",F244-E244)</f>
        <v>1</v>
      </c>
      <c r="AQ244" s="3">
        <f>IF(ISERROR(I244-H244),"-",I244-H244)</f>
        <v>1</v>
      </c>
      <c r="AR244" s="3">
        <f>IF(ISERROR(L244-K244),"-",L244-K244)</f>
        <v>2</v>
      </c>
      <c r="AS244" s="3">
        <f>IF(ISERROR(O244-N244),"-",O244-N244)</f>
        <v>1</v>
      </c>
      <c r="AT244" s="3">
        <f>IF(ISERROR(R244-Q244),"-",R244-Q244)</f>
        <v>1</v>
      </c>
      <c r="AU244" s="3">
        <f>IF(ISERROR(U244-T244),"-",U244-T244)</f>
        <v>1</v>
      </c>
      <c r="AV244" s="3">
        <f>IF(ISERROR(X244-W244),"-",X244-W244)</f>
        <v>20</v>
      </c>
      <c r="AW244" s="3">
        <f>IF(ISERROR(AA244-Z244),"-",AA244-Z244)</f>
        <v>2</v>
      </c>
      <c r="AX244" s="3">
        <f>IF(ISERROR(AD244-AC244),"-",AD244-AC244)</f>
        <v>11</v>
      </c>
      <c r="AY244" s="3">
        <f>IF(ISERROR(AG244-AF244),"-",AG244-AF244)</f>
        <v>5</v>
      </c>
      <c r="AZ244" s="3">
        <f>IF(ISERROR(AJ244-AI244),"-",AJ244-AI244)</f>
        <v>1</v>
      </c>
      <c r="BA244" s="3">
        <f>IF(ISERROR(LEN(VLOOKUP(A244,Seqs!A:E,2,FALSE))-AL244),"-",LEN(VLOOKUP(A244,Seqs!A:E,2,FALSE))-AL244)</f>
        <v>17</v>
      </c>
      <c r="BB244" s="16">
        <f>J244-D244</f>
        <v>28</v>
      </c>
      <c r="BC244" s="9">
        <f>IF(ISERROR(V244-S244),"-",V244-S244)</f>
        <v>20</v>
      </c>
      <c r="BD244" s="3">
        <f>J244-D244</f>
        <v>28</v>
      </c>
      <c r="BE244" s="3">
        <f>AE244-AB244</f>
        <v>64</v>
      </c>
      <c r="BF244" s="3">
        <f>AH244-AE244</f>
        <v>35</v>
      </c>
    </row>
    <row r="245" spans="1:58" s="3" customFormat="1" x14ac:dyDescent="0.2">
      <c r="A245" s="3" t="s">
        <v>393</v>
      </c>
      <c r="B245" s="3" t="str">
        <f>LOWER(VLOOKUP(A245,Xtal_Templ!A:B,2,FALSE))</f>
        <v>5ht1b_human</v>
      </c>
      <c r="C245" s="3">
        <f>VLOOKUP($A245,'SegEnds_NonXtal_BW#'!$A:$Z,3,FALSE)+D245-50</f>
        <v>29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>G245-2</f>
        <v>61</v>
      </c>
      <c r="G245" s="3">
        <v>63</v>
      </c>
      <c r="H245" s="3">
        <f>G245+1</f>
        <v>64</v>
      </c>
      <c r="I245" s="3">
        <f>H245+1</f>
        <v>65</v>
      </c>
      <c r="J245" s="3">
        <v>78</v>
      </c>
      <c r="K245" s="3">
        <f>VLOOKUP($A245,'SegEnds_NonXtal_BW#'!$A:$Z,8,FALSE)+VLOOKUP($A245,A:AL,10,FALSE)-50</f>
        <v>95</v>
      </c>
      <c r="L245" s="3">
        <f>M245-1</f>
        <v>97</v>
      </c>
      <c r="M245" s="3">
        <v>98</v>
      </c>
      <c r="N245" s="3">
        <f>M245+2</f>
        <v>100</v>
      </c>
      <c r="O245" s="3">
        <f>N245+1</f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3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>Y245+2</f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>AND(IF(Y245="-",IF(AA245-W245&gt;3,TRUE,FALSE),TRUE),IF(M245="-",IF(O245-K245&gt;3,TRUE,FALSE),TRUE),C245&lt;E245,OR(E245&lt;F245,F245="-"),OR(F245&lt;H245,F245="-"),OR(H245&lt;I245,H245="-"),I245&lt;K245,OR(K245&lt;L245,L245="-"),OR(L245&lt;N245,L245="-"),OR(N245&lt;O245,N245="-"),O245&lt;Q245,OR(Q245&lt;R245,R245="-"),OR(R245&lt;T245,R245="-"),OR(T245&lt;U245,T245="-"),U245&lt;W245,OR(W245&lt;X245,X245="-"),OR(X245&lt;Z245,X245="-"),OR(Z245&lt;AA245,Z245="-"),AA245&lt;AC245,AC245&lt;AD245,AD245&lt;AF245,AF245&lt;AG245,AG245&lt;AI245,OR(AI245&lt;AJ245,AJ245="-"),OR(AJ245&lt;AL245,AJ245="-"))</f>
        <v>1</v>
      </c>
      <c r="AO245" s="3" t="str">
        <f>IF(ISERROR(MATCH(A245,'SegEnds_Xtal_Prot#'!B:B, 0)), "NoXtal", "Xtal")</f>
        <v>NoXtal</v>
      </c>
      <c r="AP245" s="3">
        <f>IF(ISERROR(F245-E245),"-",F245-E245)</f>
        <v>1</v>
      </c>
      <c r="AQ245" s="3">
        <f>IF(ISERROR(I245-H245),"-",I245-H245)</f>
        <v>1</v>
      </c>
      <c r="AR245" s="3">
        <f>IF(ISERROR(L245-K245),"-",L245-K245)</f>
        <v>2</v>
      </c>
      <c r="AS245" s="3">
        <f>IF(ISERROR(O245-N245),"-",O245-N245)</f>
        <v>1</v>
      </c>
      <c r="AT245" s="3">
        <f>IF(ISERROR(R245-Q245),"-",R245-Q245)</f>
        <v>1</v>
      </c>
      <c r="AU245" s="3">
        <f>IF(ISERROR(U245-T245),"-",U245-T245)</f>
        <v>1</v>
      </c>
      <c r="AV245" s="3">
        <f>IF(ISERROR(X245-W245),"-",X245-W245)</f>
        <v>20</v>
      </c>
      <c r="AW245" s="3">
        <f>IF(ISERROR(AA245-Z245),"-",AA245-Z245)</f>
        <v>2</v>
      </c>
      <c r="AX245" s="3">
        <f>IF(ISERROR(AD245-AC245),"-",AD245-AC245)</f>
        <v>11</v>
      </c>
      <c r="AY245" s="3">
        <f>IF(ISERROR(AG245-AF245),"-",AG245-AF245)</f>
        <v>5</v>
      </c>
      <c r="AZ245" s="3">
        <f>IF(ISERROR(AJ245-AI245),"-",AJ245-AI245)</f>
        <v>1</v>
      </c>
      <c r="BA245" s="3">
        <f>IF(ISERROR(LEN(VLOOKUP(A245,Seqs!A:E,2,FALSE))-AL245),"-",LEN(VLOOKUP(A245,Seqs!A:E,2,FALSE))-AL245)</f>
        <v>22</v>
      </c>
      <c r="BB245" s="16">
        <f>J245-D245</f>
        <v>28</v>
      </c>
      <c r="BC245" s="9">
        <f>IF(ISERROR(V245-S245),"-",V245-S245)</f>
        <v>20</v>
      </c>
      <c r="BD245" s="3">
        <f>J245-D245</f>
        <v>28</v>
      </c>
      <c r="BE245" s="3">
        <f>AE245-AB245</f>
        <v>64</v>
      </c>
      <c r="BF245" s="3">
        <f>AH245-AE245</f>
        <v>35</v>
      </c>
    </row>
    <row r="246" spans="1:58" s="3" customFormat="1" x14ac:dyDescent="0.2">
      <c r="A246" s="3" t="s">
        <v>394</v>
      </c>
      <c r="B246" s="3" t="str">
        <f>LOWER(VLOOKUP(A246,Xtal_Templ!A:B,2,FALSE))</f>
        <v>oprx_human</v>
      </c>
      <c r="C246" s="3">
        <f>VLOOKUP($A246,'SegEnds_NonXtal_BW#'!$A:$Z,3,FALSE)+D246-50</f>
        <v>22</v>
      </c>
      <c r="D246" s="3">
        <v>43</v>
      </c>
      <c r="E246" s="3">
        <f>IF(ISERROR(VLOOKUP($A246,'SegEnds_NonXtal_BW#'!$A:$Z,4,FALSE)+VLOOKUP($A246,A:AL,4,FALSE)-50),"-",(VLOOKUP($A246,'SegEnds_NonXtal_BW#'!$A:$Z,4,FALSE)+VLOOKUP($A246,A:AL,4,FALSE)-50))</f>
        <v>53</v>
      </c>
      <c r="F246" s="3">
        <f>G246-2</f>
        <v>54</v>
      </c>
      <c r="G246" s="3">
        <v>56</v>
      </c>
      <c r="H246" s="3">
        <f>G246+1</f>
        <v>57</v>
      </c>
      <c r="I246" s="3">
        <f>H246+1</f>
        <v>58</v>
      </c>
      <c r="J246" s="3">
        <v>71</v>
      </c>
      <c r="K246" s="3">
        <f>VLOOKUP($A246,'SegEnds_NonXtal_BW#'!$A:$Z,8,FALSE)+VLOOKUP($A246,A:AL,10,FALSE)-50</f>
        <v>87</v>
      </c>
      <c r="L246" s="3">
        <f>M246-1</f>
        <v>90</v>
      </c>
      <c r="M246" s="3">
        <v>91</v>
      </c>
      <c r="N246" s="3">
        <f>M246+2</f>
        <v>93</v>
      </c>
      <c r="O246" s="3">
        <f>N246+1</f>
        <v>94</v>
      </c>
      <c r="P246" s="3">
        <v>123</v>
      </c>
      <c r="Q246" s="3">
        <f>VLOOKUP($A246,'SegEnds_NonXtal_BW#'!$A:$Z,12,FALSE)+VLOOKUP($A246,A:AL,16,FALSE)-50</f>
        <v>129</v>
      </c>
      <c r="R246" s="3">
        <f>IF(ISERROR(VLOOKUP($A246,'SegEnds_NonXtal_BW#'!$A:$Z,13,FALSE)+VLOOKUP($A246,A:AL,19,FALSE)-50),"-",VLOOKUP($A246,'SegEnds_NonXtal_BW#'!$A:$Z,13,FALSE)+VLOOKUP($A246,A:AL,19,FALSE)-50)</f>
        <v>130</v>
      </c>
      <c r="S246" s="3">
        <v>130</v>
      </c>
      <c r="T246" s="103">
        <f>IF(ISERROR(VLOOKUP($A246,'SegEnds_NonXtal_BW#'!$A:$Z,14,FALSE)+VLOOKUP($A246,A:AL,19,FALSE)-50),"-",(VLOOKUP($A246,'SegEnds_NonXtal_BW#'!$A:$Z,14,FALSE)+VLOOKUP($A246,A:AL,19,FALSE)-50))</f>
        <v>137</v>
      </c>
      <c r="U246" s="9">
        <f>IF(ISERROR(VLOOKUP($A246,'SegEnds_NonXtal_BW#'!$A:$Z,15,FALSE)+VLOOKUP($A246,A:AL,22,FALSE)-50),"-",VLOOKUP($A246,'SegEnds_NonXtal_BW#'!$A:$Z,15,FALSE)+VLOOKUP($A246,A:AL,22,FALSE)-50)</f>
        <v>138</v>
      </c>
      <c r="V246" s="3">
        <v>150</v>
      </c>
      <c r="W246" s="3">
        <f>IF(ISERROR(VLOOKUP($A246,'SegEnds_NonXtal_BW#'!$A:$Z,16,FALSE)+VLOOKUP($A246,A:AL,22,FALSE)-50),"-",(VLOOKUP($A246,'SegEnds_NonXtal_BW#'!$A:$Z,16,FALSE)+VLOOKUP($A246,A:AL,22,FALSE)-50))</f>
        <v>164</v>
      </c>
      <c r="X246" s="3">
        <f>IF(ISERROR(VLOOKUP($A246,'SegEnds_NonXtal_BW#'!$A:$Z,17,FALSE)+VLOOKUP($A246,A:AL,25,FALSE)-50),"-",(VLOOKUP($A246,'SegEnds_NonXtal_BW#'!$A:$Z,17,FALSE)+VLOOKUP($A246,A:AL,25,FALSE)-50))</f>
        <v>179</v>
      </c>
      <c r="Y246" s="3">
        <v>179</v>
      </c>
      <c r="Z246" s="3">
        <f>Y246+2</f>
        <v>181</v>
      </c>
      <c r="AA246" s="3">
        <f>IF(ISERROR(VLOOKUP($A246,'SegEnds_NonXtal_BW#'!$A:$Z,19,FALSE)+VLOOKUP($A246,A:AL,28,FALSE)-50),"-",(VLOOKUP($A246,'SegEnds_NonXtal_BW#'!$A:$Z,19,FALSE)+VLOOKUP($A246,A:AL,28,FALSE)-50))</f>
        <v>184</v>
      </c>
      <c r="AB246" s="3">
        <v>203</v>
      </c>
      <c r="AC246" s="3">
        <f>IF(ISERROR((VLOOKUP($A246,'SegEnds_NonXtal_BW#'!$A:$Z,20,FALSE)+VLOOKUP($A246,A:AL,28,FALSE)-50)),"-",(VLOOKUP($A246,'SegEnds_NonXtal_BW#'!$A:$Z,20,FALSE)+VLOOKUP($A246,A:AL,28,FALSE)-50))</f>
        <v>229</v>
      </c>
      <c r="AD246" s="3">
        <f>IF(ISERROR(VLOOKUP($A246,'SegEnds_NonXtal_BW#'!$A:$Z,21,FALSE)+VLOOKUP($A246,A:AL,31,FALSE)-50),"-",(VLOOKUP($A246,'SegEnds_NonXtal_BW#'!$A:$Z,21,FALSE)+VLOOKUP($A246,A:AL,31,FALSE)-50))</f>
        <v>255</v>
      </c>
      <c r="AE246" s="3">
        <v>281</v>
      </c>
      <c r="AF246" s="3">
        <f>IF(ISERROR((VLOOKUP($A246,'SegEnds_NonXtal_BW#'!$A:$Z,22,FALSE)+VLOOKUP($A246,A:AL,31,FALSE)-50)),"-",(VLOOKUP($A246,'SegEnds_NonXtal_BW#'!$A:$Z,22,FALSE)+VLOOKUP($A246,A:AL,31,FALSE)-50))</f>
        <v>292</v>
      </c>
      <c r="AG246" s="3">
        <f>IF(ISERROR(VLOOKUP($A246,'SegEnds_NonXtal_BW#'!$A:$Z,23,FALSE)+VLOOKUP($A246,A:AL,34,FALSE)-50),"-",(VLOOKUP($A246,'SegEnds_NonXtal_BW#'!$A:$Z,23,FALSE)+VLOOKUP($A246,A:AL,34,FALSE)-50))</f>
        <v>298</v>
      </c>
      <c r="AH246" s="3">
        <v>317</v>
      </c>
      <c r="AI246" s="3">
        <f>IF(ISERROR((VLOOKUP($A246,'SegEnds_NonXtal_BW#'!$A:$Z,24,FALSE)+VLOOKUP($A246,A:AL,34,FALSE)-50)),"-",(VLOOKUP($A246,'SegEnds_NonXtal_BW#'!$A:$Z,24,FALSE)+VLOOKUP($A246,A:AL,34,FALSE)-50))</f>
        <v>323</v>
      </c>
      <c r="AJ246" s="3">
        <f>IF(ISERROR(VLOOKUP($A246,'SegEnds_NonXtal_BW#'!$A:$Z,25,FALSE)+VLOOKUP($A246,A:AL,37,FALSE)-50),"-",(VLOOKUP($A246,'SegEnds_NonXtal_BW#'!$A:$Z,25,FALSE)+VLOOKUP($A246,A:AL,37,FALSE)-50))</f>
        <v>324</v>
      </c>
      <c r="AK246" s="3">
        <v>327</v>
      </c>
      <c r="AL246" s="3">
        <f>IF(ISERROR((VLOOKUP($A246,'SegEnds_NonXtal_BW#'!$A:$Z,26,FALSE)+VLOOKUP($A246,A:AL,37,FALSE)-50)),"-",(VLOOKUP($A246,'SegEnds_NonXtal_BW#'!$A:$Z,26,FALSE)+VLOOKUP($A246,A:AL,37,FALSE)-50))</f>
        <v>336</v>
      </c>
      <c r="AM246" s="28" t="str">
        <f>VLOOKUP(A246,Classification!A:B,2,FALSE)</f>
        <v>A</v>
      </c>
      <c r="AN246" s="28" t="b">
        <f>AND(IF(Y246="-",IF(AA246-W246&gt;3,TRUE,FALSE),TRUE),IF(M246="-",IF(O246-K246&gt;3,TRUE,FALSE),TRUE),C246&lt;E246,OR(E246&lt;F246,F246="-"),OR(F246&lt;H246,F246="-"),OR(H246&lt;I246,H246="-"),I246&lt;K246,OR(K246&lt;L246,L246="-"),OR(L246&lt;N246,L246="-"),OR(N246&lt;O246,N246="-"),O246&lt;Q246,OR(Q246&lt;R246,R246="-"),OR(R246&lt;T246,R246="-"),OR(T246&lt;U246,T246="-"),U246&lt;W246,OR(W246&lt;X246,X246="-"),OR(X246&lt;Z246,X246="-"),OR(Z246&lt;AA246,Z246="-"),AA246&lt;AC246,AC246&lt;AD246,AD246&lt;AF246,AF246&lt;AG246,AG246&lt;AI246,OR(AI246&lt;AJ246,AJ246="-"),OR(AJ246&lt;AL246,AJ246="-"))</f>
        <v>1</v>
      </c>
      <c r="AO246" s="3" t="str">
        <f>IF(ISERROR(MATCH(A246,'SegEnds_Xtal_Prot#'!B:B, 0)), "NoXtal", "Xtal")</f>
        <v>NoXtal</v>
      </c>
      <c r="AP246" s="3">
        <f>IF(ISERROR(F246-E246),"-",F246-E246)</f>
        <v>1</v>
      </c>
      <c r="AQ246" s="3">
        <f>IF(ISERROR(I246-H246),"-",I246-H246)</f>
        <v>1</v>
      </c>
      <c r="AR246" s="3">
        <f>IF(ISERROR(L246-K246),"-",L246-K246)</f>
        <v>3</v>
      </c>
      <c r="AS246" s="3">
        <f>IF(ISERROR(O246-N246),"-",O246-N246)</f>
        <v>1</v>
      </c>
      <c r="AT246" s="3">
        <f>IF(ISERROR(R246-Q246),"-",R246-Q246)</f>
        <v>1</v>
      </c>
      <c r="AU246" s="3">
        <f>IF(ISERROR(U246-T246),"-",U246-T246)</f>
        <v>1</v>
      </c>
      <c r="AV246" s="3">
        <f>IF(ISERROR(X246-W246),"-",X246-W246)</f>
        <v>15</v>
      </c>
      <c r="AW246" s="3">
        <f>IF(ISERROR(AA246-Z246),"-",AA246-Z246)</f>
        <v>3</v>
      </c>
      <c r="AX246" s="3">
        <f>IF(ISERROR(AD246-AC246),"-",AD246-AC246)</f>
        <v>26</v>
      </c>
      <c r="AY246" s="3">
        <f>IF(ISERROR(AG246-AF246),"-",AG246-AF246)</f>
        <v>6</v>
      </c>
      <c r="AZ246" s="3">
        <f>IF(ISERROR(AJ246-AI246),"-",AJ246-AI246)</f>
        <v>1</v>
      </c>
      <c r="BA246" s="3">
        <f>IF(ISERROR(LEN(VLOOKUP(A246,Seqs!A:E,2,FALSE))-AL246),"-",LEN(VLOOKUP(A246,Seqs!A:E,2,FALSE))-AL246)</f>
        <v>62</v>
      </c>
      <c r="BB246" s="16">
        <f>J246-D246</f>
        <v>28</v>
      </c>
      <c r="BC246" s="9">
        <f>IF(ISERROR(V246-S246),"-",V246-S246)</f>
        <v>20</v>
      </c>
      <c r="BD246" s="3">
        <f>J246-D246</f>
        <v>28</v>
      </c>
      <c r="BE246" s="3">
        <f>AE246-AB246</f>
        <v>78</v>
      </c>
    </row>
    <row r="247" spans="1:58" s="3" customFormat="1" x14ac:dyDescent="0.2">
      <c r="A247" s="3" t="s">
        <v>395</v>
      </c>
      <c r="B247" s="3" t="str">
        <f>LOWER(VLOOKUP(A247,Xtal_Templ!A:B,2,FALSE))</f>
        <v>aa2ar_human</v>
      </c>
      <c r="C247" s="3">
        <f>VLOOKUP($A247,'SegEnds_NonXtal_BW#'!$A:$Z,3,FALSE)+D247-50</f>
        <v>409</v>
      </c>
      <c r="D247" s="3">
        <v>432</v>
      </c>
      <c r="E247" s="3">
        <f>IF(ISERROR(VLOOKUP($A247,'SegEnds_NonXtal_BW#'!$A:$Z,4,FALSE)+VLOOKUP($A247,A:AL,4,FALSE)-50),"-",(VLOOKUP($A247,'SegEnds_NonXtal_BW#'!$A:$Z,4,FALSE)+VLOOKUP($A247,A:AL,4,FALSE)-50))</f>
        <v>442</v>
      </c>
      <c r="F247" s="3">
        <f>G247-2</f>
        <v>444</v>
      </c>
      <c r="G247" s="3">
        <v>446</v>
      </c>
      <c r="H247" s="3">
        <f>G247+1</f>
        <v>447</v>
      </c>
      <c r="I247" s="3">
        <f>H247+1</f>
        <v>448</v>
      </c>
      <c r="J247" s="3">
        <v>460</v>
      </c>
      <c r="K247" s="3">
        <f>VLOOKUP($A247,'SegEnds_NonXtal_BW#'!$A:$Z,8,FALSE)+VLOOKUP($A247,A:AL,10,FALSE)-50</f>
        <v>477</v>
      </c>
      <c r="L247" s="3">
        <f>M247-1</f>
        <v>487</v>
      </c>
      <c r="M247" s="3">
        <v>488</v>
      </c>
      <c r="N247" s="3">
        <f>M247+2</f>
        <v>490</v>
      </c>
      <c r="O247" s="3">
        <f>N247+1</f>
        <v>491</v>
      </c>
      <c r="P247" s="3">
        <v>519</v>
      </c>
      <c r="Q247" s="3">
        <f>VLOOKUP($A247,'SegEnds_NonXtal_BW#'!$A:$Z,12,FALSE)+VLOOKUP($A247,A:AL,16,FALSE)-50</f>
        <v>525</v>
      </c>
      <c r="R247" s="3">
        <f>IF(ISERROR(VLOOKUP($A247,'SegEnds_NonXtal_BW#'!$A:$Z,13,FALSE)+VLOOKUP($A247,A:AL,19,FALSE)-50),"-",VLOOKUP($A247,'SegEnds_NonXtal_BW#'!$A:$Z,13,FALSE)+VLOOKUP($A247,A:AL,19,FALSE)-50)</f>
        <v>526</v>
      </c>
      <c r="S247" s="3">
        <v>526</v>
      </c>
      <c r="T247" s="103">
        <f>IF(ISERROR(VLOOKUP($A247,'SegEnds_NonXtal_BW#'!$A:$Z,14,FALSE)+VLOOKUP($A247,A:AL,19,FALSE)-50),"-",(VLOOKUP($A247,'SegEnds_NonXtal_BW#'!$A:$Z,14,FALSE)+VLOOKUP($A247,A:AL,19,FALSE)-50))</f>
        <v>533</v>
      </c>
      <c r="U247" s="9">
        <f>IF(ISERROR(VLOOKUP($A247,'SegEnds_NonXtal_BW#'!$A:$Z,15,FALSE)+VLOOKUP($A247,A:AL,22,FALSE)-50),"-",VLOOKUP($A247,'SegEnds_NonXtal_BW#'!$A:$Z,15,FALSE)+VLOOKUP($A247,A:AL,22,FALSE)-50)</f>
        <v>534</v>
      </c>
      <c r="V247" s="3">
        <v>546</v>
      </c>
      <c r="W247" s="3">
        <f>IF(ISERROR(VLOOKUP($A247,'SegEnds_NonXtal_BW#'!$A:$Z,16,FALSE)+VLOOKUP($A247,A:AL,22,FALSE)-50),"-",(VLOOKUP($A247,'SegEnds_NonXtal_BW#'!$A:$Z,16,FALSE)+VLOOKUP($A247,A:AL,22,FALSE)-50))</f>
        <v>559</v>
      </c>
      <c r="X247" s="3">
        <f>IF(ISERROR(VLOOKUP($A247,'SegEnds_NonXtal_BW#'!$A:$Z,17,FALSE)+VLOOKUP($A247,A:AL,25,FALSE)-50),"-",(VLOOKUP($A247,'SegEnds_NonXtal_BW#'!$A:$Z,17,FALSE)+VLOOKUP($A247,A:AL,25,FALSE)-50))</f>
        <v>569</v>
      </c>
      <c r="Y247" s="3">
        <v>569</v>
      </c>
      <c r="Z247" s="3">
        <f>Y247+2</f>
        <v>571</v>
      </c>
      <c r="AA247" s="3">
        <f>IF(ISERROR(VLOOKUP($A247,'SegEnds_NonXtal_BW#'!$A:$Z,19,FALSE)+VLOOKUP($A247,A:AL,28,FALSE)-50),"-",(VLOOKUP($A247,'SegEnds_NonXtal_BW#'!$A:$Z,19,FALSE)+VLOOKUP($A247,A:AL,28,FALSE)-50))</f>
        <v>577</v>
      </c>
      <c r="AB247" s="3">
        <v>593</v>
      </c>
      <c r="AC247" s="3">
        <f>IF(ISERROR((VLOOKUP($A247,'SegEnds_NonXtal_BW#'!$A:$Z,20,FALSE)+VLOOKUP($A247,A:AL,28,FALSE)-50)),"-",(VLOOKUP($A247,'SegEnds_NonXtal_BW#'!$A:$Z,20,FALSE)+VLOOKUP($A247,A:AL,28,FALSE)-50))</f>
        <v>610</v>
      </c>
      <c r="AD247" s="3">
        <f>IF(ISERROR(VLOOKUP($A247,'SegEnds_NonXtal_BW#'!$A:$Z,21,FALSE)+VLOOKUP($A247,A:AL,31,FALSE)-50),"-",(VLOOKUP($A247,'SegEnds_NonXtal_BW#'!$A:$Z,21,FALSE)+VLOOKUP($A247,A:AL,31,FALSE)-50))</f>
        <v>615</v>
      </c>
      <c r="AE247" s="3">
        <v>639</v>
      </c>
      <c r="AF247" s="3">
        <f>IF(ISERROR((VLOOKUP($A247,'SegEnds_NonXtal_BW#'!$A:$Z,22,FALSE)+VLOOKUP($A247,A:AL,31,FALSE)-50)),"-",(VLOOKUP($A247,'SegEnds_NonXtal_BW#'!$A:$Z,22,FALSE)+VLOOKUP($A247,A:AL,31,FALSE)-50))</f>
        <v>650</v>
      </c>
      <c r="AG247" s="3">
        <f>IF(ISERROR(VLOOKUP($A247,'SegEnds_NonXtal_BW#'!$A:$Z,23,FALSE)+VLOOKUP($A247,A:AL,34,FALSE)-50),"-",(VLOOKUP($A247,'SegEnds_NonXtal_BW#'!$A:$Z,23,FALSE)+VLOOKUP($A247,A:AL,34,FALSE)-50))</f>
        <v>656</v>
      </c>
      <c r="AH247" s="3">
        <v>675</v>
      </c>
      <c r="AI247" s="3">
        <f>IF(ISERROR((VLOOKUP($A247,'SegEnds_NonXtal_BW#'!$A:$Z,24,FALSE)+VLOOKUP($A247,A:AL,34,FALSE)-50)),"-",(VLOOKUP($A247,'SegEnds_NonXtal_BW#'!$A:$Z,24,FALSE)+VLOOKUP($A247,A:AL,34,FALSE)-50))</f>
        <v>681</v>
      </c>
      <c r="AJ247" s="3">
        <f>IF(ISERROR(VLOOKUP($A247,'SegEnds_NonXtal_BW#'!$A:$Z,25,FALSE)+VLOOKUP($A247,A:AL,37,FALSE)-50),"-",(VLOOKUP($A247,'SegEnds_NonXtal_BW#'!$A:$Z,25,FALSE)+VLOOKUP($A247,A:AL,37,FALSE)-50))</f>
        <v>682</v>
      </c>
      <c r="AK247" s="3">
        <v>685</v>
      </c>
      <c r="AL247" s="3">
        <f>IF(ISERROR((VLOOKUP($A247,'SegEnds_NonXtal_BW#'!$A:$Z,26,FALSE)+VLOOKUP($A247,A:AL,37,FALSE)-50)),"-",(VLOOKUP($A247,'SegEnds_NonXtal_BW#'!$A:$Z,26,FALSE)+VLOOKUP($A247,A:AL,37,FALSE)-50))</f>
        <v>704</v>
      </c>
      <c r="AM247" s="28" t="str">
        <f>VLOOKUP(A247,Classification!A:B,2,FALSE)</f>
        <v>A</v>
      </c>
      <c r="AN247" s="28" t="b">
        <f>AND(IF(Y247="-",IF(AA247-W247&gt;3,TRUE,FALSE),TRUE),IF(M247="-",IF(O247-K247&gt;3,TRUE,FALSE),TRUE),C247&lt;E247,OR(E247&lt;F247,F247="-"),OR(F247&lt;H247,F247="-"),OR(H247&lt;I247,H247="-"),I247&lt;K247,OR(K247&lt;L247,L247="-"),OR(L247&lt;N247,L247="-"),OR(N247&lt;O247,N247="-"),O247&lt;Q247,OR(Q247&lt;R247,R247="-"),OR(R247&lt;T247,R247="-"),OR(T247&lt;U247,T247="-"),U247&lt;W247,OR(W247&lt;X247,X247="-"),OR(X247&lt;Z247,X247="-"),OR(Z247&lt;AA247,Z247="-"),AA247&lt;AC247,AC247&lt;AD247,AD247&lt;AF247,AF247&lt;AG247,AG247&lt;AI247,OR(AI247&lt;AJ247,AJ247="-"),OR(AJ247&lt;AL247,AJ247="-"))</f>
        <v>1</v>
      </c>
      <c r="AO247" s="3" t="str">
        <f>IF(ISERROR(MATCH(A247,'SegEnds_Xtal_Prot#'!B:B, 0)), "NoXtal", "Xtal")</f>
        <v>NoXtal</v>
      </c>
      <c r="AP247" s="3">
        <f>IF(ISERROR(F247-E247),"-",F247-E247)</f>
        <v>2</v>
      </c>
      <c r="AQ247" s="3">
        <f>IF(ISERROR(I247-H247),"-",I247-H247)</f>
        <v>1</v>
      </c>
      <c r="AR247" s="3">
        <f>IF(ISERROR(L247-K247),"-",L247-K247)</f>
        <v>10</v>
      </c>
      <c r="AS247" s="3">
        <f>IF(ISERROR(O247-N247),"-",O247-N247)</f>
        <v>1</v>
      </c>
      <c r="AT247" s="3">
        <f>IF(ISERROR(R247-Q247),"-",R247-Q247)</f>
        <v>1</v>
      </c>
      <c r="AU247" s="3">
        <f>IF(ISERROR(U247-T247),"-",U247-T247)</f>
        <v>1</v>
      </c>
      <c r="AV247" s="3">
        <f>IF(ISERROR(X247-W247),"-",X247-W247)</f>
        <v>10</v>
      </c>
      <c r="AW247" s="3">
        <f>IF(ISERROR(AA247-Z247),"-",AA247-Z247)</f>
        <v>6</v>
      </c>
      <c r="AX247" s="3">
        <f>IF(ISERROR(AD247-AC247),"-",AD247-AC247)</f>
        <v>5</v>
      </c>
      <c r="AY247" s="3">
        <f>IF(ISERROR(AG247-AF247),"-",AG247-AF247)</f>
        <v>6</v>
      </c>
      <c r="AZ247" s="3">
        <f>IF(ISERROR(AJ247-AI247),"-",AJ247-AI247)</f>
        <v>1</v>
      </c>
      <c r="BA247" s="3">
        <f>IF(ISERROR(LEN(VLOOKUP(A247,Seqs!A:E,2,FALSE))-AL247),"-",LEN(VLOOKUP(A247,Seqs!A:E,2,FALSE))-AL247)</f>
        <v>60</v>
      </c>
      <c r="BB247" s="16">
        <f>J247-D247</f>
        <v>28</v>
      </c>
      <c r="BC247" s="9">
        <f>IF(ISERROR(V247-S247),"-",V247-S247)</f>
        <v>20</v>
      </c>
      <c r="BD247" s="3">
        <f>J247-D247</f>
        <v>28</v>
      </c>
      <c r="BE247" s="3">
        <f>AE247-AB247</f>
        <v>46</v>
      </c>
    </row>
    <row r="248" spans="1:58" s="3" customFormat="1" x14ac:dyDescent="0.2">
      <c r="A248" s="3" t="s">
        <v>399</v>
      </c>
      <c r="B248" s="3" t="str">
        <f>LOWER(VLOOKUP(A248,Xtal_Templ!A:B,2,FALSE))</f>
        <v>ntr1_rat</v>
      </c>
      <c r="C248" s="3">
        <f>VLOOKUP($A248,'SegEnds_NonXtal_BW#'!$A:$Z,3,FALSE)+D248-50</f>
        <v>34</v>
      </c>
      <c r="D248" s="3">
        <v>55</v>
      </c>
      <c r="E248" s="3">
        <f>IF(ISERROR(VLOOKUP($A248,'SegEnds_NonXtal_BW#'!$A:$Z,4,FALSE)+VLOOKUP($A248,A:AL,4,FALSE)-50),"-",(VLOOKUP($A248,'SegEnds_NonXtal_BW#'!$A:$Z,4,FALSE)+VLOOKUP($A248,A:AL,4,FALSE)-50))</f>
        <v>65</v>
      </c>
      <c r="F248" s="3">
        <f>G248-2</f>
        <v>67</v>
      </c>
      <c r="G248" s="3">
        <v>69</v>
      </c>
      <c r="H248" s="3">
        <f>G248+1</f>
        <v>70</v>
      </c>
      <c r="I248" s="3">
        <f>H248+1</f>
        <v>71</v>
      </c>
      <c r="J248" s="3">
        <v>85</v>
      </c>
      <c r="K248" s="3">
        <f>VLOOKUP($A248,'SegEnds_NonXtal_BW#'!$A:$Z,8,FALSE)+VLOOKUP($A248,A:AL,10,FALSE)-50</f>
        <v>101</v>
      </c>
      <c r="L248" s="3">
        <f>M248-1</f>
        <v>102</v>
      </c>
      <c r="M248" s="3">
        <v>103</v>
      </c>
      <c r="N248" s="3">
        <f>M248+2</f>
        <v>105</v>
      </c>
      <c r="O248" s="3">
        <f>N248+1</f>
        <v>106</v>
      </c>
      <c r="P248" s="3">
        <v>137</v>
      </c>
      <c r="Q248" s="3">
        <f>VLOOKUP($A248,'SegEnds_NonXtal_BW#'!$A:$Z,12,FALSE)+VLOOKUP($A248,A:AL,16,FALSE)-50</f>
        <v>143</v>
      </c>
      <c r="R248" s="3">
        <f>IF(ISERROR(VLOOKUP($A248,'SegEnds_NonXtal_BW#'!$A:$Z,13,FALSE)+VLOOKUP($A248,A:AL,19,FALSE)-50),"-",VLOOKUP($A248,'SegEnds_NonXtal_BW#'!$A:$Z,13,FALSE)+VLOOKUP($A248,A:AL,19,FALSE)-50)</f>
        <v>144</v>
      </c>
      <c r="S248" s="3">
        <v>144</v>
      </c>
      <c r="T248" s="103">
        <f>IF(ISERROR(VLOOKUP($A248,'SegEnds_NonXtal_BW#'!$A:$Z,14,FALSE)+VLOOKUP($A248,A:AL,19,FALSE)-50),"-",(VLOOKUP($A248,'SegEnds_NonXtal_BW#'!$A:$Z,14,FALSE)+VLOOKUP($A248,A:AL,19,FALSE)-50))</f>
        <v>151</v>
      </c>
      <c r="U248" s="9">
        <f>IF(ISERROR(VLOOKUP($A248,'SegEnds_NonXtal_BW#'!$A:$Z,15,FALSE)+VLOOKUP($A248,A:AL,22,FALSE)-50),"-",VLOOKUP($A248,'SegEnds_NonXtal_BW#'!$A:$Z,15,FALSE)+VLOOKUP($A248,A:AL,22,FALSE)-50)</f>
        <v>152</v>
      </c>
      <c r="V248" s="3">
        <v>164</v>
      </c>
      <c r="W248" s="3">
        <f>IF(ISERROR(VLOOKUP($A248,'SegEnds_NonXtal_BW#'!$A:$Z,16,FALSE)+VLOOKUP($A248,A:AL,22,FALSE)-50),"-",(VLOOKUP($A248,'SegEnds_NonXtal_BW#'!$A:$Z,16,FALSE)+VLOOKUP($A248,A:AL,22,FALSE)-50))</f>
        <v>178</v>
      </c>
      <c r="X248" s="3">
        <f>IF(ISERROR(VLOOKUP($A248,'SegEnds_NonXtal_BW#'!$A:$Z,17,FALSE)+VLOOKUP($A248,A:AL,25,FALSE)-50),"-",(VLOOKUP($A248,'SegEnds_NonXtal_BW#'!$A:$Z,17,FALSE)+VLOOKUP($A248,A:AL,25,FALSE)-50))</f>
        <v>192</v>
      </c>
      <c r="Y248" s="3">
        <v>192</v>
      </c>
      <c r="Z248" s="3">
        <f>Y248+2</f>
        <v>194</v>
      </c>
      <c r="AA248" s="3">
        <f>IF(ISERROR(VLOOKUP($A248,'SegEnds_NonXtal_BW#'!$A:$Z,19,FALSE)+VLOOKUP($A248,A:AL,28,FALSE)-50),"-",(VLOOKUP($A248,'SegEnds_NonXtal_BW#'!$A:$Z,19,FALSE)+VLOOKUP($A248,A:AL,28,FALSE)-50))</f>
        <v>199</v>
      </c>
      <c r="AB248" s="3">
        <v>217</v>
      </c>
      <c r="AC248" s="3">
        <f>IF(ISERROR((VLOOKUP($A248,'SegEnds_NonXtal_BW#'!$A:$Z,20,FALSE)+VLOOKUP($A248,A:AL,28,FALSE)-50)),"-",(VLOOKUP($A248,'SegEnds_NonXtal_BW#'!$A:$Z,20,FALSE)+VLOOKUP($A248,A:AL,28,FALSE)-50))</f>
        <v>243</v>
      </c>
      <c r="AD248" s="3">
        <f>IF(ISERROR(VLOOKUP($A248,'SegEnds_NonXtal_BW#'!$A:$Z,21,FALSE)+VLOOKUP($A248,A:AL,31,FALSE)-50),"-",(VLOOKUP($A248,'SegEnds_NonXtal_BW#'!$A:$Z,21,FALSE)+VLOOKUP($A248,A:AL,31,FALSE)-50))</f>
        <v>260</v>
      </c>
      <c r="AE248" s="3">
        <v>286</v>
      </c>
      <c r="AF248" s="3">
        <f>IF(ISERROR((VLOOKUP($A248,'SegEnds_NonXtal_BW#'!$A:$Z,22,FALSE)+VLOOKUP($A248,A:AL,31,FALSE)-50)),"-",(VLOOKUP($A248,'SegEnds_NonXtal_BW#'!$A:$Z,22,FALSE)+VLOOKUP($A248,A:AL,31,FALSE)-50))</f>
        <v>297</v>
      </c>
      <c r="AG248" s="3">
        <f>IF(ISERROR(VLOOKUP($A248,'SegEnds_NonXtal_BW#'!$A:$Z,23,FALSE)+VLOOKUP($A248,A:AL,34,FALSE)-50),"-",(VLOOKUP($A248,'SegEnds_NonXtal_BW#'!$A:$Z,23,FALSE)+VLOOKUP($A248,A:AL,34,FALSE)-50))</f>
        <v>303</v>
      </c>
      <c r="AH248" s="3">
        <v>322</v>
      </c>
      <c r="AI248" s="3">
        <f>IF(ISERROR((VLOOKUP($A248,'SegEnds_NonXtal_BW#'!$A:$Z,24,FALSE)+VLOOKUP($A248,A:AL,34,FALSE)-50)),"-",(VLOOKUP($A248,'SegEnds_NonXtal_BW#'!$A:$Z,24,FALSE)+VLOOKUP($A248,A:AL,34,FALSE)-50))</f>
        <v>328</v>
      </c>
      <c r="AJ248" s="3">
        <f>IF(ISERROR(VLOOKUP($A248,'SegEnds_NonXtal_BW#'!$A:$Z,25,FALSE)+VLOOKUP($A248,A:AL,37,FALSE)-50),"-",(VLOOKUP($A248,'SegEnds_NonXtal_BW#'!$A:$Z,25,FALSE)+VLOOKUP($A248,A:AL,37,FALSE)-50))</f>
        <v>329</v>
      </c>
      <c r="AK248" s="3">
        <v>332</v>
      </c>
      <c r="AL248" s="3">
        <f>IF(ISERROR((VLOOKUP($A248,'SegEnds_NonXtal_BW#'!$A:$Z,26,FALSE)+VLOOKUP($A248,A:AL,37,FALSE)-50)),"-",(VLOOKUP($A248,'SegEnds_NonXtal_BW#'!$A:$Z,26,FALSE)+VLOOKUP($A248,A:AL,37,FALSE)-50))</f>
        <v>340</v>
      </c>
      <c r="AM248" s="28" t="str">
        <f>VLOOKUP(A248,Classification!A:B,2,FALSE)</f>
        <v>A</v>
      </c>
      <c r="AN248" s="28" t="b">
        <f>AND(IF(Y248="-",IF(AA248-W248&gt;3,TRUE,FALSE),TRUE),IF(M248="-",IF(O248-K248&gt;3,TRUE,FALSE),TRUE),C248&lt;E248,OR(E248&lt;F248,F248="-"),OR(F248&lt;H248,F248="-"),OR(H248&lt;I248,H248="-"),I248&lt;K248,OR(K248&lt;L248,L248="-"),OR(L248&lt;N248,L248="-"),OR(N248&lt;O248,N248="-"),O248&lt;Q248,OR(Q248&lt;R248,R248="-"),OR(R248&lt;T248,R248="-"),OR(T248&lt;U248,T248="-"),U248&lt;W248,OR(W248&lt;X248,X248="-"),OR(X248&lt;Z248,X248="-"),OR(Z248&lt;AA248,Z248="-"),AA248&lt;AC248,AC248&lt;AD248,AD248&lt;AF248,AF248&lt;AG248,AG248&lt;AI248,OR(AI248&lt;AJ248,AJ248="-"),OR(AJ248&lt;AL248,AJ248="-"))</f>
        <v>1</v>
      </c>
      <c r="AO248" s="3" t="str">
        <f>IF(ISERROR(MATCH(A248,'SegEnds_Xtal_Prot#'!B:B, 0)), "NoXtal", "Xtal")</f>
        <v>NoXtal</v>
      </c>
      <c r="AP248" s="3">
        <f>IF(ISERROR(F248-E248),"-",F248-E248)</f>
        <v>2</v>
      </c>
      <c r="AQ248" s="3">
        <f>IF(ISERROR(I248-H248),"-",I248-H248)</f>
        <v>1</v>
      </c>
      <c r="AR248" s="3">
        <f>IF(ISERROR(L248-K248),"-",L248-K248)</f>
        <v>1</v>
      </c>
      <c r="AS248" s="3">
        <f>IF(ISERROR(O248-N248),"-",O248-N248)</f>
        <v>1</v>
      </c>
      <c r="AT248" s="3">
        <f>IF(ISERROR(R248-Q248),"-",R248-Q248)</f>
        <v>1</v>
      </c>
      <c r="AU248" s="3">
        <f>IF(ISERROR(U248-T248),"-",U248-T248)</f>
        <v>1</v>
      </c>
      <c r="AV248" s="3">
        <f>IF(ISERROR(X248-W248),"-",X248-W248)</f>
        <v>14</v>
      </c>
      <c r="AW248" s="3">
        <f>IF(ISERROR(AA248-Z248),"-",AA248-Z248)</f>
        <v>5</v>
      </c>
      <c r="AX248" s="3">
        <f>IF(ISERROR(AD248-AC248),"-",AD248-AC248)</f>
        <v>17</v>
      </c>
      <c r="AY248" s="3">
        <f>IF(ISERROR(AG248-AF248),"-",AG248-AF248)</f>
        <v>6</v>
      </c>
      <c r="AZ248" s="3">
        <f>IF(ISERROR(AJ248-AI248),"-",AJ248-AI248)</f>
        <v>1</v>
      </c>
      <c r="BA248" s="3">
        <f>IF(ISERROR(LEN(VLOOKUP(A248,Seqs!A:E,2,FALSE))-AL248),"-",LEN(VLOOKUP(A248,Seqs!A:E,2,FALSE))-AL248)</f>
        <v>31</v>
      </c>
      <c r="BB248" s="16">
        <f>J248-D248</f>
        <v>30</v>
      </c>
      <c r="BC248" s="9">
        <f>IF(ISERROR(V248-S248),"-",V248-S248)</f>
        <v>20</v>
      </c>
      <c r="BD248" s="3">
        <f>J248-D248</f>
        <v>30</v>
      </c>
      <c r="BE248" s="3">
        <f>AE248-AB248</f>
        <v>69</v>
      </c>
    </row>
    <row r="249" spans="1:58" s="3" customFormat="1" x14ac:dyDescent="0.2">
      <c r="A249" s="3" t="s">
        <v>400</v>
      </c>
      <c r="B249" s="3" t="str">
        <f>LOWER(VLOOKUP(A249,Xtal_Templ!A:B,2,FALSE))</f>
        <v>ccr5_human</v>
      </c>
      <c r="C249" s="3">
        <f>VLOOKUP($A249,'SegEnds_NonXtal_BW#'!$A:$Z,3,FALSE)+D249-50</f>
        <v>23</v>
      </c>
      <c r="D249" s="3">
        <v>49</v>
      </c>
      <c r="E249" s="3">
        <f>IF(ISERROR(VLOOKUP($A249,'SegEnds_NonXtal_BW#'!$A:$Z,4,FALSE)+VLOOKUP($A249,A:AL,4,FALSE)-50),"-",(VLOOKUP($A249,'SegEnds_NonXtal_BW#'!$A:$Z,4,FALSE)+VLOOKUP($A249,A:AL,4,FALSE)-50))</f>
        <v>59</v>
      </c>
      <c r="F249" s="3">
        <f>G249-2</f>
        <v>60</v>
      </c>
      <c r="G249" s="3">
        <v>62</v>
      </c>
      <c r="H249" s="3">
        <f>G249+1</f>
        <v>63</v>
      </c>
      <c r="I249" s="3">
        <f>H249+1</f>
        <v>64</v>
      </c>
      <c r="J249" s="3">
        <v>77</v>
      </c>
      <c r="K249" s="3">
        <f>VLOOKUP($A249,'SegEnds_NonXtal_BW#'!$A:$Z,8,FALSE)+VLOOKUP($A249,A:AL,10,FALSE)-50</f>
        <v>93</v>
      </c>
      <c r="L249" s="3">
        <f>M249-1</f>
        <v>94</v>
      </c>
      <c r="M249" s="3">
        <v>95</v>
      </c>
      <c r="N249" s="3">
        <f>M249+2</f>
        <v>97</v>
      </c>
      <c r="O249" s="3">
        <f>N249+1</f>
        <v>98</v>
      </c>
      <c r="P249" s="3">
        <v>127</v>
      </c>
      <c r="Q249" s="3">
        <f>VLOOKUP($A249,'SegEnds_NonXtal_BW#'!$A:$Z,12,FALSE)+VLOOKUP($A249,A:AL,16,FALSE)-50</f>
        <v>133</v>
      </c>
      <c r="R249" s="3">
        <f>IF(ISERROR(VLOOKUP($A249,'SegEnds_NonXtal_BW#'!$A:$Z,13,FALSE)+VLOOKUP($A249,A:AL,19,FALSE)-50),"-",VLOOKUP($A249,'SegEnds_NonXtal_BW#'!$A:$Z,13,FALSE)+VLOOKUP($A249,A:AL,19,FALSE)-50)</f>
        <v>134</v>
      </c>
      <c r="S249" s="3">
        <v>134</v>
      </c>
      <c r="T249" s="103">
        <f>IF(ISERROR(VLOOKUP($A249,'SegEnds_NonXtal_BW#'!$A:$Z,14,FALSE)+VLOOKUP($A249,A:AL,19,FALSE)-50),"-",(VLOOKUP($A249,'SegEnds_NonXtal_BW#'!$A:$Z,14,FALSE)+VLOOKUP($A249,A:AL,19,FALSE)-50))</f>
        <v>141</v>
      </c>
      <c r="U249" s="9">
        <f>IF(ISERROR(VLOOKUP($A249,'SegEnds_NonXtal_BW#'!$A:$Z,15,FALSE)+VLOOKUP($A249,A:AL,22,FALSE)-50),"-",VLOOKUP($A249,'SegEnds_NonXtal_BW#'!$A:$Z,15,FALSE)+VLOOKUP($A249,A:AL,22,FALSE)-50)</f>
        <v>142</v>
      </c>
      <c r="V249" s="3">
        <v>154</v>
      </c>
      <c r="W249" s="3">
        <f>IF(ISERROR(VLOOKUP($A249,'SegEnds_NonXtal_BW#'!$A:$Z,16,FALSE)+VLOOKUP($A249,A:AL,22,FALSE)-50),"-",(VLOOKUP($A249,'SegEnds_NonXtal_BW#'!$A:$Z,16,FALSE)+VLOOKUP($A249,A:AL,22,FALSE)-50))</f>
        <v>168</v>
      </c>
      <c r="X249" s="3">
        <f>IF(ISERROR(VLOOKUP($A249,'SegEnds_NonXtal_BW#'!$A:$Z,17,FALSE)+VLOOKUP($A249,A:AL,25,FALSE)-50),"-",(VLOOKUP($A249,'SegEnds_NonXtal_BW#'!$A:$Z,17,FALSE)+VLOOKUP($A249,A:AL,25,FALSE)-50))</f>
        <v>175</v>
      </c>
      <c r="Y249" s="3">
        <v>175</v>
      </c>
      <c r="Z249" s="3">
        <f>Y249+2</f>
        <v>177</v>
      </c>
      <c r="AA249" s="3">
        <f>IF(ISERROR(VLOOKUP($A249,'SegEnds_NonXtal_BW#'!$A:$Z,19,FALSE)+VLOOKUP($A249,A:AL,28,FALSE)-50),"-",(VLOOKUP($A249,'SegEnds_NonXtal_BW#'!$A:$Z,19,FALSE)+VLOOKUP($A249,A:AL,28,FALSE)-50))</f>
        <v>182</v>
      </c>
      <c r="AB249" s="3">
        <v>197</v>
      </c>
      <c r="AC249" s="3">
        <f>IF(ISERROR((VLOOKUP($A249,'SegEnds_NonXtal_BW#'!$A:$Z,20,FALSE)+VLOOKUP($A249,A:AL,28,FALSE)-50)),"-",(VLOOKUP($A249,'SegEnds_NonXtal_BW#'!$A:$Z,20,FALSE)+VLOOKUP($A249,A:AL,28,FALSE)-50))</f>
        <v>215</v>
      </c>
      <c r="AD249" s="3">
        <f>IF(ISERROR(VLOOKUP($A249,'SegEnds_NonXtal_BW#'!$A:$Z,21,FALSE)+VLOOKUP($A249,A:AL,31,FALSE)-50),"-",(VLOOKUP($A249,'SegEnds_NonXtal_BW#'!$A:$Z,21,FALSE)+VLOOKUP($A249,A:AL,31,FALSE)-50))</f>
        <v>220</v>
      </c>
      <c r="AE249" s="3">
        <v>240</v>
      </c>
      <c r="AF249" s="3">
        <f>IF(ISERROR((VLOOKUP($A249,'SegEnds_NonXtal_BW#'!$A:$Z,22,FALSE)+VLOOKUP($A249,A:AL,31,FALSE)-50)),"-",(VLOOKUP($A249,'SegEnds_NonXtal_BW#'!$A:$Z,22,FALSE)+VLOOKUP($A249,A:AL,31,FALSE)-50))</f>
        <v>254</v>
      </c>
      <c r="AG249" s="3">
        <f>IF(ISERROR(VLOOKUP($A249,'SegEnds_NonXtal_BW#'!$A:$Z,23,FALSE)+VLOOKUP($A249,A:AL,34,FALSE)-50),"-",(VLOOKUP($A249,'SegEnds_NonXtal_BW#'!$A:$Z,23,FALSE)+VLOOKUP($A249,A:AL,34,FALSE)-50))</f>
        <v>258</v>
      </c>
      <c r="AH249" s="3">
        <v>284</v>
      </c>
      <c r="AI249" s="3">
        <f>IF(ISERROR((VLOOKUP($A249,'SegEnds_NonXtal_BW#'!$A:$Z,24,FALSE)+VLOOKUP($A249,A:AL,34,FALSE)-50)),"-",(VLOOKUP($A249,'SegEnds_NonXtal_BW#'!$A:$Z,24,FALSE)+VLOOKUP($A249,A:AL,34,FALSE)-50))</f>
        <v>290</v>
      </c>
      <c r="AJ249" s="3">
        <f>IF(ISERROR(VLOOKUP($A249,'SegEnds_NonXtal_BW#'!$A:$Z,25,FALSE)+VLOOKUP($A249,A:AL,37,FALSE)-50),"-",(VLOOKUP($A249,'SegEnds_NonXtal_BW#'!$A:$Z,25,FALSE)+VLOOKUP($A249,A:AL,37,FALSE)-50))</f>
        <v>291</v>
      </c>
      <c r="AK249" s="3">
        <v>294</v>
      </c>
      <c r="AL249" s="3">
        <f>IF(ISERROR((VLOOKUP($A249,'SegEnds_NonXtal_BW#'!$A:$Z,26,FALSE)+VLOOKUP($A249,A:AL,37,FALSE)-50)),"-",(VLOOKUP($A249,'SegEnds_NonXtal_BW#'!$A:$Z,26,FALSE)+VLOOKUP($A249,A:AL,37,FALSE)-50))</f>
        <v>303</v>
      </c>
      <c r="AM249" s="28" t="str">
        <f>VLOOKUP(A249,Classification!A:B,2,FALSE)</f>
        <v>A</v>
      </c>
      <c r="AN249" s="28" t="b">
        <f>AND(IF(Y249="-",IF(AA249-W249&gt;3,TRUE,FALSE),TRUE),IF(M249="-",IF(O249-K249&gt;3,TRUE,FALSE),TRUE),C249&lt;E249,OR(E249&lt;F249,F249="-"),OR(F249&lt;H249,F249="-"),OR(H249&lt;I249,H249="-"),I249&lt;K249,OR(K249&lt;L249,L249="-"),OR(L249&lt;N249,L249="-"),OR(N249&lt;O249,N249="-"),O249&lt;Q249,OR(Q249&lt;R249,R249="-"),OR(R249&lt;T249,R249="-"),OR(T249&lt;U249,T249="-"),U249&lt;W249,OR(W249&lt;X249,X249="-"),OR(X249&lt;Z249,X249="-"),OR(Z249&lt;AA249,Z249="-"),AA249&lt;AC249,AC249&lt;AD249,AD249&lt;AF249,AF249&lt;AG249,AG249&lt;AI249,OR(AI249&lt;AJ249,AJ249="-"),OR(AJ249&lt;AL249,AJ249="-"))</f>
        <v>1</v>
      </c>
      <c r="AO249" s="3" t="str">
        <f>IF(ISERROR(MATCH(A249,'SegEnds_Xtal_Prot#'!B:B, 0)), "NoXtal", "Xtal")</f>
        <v>NoXtal</v>
      </c>
      <c r="AP249" s="3">
        <f>IF(ISERROR(F249-E249),"-",F249-E249)</f>
        <v>1</v>
      </c>
      <c r="AQ249" s="3">
        <f>IF(ISERROR(I249-H249),"-",I249-H249)</f>
        <v>1</v>
      </c>
      <c r="AR249" s="3">
        <f>IF(ISERROR(L249-K249),"-",L249-K249)</f>
        <v>1</v>
      </c>
      <c r="AS249" s="3">
        <f>IF(ISERROR(O249-N249),"-",O249-N249)</f>
        <v>1</v>
      </c>
      <c r="AT249" s="3">
        <f>IF(ISERROR(R249-Q249),"-",R249-Q249)</f>
        <v>1</v>
      </c>
      <c r="AU249" s="3">
        <f>IF(ISERROR(U249-T249),"-",U249-T249)</f>
        <v>1</v>
      </c>
      <c r="AV249" s="3">
        <f>IF(ISERROR(X249-W249),"-",X249-W249)</f>
        <v>7</v>
      </c>
      <c r="AW249" s="3">
        <f>IF(ISERROR(AA249-Z249),"-",AA249-Z249)</f>
        <v>5</v>
      </c>
      <c r="AX249" s="3">
        <f>IF(ISERROR(AD249-AC249),"-",AD249-AC249)</f>
        <v>5</v>
      </c>
      <c r="AY249" s="3">
        <f>IF(ISERROR(AG249-AF249),"-",AG249-AF249)</f>
        <v>4</v>
      </c>
      <c r="AZ249" s="3">
        <f>IF(ISERROR(AJ249-AI249),"-",AJ249-AI249)</f>
        <v>1</v>
      </c>
      <c r="BA249" s="3">
        <f>IF(ISERROR(LEN(VLOOKUP(A249,Seqs!A:E,2,FALSE))-AL249),"-",LEN(VLOOKUP(A249,Seqs!A:E,2,FALSE))-AL249)</f>
        <v>30</v>
      </c>
      <c r="BB249" s="16">
        <f>J249-D249</f>
        <v>28</v>
      </c>
      <c r="BC249" s="9">
        <f>IF(ISERROR(V249-S249),"-",V249-S249)</f>
        <v>20</v>
      </c>
      <c r="BD249" s="3">
        <f>J249-D249</f>
        <v>28</v>
      </c>
      <c r="BE249" s="3">
        <f>AE249-AB249</f>
        <v>43</v>
      </c>
    </row>
    <row r="250" spans="1:58" s="3" customFormat="1" x14ac:dyDescent="0.2">
      <c r="A250" s="3" t="s">
        <v>178</v>
      </c>
      <c r="B250" s="3" t="str">
        <f>LOWER(VLOOKUP(A250,Xtal_Templ!A:B,2,FALSE))</f>
        <v>ccr5_human</v>
      </c>
      <c r="C250" s="3">
        <f>VLOOKUP($A250,'SegEnds_NonXtal_BW#'!$A:$Z,3,FALSE)+D250-50</f>
        <v>30</v>
      </c>
      <c r="D250" s="3">
        <v>56</v>
      </c>
      <c r="E250" s="3">
        <f>IF(ISERROR(VLOOKUP($A250,'SegEnds_NonXtal_BW#'!$A:$Z,4,FALSE)+VLOOKUP($A250,A:AL,4,FALSE)-50),"-",(VLOOKUP($A250,'SegEnds_NonXtal_BW#'!$A:$Z,4,FALSE)+VLOOKUP($A250,A:AL,4,FALSE)-50))</f>
        <v>66</v>
      </c>
      <c r="F250" s="3">
        <f>G250-2</f>
        <v>67</v>
      </c>
      <c r="G250" s="3">
        <v>69</v>
      </c>
      <c r="H250" s="3">
        <f>G250+1</f>
        <v>70</v>
      </c>
      <c r="I250" s="3">
        <f>H250+1</f>
        <v>71</v>
      </c>
      <c r="J250" s="3">
        <v>84</v>
      </c>
      <c r="K250" s="3">
        <f>VLOOKUP($A250,'SegEnds_NonXtal_BW#'!$A:$Z,8,FALSE)+VLOOKUP($A250,A:AL,10,FALSE)-50</f>
        <v>97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104</v>
      </c>
      <c r="P250" s="3">
        <v>128</v>
      </c>
      <c r="Q250" s="3">
        <f>VLOOKUP($A250,'SegEnds_NonXtal_BW#'!$A:$Z,12,FALSE)+VLOOKUP($A250,A:AL,16,FALSE)-50</f>
        <v>134</v>
      </c>
      <c r="R250" s="3">
        <f>IF(ISERROR(VLOOKUP($A250,'SegEnds_NonXtal_BW#'!$A:$Z,13,FALSE)+VLOOKUP($A250,A:AL,19,FALSE)-50),"-",VLOOKUP($A250,'SegEnds_NonXtal_BW#'!$A:$Z,13,FALSE)+VLOOKUP($A250,A:AL,19,FALSE)-50)</f>
        <v>135</v>
      </c>
      <c r="S250" s="3">
        <v>135</v>
      </c>
      <c r="T250" s="103">
        <f>IF(ISERROR(VLOOKUP($A250,'SegEnds_NonXtal_BW#'!$A:$Z,14,FALSE)+VLOOKUP($A250,A:AL,19,FALSE)-50),"-",(VLOOKUP($A250,'SegEnds_NonXtal_BW#'!$A:$Z,14,FALSE)+VLOOKUP($A250,A:AL,19,FALSE)-50))</f>
        <v>143</v>
      </c>
      <c r="U250" s="9">
        <f>IF(ISERROR(VLOOKUP($A250,'SegEnds_NonXtal_BW#'!$A:$Z,15,FALSE)+VLOOKUP($A250,A:AL,22,FALSE)-50),"-",VLOOKUP($A250,'SegEnds_NonXtal_BW#'!$A:$Z,15,FALSE)+VLOOKUP($A250,A:AL,22,FALSE)-50)</f>
        <v>144</v>
      </c>
      <c r="V250" s="3">
        <v>156</v>
      </c>
      <c r="W250" s="3">
        <f>IF(ISERROR(VLOOKUP($A250,'SegEnds_NonXtal_BW#'!$A:$Z,16,FALSE)+VLOOKUP($A250,A:AL,22,FALSE)-50),"-",(VLOOKUP($A250,'SegEnds_NonXtal_BW#'!$A:$Z,16,FALSE)+VLOOKUP($A250,A:AL,22,FALSE)-50))</f>
        <v>170</v>
      </c>
      <c r="X250" s="3">
        <f>IF(ISERROR(VLOOKUP($A250,'SegEnds_NonXtal_BW#'!$A:$Z,17,FALSE)+VLOOKUP($A250,A:AL,25,FALSE)-50),"-",(VLOOKUP($A250,'SegEnds_NonXtal_BW#'!$A:$Z,17,FALSE)+VLOOKUP($A250,A:AL,25,FALSE)-50))</f>
        <v>181</v>
      </c>
      <c r="Y250" s="3">
        <v>181</v>
      </c>
      <c r="Z250" s="3">
        <f>Y250+2</f>
        <v>183</v>
      </c>
      <c r="AA250" s="3">
        <f>IF(ISERROR(VLOOKUP($A250,'SegEnds_NonXtal_BW#'!$A:$Z,19,FALSE)+VLOOKUP($A250,A:AL,28,FALSE)-50),"-",(VLOOKUP($A250,'SegEnds_NonXtal_BW#'!$A:$Z,19,FALSE)+VLOOKUP($A250,A:AL,28,FALSE)-50))</f>
        <v>192</v>
      </c>
      <c r="AB250" s="3">
        <v>212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233</v>
      </c>
      <c r="AE250" s="3">
        <v>253</v>
      </c>
      <c r="AF250" s="3">
        <f>IF(ISERROR((VLOOKUP($A250,'SegEnds_NonXtal_BW#'!$A:$Z,22,FALSE)+VLOOKUP($A250,A:AL,31,FALSE)-50)),"-",(VLOOKUP($A250,'SegEnds_NonXtal_BW#'!$A:$Z,22,FALSE)+VLOOKUP($A250,A:AL,31,FALSE)-50))</f>
        <v>267</v>
      </c>
      <c r="AG250" s="3">
        <f>IF(ISERROR(VLOOKUP($A250,'SegEnds_NonXtal_BW#'!$A:$Z,23,FALSE)+VLOOKUP($A250,A:AL,34,FALSE)-50),"-",(VLOOKUP($A250,'SegEnds_NonXtal_BW#'!$A:$Z,23,FALSE)+VLOOKUP($A250,A:AL,34,FALSE)-50))</f>
        <v>271</v>
      </c>
      <c r="AH250" s="3">
        <v>297</v>
      </c>
      <c r="AI250" s="3">
        <f>IF(ISERROR((VLOOKUP($A250,'SegEnds_NonXtal_BW#'!$A:$Z,24,FALSE)+VLOOKUP($A250,A:AL,34,FALSE)-50)),"-",(VLOOKUP($A250,'SegEnds_NonXtal_BW#'!$A:$Z,24,FALSE)+VLOOKUP($A250,A:AL,34,FALSE)-50))</f>
        <v>303</v>
      </c>
      <c r="AJ250" s="3">
        <f>IF(ISERROR(VLOOKUP($A250,'SegEnds_NonXtal_BW#'!$A:$Z,25,FALSE)+VLOOKUP($A250,A:AL,37,FALSE)-50),"-",(VLOOKUP($A250,'SegEnds_NonXtal_BW#'!$A:$Z,25,FALSE)+VLOOKUP($A250,A:AL,37,FALSE)-50))</f>
        <v>304</v>
      </c>
      <c r="AK250" s="3">
        <v>307</v>
      </c>
      <c r="AL250" s="3">
        <f>IF(ISERROR((VLOOKUP($A250,'SegEnds_NonXtal_BW#'!$A:$Z,26,FALSE)+VLOOKUP($A250,A:AL,37,FALSE)-50)),"-",(VLOOKUP($A250,'SegEnds_NonXtal_BW#'!$A:$Z,26,FALSE)+VLOOKUP($A250,A:AL,37,FALSE)-50))</f>
        <v>316</v>
      </c>
      <c r="AM250" s="28" t="str">
        <f>VLOOKUP(A250,Classification!A:B,2,FALSE)</f>
        <v>A</v>
      </c>
      <c r="AN250" s="28" t="b">
        <f>AND(IF(Y250="-",IF(AA250-W250&gt;3,TRUE,FALSE),TRUE),IF(M250="-",IF(O250-K250&gt;3,TRUE,FALSE),TRUE),C250&lt;E250,OR(E250&lt;F250,F250="-"),OR(F250&lt;H250,F250="-"),OR(H250&lt;I250,H250="-"),I250&lt;K250,OR(K250&lt;L250,L250="-"),OR(L250&lt;N250,L250="-"),OR(N250&lt;O250,N250="-"),O250&lt;Q250,OR(Q250&lt;R250,R250="-"),OR(R250&lt;T250,R250="-"),OR(T250&lt;U250,T250="-"),U250&lt;W250,OR(W250&lt;X250,X250="-"),OR(X250&lt;Z250,X250="-"),OR(Z250&lt;AA250,Z250="-"),AA250&lt;AC250,AC250&lt;AD250,AD250&lt;AF250,AF250&lt;AG250,AG250&lt;AI250,OR(AI250&lt;AJ250,AJ250="-"),OR(AJ250&lt;AL250,AJ250="-"))</f>
        <v>1</v>
      </c>
      <c r="AO250" s="3" t="str">
        <f>IF(ISERROR(MATCH(A250,'SegEnds_Xtal_Prot#'!B:B, 0)), "NoXtal", "Xtal")</f>
        <v>NoXtal</v>
      </c>
      <c r="AP250" s="3">
        <f>IF(ISERROR(F250-E250),"-",F250-E250)</f>
        <v>1</v>
      </c>
      <c r="AQ250" s="3">
        <f>IF(ISERROR(I250-H250),"-",I250-H250)</f>
        <v>1</v>
      </c>
      <c r="AR250" s="3" t="str">
        <f>IF(ISERROR(L250-K250),"-",L250-K250)</f>
        <v>-</v>
      </c>
      <c r="AS250" s="3" t="str">
        <f>IF(ISERROR(O250-N250),"-",O250-N250)</f>
        <v>-</v>
      </c>
      <c r="AT250" s="3">
        <f>IF(ISERROR(R250-Q250),"-",R250-Q250)</f>
        <v>1</v>
      </c>
      <c r="AU250" s="3">
        <f>IF(ISERROR(U250-T250),"-",U250-T250)</f>
        <v>1</v>
      </c>
      <c r="AV250" s="3">
        <f>IF(ISERROR(X250-W250),"-",X250-W250)</f>
        <v>11</v>
      </c>
      <c r="AW250" s="3">
        <f>IF(ISERROR(AA250-Z250),"-",AA250-Z250)</f>
        <v>9</v>
      </c>
      <c r="AX250" s="3">
        <f>IF(ISERROR(AD250-AC250),"-",AD250-AC250)</f>
        <v>4</v>
      </c>
      <c r="AY250" s="3">
        <f>IF(ISERROR(AG250-AF250),"-",AG250-AF250)</f>
        <v>4</v>
      </c>
      <c r="AZ250" s="3">
        <f>IF(ISERROR(AJ250-AI250),"-",AJ250-AI250)</f>
        <v>1</v>
      </c>
      <c r="BA250" s="3">
        <f>IF(ISERROR(LEN(VLOOKUP(A250,Seqs!A:E,2,FALSE))-AL250),"-",LEN(VLOOKUP(A250,Seqs!A:E,2,FALSE))-AL250)</f>
        <v>28</v>
      </c>
      <c r="BB250" s="16">
        <f>J250-D250</f>
        <v>28</v>
      </c>
      <c r="BC250" s="9">
        <f>IF(ISERROR(V250-S250),"-",V250-S250)</f>
        <v>21</v>
      </c>
      <c r="BD250" s="3">
        <f>J250-D250</f>
        <v>28</v>
      </c>
      <c r="BE250" s="3">
        <f>AE250-AB250</f>
        <v>41</v>
      </c>
      <c r="BF250" s="3">
        <f>AH250-AE250</f>
        <v>44</v>
      </c>
    </row>
    <row r="251" spans="1:58" s="3" customFormat="1" x14ac:dyDescent="0.2">
      <c r="A251" s="3" t="s">
        <v>191</v>
      </c>
      <c r="B251" s="3" t="str">
        <f>LOWER(VLOOKUP(A251,Xtal_Templ!A:B,2,FALSE))</f>
        <v>drd3_human</v>
      </c>
      <c r="C251" s="3">
        <f>VLOOKUP($A251,'SegEnds_NonXtal_BW#'!$A:$Z,3,FALSE)+D251-50</f>
        <v>31</v>
      </c>
      <c r="D251" s="3">
        <v>52</v>
      </c>
      <c r="E251" s="3">
        <f>IF(ISERROR(VLOOKUP($A251,'SegEnds_NonXtal_BW#'!$A:$Z,4,FALSE)+VLOOKUP($A251,A:AL,4,FALSE)-50),"-",(VLOOKUP($A251,'SegEnds_NonXtal_BW#'!$A:$Z,4,FALSE)+VLOOKUP($A251,A:AL,4,FALSE)-50))</f>
        <v>62</v>
      </c>
      <c r="F251" s="3">
        <f>G251-2</f>
        <v>63</v>
      </c>
      <c r="G251" s="3">
        <v>65</v>
      </c>
      <c r="H251" s="3">
        <f>G251+1</f>
        <v>66</v>
      </c>
      <c r="I251" s="3">
        <f>H251+1</f>
        <v>67</v>
      </c>
      <c r="J251" s="3">
        <v>80</v>
      </c>
      <c r="K251" s="3">
        <f>VLOOKUP($A251,'SegEnds_NonXtal_BW#'!$A:$Z,8,FALSE)+VLOOKUP($A251,A:AL,10,FALSE)-50</f>
        <v>97</v>
      </c>
      <c r="L251" s="3">
        <f>M251-1</f>
        <v>99</v>
      </c>
      <c r="M251" s="3">
        <v>100</v>
      </c>
      <c r="N251" s="3">
        <f>M251+2</f>
        <v>102</v>
      </c>
      <c r="O251" s="3">
        <f>N251+1</f>
        <v>103</v>
      </c>
      <c r="P251" s="3">
        <v>132</v>
      </c>
      <c r="Q251" s="3">
        <f>VLOOKUP($A251,'SegEnds_NonXtal_BW#'!$A:$Z,12,FALSE)+VLOOKUP($A251,A:AL,16,FALSE)-50</f>
        <v>138</v>
      </c>
      <c r="R251" s="3">
        <f>IF(ISERROR(VLOOKUP($A251,'SegEnds_NonXtal_BW#'!$A:$Z,13,FALSE)+VLOOKUP($A251,A:AL,19,FALSE)-50),"-",VLOOKUP($A251,'SegEnds_NonXtal_BW#'!$A:$Z,13,FALSE)+VLOOKUP($A251,A:AL,19,FALSE)-50)</f>
        <v>139</v>
      </c>
      <c r="S251" s="3">
        <v>139</v>
      </c>
      <c r="T251" s="103">
        <f>IF(ISERROR(VLOOKUP($A251,'SegEnds_NonXtal_BW#'!$A:$Z,14,FALSE)+VLOOKUP($A251,A:AL,19,FALSE)-50),"-",(VLOOKUP($A251,'SegEnds_NonXtal_BW#'!$A:$Z,14,FALSE)+VLOOKUP($A251,A:AL,19,FALSE)-50))</f>
        <v>147</v>
      </c>
      <c r="U251" s="9">
        <f>IF(ISERROR(VLOOKUP($A251,'SegEnds_NonXtal_BW#'!$A:$Z,15,FALSE)+VLOOKUP($A251,A:AL,22,FALSE)-50),"-",VLOOKUP($A251,'SegEnds_NonXtal_BW#'!$A:$Z,15,FALSE)+VLOOKUP($A251,A:AL,22,FALSE)-50)</f>
        <v>148</v>
      </c>
      <c r="V251" s="3">
        <v>160</v>
      </c>
      <c r="W251" s="3">
        <f>IF(ISERROR(VLOOKUP($A251,'SegEnds_NonXtal_BW#'!$A:$Z,16,FALSE)+VLOOKUP($A251,A:AL,22,FALSE)-50),"-",(VLOOKUP($A251,'SegEnds_NonXtal_BW#'!$A:$Z,16,FALSE)+VLOOKUP($A251,A:AL,22,FALSE)-50))</f>
        <v>173</v>
      </c>
      <c r="X251" s="3">
        <f>IF(ISERROR(VLOOKUP($A251,'SegEnds_NonXtal_BW#'!$A:$Z,17,FALSE)+VLOOKUP($A251,A:AL,25,FALSE)-50),"-",(VLOOKUP($A251,'SegEnds_NonXtal_BW#'!$A:$Z,17,FALSE)+VLOOKUP($A251,A:AL,25,FALSE)-50))</f>
        <v>182</v>
      </c>
      <c r="Y251" s="3">
        <v>182</v>
      </c>
      <c r="Z251" s="3">
        <f>Y251+2</f>
        <v>184</v>
      </c>
      <c r="AA251" s="3">
        <f>IF(ISERROR(VLOOKUP($A251,'SegEnds_NonXtal_BW#'!$A:$Z,19,FALSE)+VLOOKUP($A251,A:AL,28,FALSE)-50),"-",(VLOOKUP($A251,'SegEnds_NonXtal_BW#'!$A:$Z,19,FALSE)+VLOOKUP($A251,A:AL,28,FALSE)-50))</f>
        <v>186</v>
      </c>
      <c r="AB251" s="3">
        <v>201</v>
      </c>
      <c r="AC251" s="3">
        <f>IF(ISERROR((VLOOKUP($A251,'SegEnds_NonXtal_BW#'!$A:$Z,20,FALSE)+VLOOKUP($A251,A:AL,28,FALSE)-50)),"-",(VLOOKUP($A251,'SegEnds_NonXtal_BW#'!$A:$Z,20,FALSE)+VLOOKUP($A251,A:AL,28,FALSE)-50))</f>
        <v>226</v>
      </c>
      <c r="AD251" s="3">
        <f>IF(ISERROR(VLOOKUP($A251,'SegEnds_NonXtal_BW#'!$A:$Z,21,FALSE)+VLOOKUP($A251,A:AL,31,FALSE)-50),"-",(VLOOKUP($A251,'SegEnds_NonXtal_BW#'!$A:$Z,21,FALSE)+VLOOKUP($A251,A:AL,31,FALSE)-50))</f>
        <v>362</v>
      </c>
      <c r="AE251" s="3">
        <v>388</v>
      </c>
      <c r="AF251" s="3">
        <f>IF(ISERROR((VLOOKUP($A251,'SegEnds_NonXtal_BW#'!$A:$Z,22,FALSE)+VLOOKUP($A251,A:AL,31,FALSE)-50)),"-",(VLOOKUP($A251,'SegEnds_NonXtal_BW#'!$A:$Z,22,FALSE)+VLOOKUP($A251,A:AL,31,FALSE)-50))</f>
        <v>399</v>
      </c>
      <c r="AG251" s="3">
        <f>IF(ISERROR(VLOOKUP($A251,'SegEnds_NonXtal_BW#'!$A:$Z,23,FALSE)+VLOOKUP($A251,A:AL,34,FALSE)-50),"-",(VLOOKUP($A251,'SegEnds_NonXtal_BW#'!$A:$Z,23,FALSE)+VLOOKUP($A251,A:AL,34,FALSE)-50))</f>
        <v>404</v>
      </c>
      <c r="AH251" s="3">
        <v>423</v>
      </c>
      <c r="AI251" s="3">
        <f>IF(ISERROR((VLOOKUP($A251,'SegEnds_NonXtal_BW#'!$A:$Z,24,FALSE)+VLOOKUP($A251,A:AL,34,FALSE)-50)),"-",(VLOOKUP($A251,'SegEnds_NonXtal_BW#'!$A:$Z,24,FALSE)+VLOOKUP($A251,A:AL,34,FALSE)-50))</f>
        <v>429</v>
      </c>
      <c r="AJ251" s="3">
        <f>IF(ISERROR(VLOOKUP($A251,'SegEnds_NonXtal_BW#'!$A:$Z,25,FALSE)+VLOOKUP($A251,A:AL,37,FALSE)-50),"-",(VLOOKUP($A251,'SegEnds_NonXtal_BW#'!$A:$Z,25,FALSE)+VLOOKUP($A251,A:AL,37,FALSE)-50))</f>
        <v>430</v>
      </c>
      <c r="AK251" s="3">
        <v>433</v>
      </c>
      <c r="AL251" s="3">
        <f>IF(ISERROR((VLOOKUP($A251,'SegEnds_NonXtal_BW#'!$A:$Z,26,FALSE)+VLOOKUP($A251,A:AL,37,FALSE)-50)),"-",(VLOOKUP($A251,'SegEnds_NonXtal_BW#'!$A:$Z,26,FALSE)+VLOOKUP($A251,A:AL,37,FALSE)-50))</f>
        <v>442</v>
      </c>
      <c r="AM251" s="28" t="str">
        <f>VLOOKUP(A251,Classification!A:B,2,FALSE)</f>
        <v>A</v>
      </c>
      <c r="AN251" s="28" t="b">
        <f>AND(IF(Y251="-",IF(AA251-W251&gt;3,TRUE,FALSE),TRUE),IF(M251="-",IF(O251-K251&gt;3,TRUE,FALSE),TRUE),C251&lt;E251,OR(E251&lt;F251,F251="-"),OR(F251&lt;H251,F251="-"),OR(H251&lt;I251,H251="-"),I251&lt;K251,OR(K251&lt;L251,L251="-"),OR(L251&lt;N251,L251="-"),OR(N251&lt;O251,N251="-"),O251&lt;Q251,OR(Q251&lt;R251,R251="-"),OR(R251&lt;T251,R251="-"),OR(T251&lt;U251,T251="-"),U251&lt;W251,OR(W251&lt;X251,X251="-"),OR(X251&lt;Z251,X251="-"),OR(Z251&lt;AA251,Z251="-"),AA251&lt;AC251,AC251&lt;AD251,AD251&lt;AF251,AF251&lt;AG251,AG251&lt;AI251,OR(AI251&lt;AJ251,AJ251="-"),OR(AJ251&lt;AL251,AJ251="-"))</f>
        <v>1</v>
      </c>
      <c r="AO251" s="3" t="str">
        <f>IF(ISERROR(MATCH(A251,'SegEnds_Xtal_Prot#'!B:B, 0)), "NoXtal", "Xtal")</f>
        <v>NoXtal</v>
      </c>
      <c r="AP251" s="3">
        <f>IF(ISERROR(F251-E251),"-",F251-E251)</f>
        <v>1</v>
      </c>
      <c r="AQ251" s="3">
        <f>IF(ISERROR(I251-H251),"-",I251-H251)</f>
        <v>1</v>
      </c>
      <c r="AR251" s="3">
        <f>IF(ISERROR(L251-K251),"-",L251-K251)</f>
        <v>2</v>
      </c>
      <c r="AS251" s="3">
        <f>IF(ISERROR(O251-N251),"-",O251-N251)</f>
        <v>1</v>
      </c>
      <c r="AT251" s="3">
        <f>IF(ISERROR(R251-Q251),"-",R251-Q251)</f>
        <v>1</v>
      </c>
      <c r="AU251" s="3">
        <f>IF(ISERROR(U251-T251),"-",U251-T251)</f>
        <v>1</v>
      </c>
      <c r="AV251" s="3">
        <f>IF(ISERROR(X251-W251),"-",X251-W251)</f>
        <v>9</v>
      </c>
      <c r="AW251" s="3">
        <f>IF(ISERROR(AA251-Z251),"-",AA251-Z251)</f>
        <v>2</v>
      </c>
      <c r="AX251" s="3">
        <f>IF(ISERROR(AD251-AC251),"-",AD251-AC251)</f>
        <v>136</v>
      </c>
      <c r="AY251" s="3">
        <f>IF(ISERROR(AG251-AF251),"-",AG251-AF251)</f>
        <v>5</v>
      </c>
      <c r="AZ251" s="3">
        <f>IF(ISERROR(AJ251-AI251),"-",AJ251-AI251)</f>
        <v>1</v>
      </c>
      <c r="BA251" s="3">
        <f>IF(ISERROR(LEN(VLOOKUP(A251,Seqs!A:E,2,FALSE))-AL251),"-",LEN(VLOOKUP(A251,Seqs!A:E,2,FALSE))-AL251)</f>
        <v>1</v>
      </c>
      <c r="BB251" s="16">
        <f>J251-D251</f>
        <v>28</v>
      </c>
      <c r="BC251" s="9">
        <f>IF(ISERROR(V251-S251),"-",V251-S251)</f>
        <v>21</v>
      </c>
      <c r="BD251" s="3">
        <f>J251-D251</f>
        <v>28</v>
      </c>
      <c r="BE251" s="3">
        <f>AE251-AB251</f>
        <v>187</v>
      </c>
      <c r="BF251" s="3">
        <f>AH251-AE251</f>
        <v>35</v>
      </c>
    </row>
    <row r="252" spans="1:58" s="3" customFormat="1" x14ac:dyDescent="0.2">
      <c r="A252" s="3" t="s">
        <v>248</v>
      </c>
      <c r="B252" s="3" t="str">
        <f>LOWER(VLOOKUP(A252,Xtal_Templ!A:B,2,FALSE))</f>
        <v>ox1r_human</v>
      </c>
      <c r="C252" s="3">
        <f>VLOOKUP($A252,'SegEnds_NonXtal_BW#'!$A:$Z,3,FALSE)+D252-50</f>
        <v>18</v>
      </c>
      <c r="D252" s="3">
        <v>36</v>
      </c>
      <c r="E252" s="3">
        <f>IF(ISERROR(VLOOKUP($A252,'SegEnds_NonXtal_BW#'!$A:$Z,4,FALSE)+VLOOKUP($A252,A:AL,4,FALSE)-50),"-",(VLOOKUP($A252,'SegEnds_NonXtal_BW#'!$A:$Z,4,FALSE)+VLOOKUP($A252,A:AL,4,FALSE)-50))</f>
        <v>46</v>
      </c>
      <c r="F252" s="3">
        <f>G252-2</f>
        <v>47</v>
      </c>
      <c r="G252" s="3">
        <v>49</v>
      </c>
      <c r="H252" s="3">
        <f>G252+1</f>
        <v>50</v>
      </c>
      <c r="I252" s="3">
        <f>H252+1</f>
        <v>51</v>
      </c>
      <c r="J252" s="3">
        <v>64</v>
      </c>
      <c r="K252" s="3">
        <f>VLOOKUP($A252,'SegEnds_NonXtal_BW#'!$A:$Z,8,FALSE)+VLOOKUP($A252,A:AL,10,FALSE)-50</f>
        <v>81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88</v>
      </c>
      <c r="P252" s="3">
        <v>120</v>
      </c>
      <c r="Q252" s="3">
        <f>VLOOKUP($A252,'SegEnds_NonXtal_BW#'!$A:$Z,12,FALSE)+VLOOKUP($A252,A:AL,16,FALSE)-50</f>
        <v>126</v>
      </c>
      <c r="R252" s="3">
        <f>IF(ISERROR(VLOOKUP($A252,'SegEnds_NonXtal_BW#'!$A:$Z,13,FALSE)+VLOOKUP($A252,A:AL,19,FALSE)-50),"-",VLOOKUP($A252,'SegEnds_NonXtal_BW#'!$A:$Z,13,FALSE)+VLOOKUP($A252,A:AL,19,FALSE)-50)</f>
        <v>127</v>
      </c>
      <c r="S252" s="3">
        <v>127</v>
      </c>
      <c r="T252" s="103">
        <f>IF(ISERROR(VLOOKUP($A252,'SegEnds_NonXtal_BW#'!$A:$Z,14,FALSE)+VLOOKUP($A252,A:AL,19,FALSE)-50),"-",(VLOOKUP($A252,'SegEnds_NonXtal_BW#'!$A:$Z,14,FALSE)+VLOOKUP($A252,A:AL,19,FALSE)-50))</f>
        <v>135</v>
      </c>
      <c r="U252" s="9">
        <f>IF(ISERROR(VLOOKUP($A252,'SegEnds_NonXtal_BW#'!$A:$Z,15,FALSE)+VLOOKUP($A252,A:AL,22,FALSE)-50),"-",VLOOKUP($A252,'SegEnds_NonXtal_BW#'!$A:$Z,15,FALSE)+VLOOKUP($A252,A:AL,22,FALSE)-50)</f>
        <v>136</v>
      </c>
      <c r="V252" s="3">
        <v>148</v>
      </c>
      <c r="W252" s="3">
        <f>IF(ISERROR(VLOOKUP($A252,'SegEnds_NonXtal_BW#'!$A:$Z,16,FALSE)+VLOOKUP($A252,A:AL,22,FALSE)-50),"-",(VLOOKUP($A252,'SegEnds_NonXtal_BW#'!$A:$Z,16,FALSE)+VLOOKUP($A252,A:AL,22,FALSE)-50))</f>
        <v>162</v>
      </c>
      <c r="X252" s="3">
        <f>IF(ISERROR(VLOOKUP($A252,'SegEnds_NonXtal_BW#'!$A:$Z,17,FALSE)+VLOOKUP($A252,A:AL,25,FALSE)-50),"-",(VLOOKUP($A252,'SegEnds_NonXtal_BW#'!$A:$Z,17,FALSE)+VLOOKUP($A252,A:AL,25,FALSE)-50))</f>
        <v>171</v>
      </c>
      <c r="Y252" s="3">
        <v>171</v>
      </c>
      <c r="Z252" s="3">
        <f>Y252+2</f>
        <v>173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189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273</v>
      </c>
      <c r="AE252" s="3">
        <v>299</v>
      </c>
      <c r="AF252" s="3">
        <f>IF(ISERROR((VLOOKUP($A252,'SegEnds_NonXtal_BW#'!$A:$Z,22,FALSE)+VLOOKUP($A252,A:AL,31,FALSE)-50)),"-",(VLOOKUP($A252,'SegEnds_NonXtal_BW#'!$A:$Z,22,FALSE)+VLOOKUP($A252,A:AL,31,FALSE)-50))</f>
        <v>310</v>
      </c>
      <c r="AG252" s="3">
        <f>IF(ISERROR(VLOOKUP($A252,'SegEnds_NonXtal_BW#'!$A:$Z,23,FALSE)+VLOOKUP($A252,A:AL,34,FALSE)-50),"-",(VLOOKUP($A252,'SegEnds_NonXtal_BW#'!$A:$Z,23,FALSE)+VLOOKUP($A252,A:AL,34,FALSE)-50))</f>
        <v>316</v>
      </c>
      <c r="AH252" s="3">
        <v>335</v>
      </c>
      <c r="AI252" s="3">
        <f>IF(ISERROR((VLOOKUP($A252,'SegEnds_NonXtal_BW#'!$A:$Z,24,FALSE)+VLOOKUP($A252,A:AL,34,FALSE)-50)),"-",(VLOOKUP($A252,'SegEnds_NonXtal_BW#'!$A:$Z,24,FALSE)+VLOOKUP($A252,A:AL,34,FALSE)-50))</f>
        <v>341</v>
      </c>
      <c r="AJ252" s="3">
        <f>IF(ISERROR(VLOOKUP($A252,'SegEnds_NonXtal_BW#'!$A:$Z,25,FALSE)+VLOOKUP($A252,A:AL,37,FALSE)-50),"-",(VLOOKUP($A252,'SegEnds_NonXtal_BW#'!$A:$Z,25,FALSE)+VLOOKUP($A252,A:AL,37,FALSE)-50))</f>
        <v>342</v>
      </c>
      <c r="AK252" s="3">
        <v>345</v>
      </c>
      <c r="AL252" s="3">
        <f>IF(ISERROR((VLOOKUP($A252,'SegEnds_NonXtal_BW#'!$A:$Z,26,FALSE)+VLOOKUP($A252,A:AL,37,FALSE)-50)),"-",(VLOOKUP($A252,'SegEnds_NonXtal_BW#'!$A:$Z,26,FALSE)+VLOOKUP($A252,A:AL,37,FALSE)-50))</f>
        <v>353</v>
      </c>
      <c r="AM252" s="28" t="str">
        <f>VLOOKUP(A252,Classification!A:B,2,FALSE)</f>
        <v>A</v>
      </c>
      <c r="AN252" s="28" t="b">
        <f>AND(IF(Y252="-",IF(AA252-W252&gt;3,TRUE,FALSE),TRUE),IF(M252="-",IF(O252-K252&gt;3,TRUE,FALSE),TRUE),C252&lt;E252,OR(E252&lt;F252,F252="-"),OR(F252&lt;H252,F252="-"),OR(H252&lt;I252,H252="-"),I252&lt;K252,OR(K252&lt;L252,L252="-"),OR(L252&lt;N252,L252="-"),OR(N252&lt;O252,N252="-"),O252&lt;Q252,OR(Q252&lt;R252,R252="-"),OR(R252&lt;T252,R252="-"),OR(T252&lt;U252,T252="-"),U252&lt;W252,OR(W252&lt;X252,X252="-"),OR(X252&lt;Z252,X252="-"),OR(Z252&lt;AA252,Z252="-"),AA252&lt;AC252,AC252&lt;AD252,AD252&lt;AF252,AF252&lt;AG252,AG252&lt;AI252,OR(AI252&lt;AJ252,AJ252="-"),OR(AJ252&lt;AL252,AJ252="-"))</f>
        <v>1</v>
      </c>
      <c r="AO252" s="3" t="str">
        <f>IF(ISERROR(MATCH(A252,'SegEnds_Xtal_Prot#'!B:B, 0)), "NoXtal", "Xtal")</f>
        <v>NoXtal</v>
      </c>
      <c r="AP252" s="3">
        <f>IF(ISERROR(F252-E252),"-",F252-E252)</f>
        <v>1</v>
      </c>
      <c r="AQ252" s="3">
        <f>IF(ISERROR(I252-H252),"-",I252-H252)</f>
        <v>1</v>
      </c>
      <c r="AR252" s="3" t="str">
        <f>IF(ISERROR(L252-K252),"-",L252-K252)</f>
        <v>-</v>
      </c>
      <c r="AS252" s="3" t="str">
        <f>IF(ISERROR(O252-N252),"-",O252-N252)</f>
        <v>-</v>
      </c>
      <c r="AT252" s="3">
        <f>IF(ISERROR(R252-Q252),"-",R252-Q252)</f>
        <v>1</v>
      </c>
      <c r="AU252" s="3">
        <f>IF(ISERROR(U252-T252),"-",U252-T252)</f>
        <v>1</v>
      </c>
      <c r="AV252" s="3">
        <f>IF(ISERROR(X252-W252),"-",X252-W252)</f>
        <v>9</v>
      </c>
      <c r="AW252" s="3">
        <f>IF(ISERROR(AA252-Z252),"-",AA252-Z252)</f>
        <v>1</v>
      </c>
      <c r="AX252" s="3">
        <f>IF(ISERROR(AD252-AC252),"-",AD252-AC252)</f>
        <v>58</v>
      </c>
      <c r="AY252" s="3">
        <f>IF(ISERROR(AG252-AF252),"-",AG252-AF252)</f>
        <v>6</v>
      </c>
      <c r="AZ252" s="3">
        <f>IF(ISERROR(AJ252-AI252),"-",AJ252-AI252)</f>
        <v>1</v>
      </c>
      <c r="BA252" s="3">
        <f>IF(ISERROR(LEN(VLOOKUP(A252,Seqs!A:E,2,FALSE))-AL252),"-",LEN(VLOOKUP(A252,Seqs!A:E,2,FALSE))-AL252)</f>
        <v>22</v>
      </c>
      <c r="BB252" s="16">
        <f>J252-D252</f>
        <v>28</v>
      </c>
      <c r="BC252" s="9">
        <f>IF(ISERROR(V252-S252),"-",V252-S252)</f>
        <v>21</v>
      </c>
      <c r="BD252" s="3">
        <f>J252-D252</f>
        <v>28</v>
      </c>
      <c r="BE252" s="3">
        <f>AE252-AB252</f>
        <v>110</v>
      </c>
      <c r="BF252" s="3">
        <f>AH252-AE252</f>
        <v>36</v>
      </c>
    </row>
    <row r="253" spans="1:58" s="3" customFormat="1" x14ac:dyDescent="0.2">
      <c r="A253" s="3" t="s">
        <v>280</v>
      </c>
      <c r="B253" s="3" t="str">
        <f>LOWER(VLOOKUP(A253,Xtal_Templ!A:B,2,FALSE))</f>
        <v>hrh1_human</v>
      </c>
      <c r="C253" s="3">
        <f>VLOOKUP($A253,'SegEnds_NonXtal_BW#'!$A:$Z,3,FALSE)+D253-50</f>
        <v>36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>G253-2</f>
        <v>63</v>
      </c>
      <c r="G253" s="3">
        <v>65</v>
      </c>
      <c r="H253" s="3">
        <f>G253+1</f>
        <v>66</v>
      </c>
      <c r="I253" s="3">
        <f>H253+1</f>
        <v>67</v>
      </c>
      <c r="J253" s="3">
        <v>80</v>
      </c>
      <c r="K253" s="3">
        <f>VLOOKUP($A253,'SegEnds_NonXtal_BW#'!$A:$Z,8,FALSE)+VLOOKUP($A253,A:AL,10,FALSE)-50</f>
        <v>97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3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173</v>
      </c>
      <c r="X253" s="3">
        <f>IF(ISERROR(VLOOKUP($A253,'SegEnds_NonXtal_BW#'!$A:$Z,17,FALSE)+VLOOKUP($A253,A:AL,25,FALSE)-50),"-",(VLOOKUP($A253,'SegEnds_NonXtal_BW#'!$A:$Z,17,FALSE)+VLOOKUP($A253,A:AL,25,FALSE)-50))</f>
        <v>188</v>
      </c>
      <c r="Y253" s="3">
        <v>188</v>
      </c>
      <c r="Z253" s="3">
        <f>Y253+2</f>
        <v>190</v>
      </c>
      <c r="AA253" s="3">
        <f>IF(ISERROR(VLOOKUP($A253,'SegEnds_NonXtal_BW#'!$A:$Z,19,FALSE)+VLOOKUP($A253,A:AL,28,FALSE)-50),"-",(VLOOKUP($A253,'SegEnds_NonXtal_BW#'!$A:$Z,19,FALSE)+VLOOKUP($A253,A:AL,28,FALSE)-50))</f>
        <v>195</v>
      </c>
      <c r="AB253" s="3">
        <v>210</v>
      </c>
      <c r="AC253" s="3">
        <f>IF(ISERROR((VLOOKUP($A253,'SegEnds_NonXtal_BW#'!$A:$Z,20,FALSE)+VLOOKUP($A253,A:AL,28,FALSE)-50)),"-",(VLOOKUP($A253,'SegEnds_NonXtal_BW#'!$A:$Z,20,FALSE)+VLOOKUP($A253,A:AL,28,FALSE)-50))</f>
        <v>235</v>
      </c>
      <c r="AD253" s="3">
        <f>IF(ISERROR(VLOOKUP($A253,'SegEnds_NonXtal_BW#'!$A:$Z,21,FALSE)+VLOOKUP($A253,A:AL,31,FALSE)-50),"-",(VLOOKUP($A253,'SegEnds_NonXtal_BW#'!$A:$Z,21,FALSE)+VLOOKUP($A253,A:AL,31,FALSE)-50))</f>
        <v>347</v>
      </c>
      <c r="AE253" s="3">
        <v>373</v>
      </c>
      <c r="AF253" s="3">
        <f>IF(ISERROR((VLOOKUP($A253,'SegEnds_NonXtal_BW#'!$A:$Z,22,FALSE)+VLOOKUP($A253,A:AL,31,FALSE)-50)),"-",(VLOOKUP($A253,'SegEnds_NonXtal_BW#'!$A:$Z,22,FALSE)+VLOOKUP($A253,A:AL,31,FALSE)-50))</f>
        <v>384</v>
      </c>
      <c r="AG253" s="3">
        <f>IF(ISERROR(VLOOKUP($A253,'SegEnds_NonXtal_BW#'!$A:$Z,23,FALSE)+VLOOKUP($A253,A:AL,34,FALSE)-50),"-",(VLOOKUP($A253,'SegEnds_NonXtal_BW#'!$A:$Z,23,FALSE)+VLOOKUP($A253,A:AL,34,FALSE)-50))</f>
        <v>390</v>
      </c>
      <c r="AH253" s="3">
        <v>409</v>
      </c>
      <c r="AI253" s="3">
        <f>IF(ISERROR((VLOOKUP($A253,'SegEnds_NonXtal_BW#'!$A:$Z,24,FALSE)+VLOOKUP($A253,A:AL,34,FALSE)-50)),"-",(VLOOKUP($A253,'SegEnds_NonXtal_BW#'!$A:$Z,24,FALSE)+VLOOKUP($A253,A:AL,34,FALSE)-50))</f>
        <v>415</v>
      </c>
      <c r="AJ253" s="3">
        <f>IF(ISERROR(VLOOKUP($A253,'SegEnds_NonXtal_BW#'!$A:$Z,25,FALSE)+VLOOKUP($A253,A:AL,37,FALSE)-50),"-",(VLOOKUP($A253,'SegEnds_NonXtal_BW#'!$A:$Z,25,FALSE)+VLOOKUP($A253,A:AL,37,FALSE)-50))</f>
        <v>416</v>
      </c>
      <c r="AK253" s="3">
        <v>419</v>
      </c>
      <c r="AL253" s="3">
        <f>IF(ISERROR((VLOOKUP($A253,'SegEnds_NonXtal_BW#'!$A:$Z,26,FALSE)+VLOOKUP($A253,A:AL,37,FALSE)-50)),"-",(VLOOKUP($A253,'SegEnds_NonXtal_BW#'!$A:$Z,26,FALSE)+VLOOKUP($A253,A:AL,37,FALSE)-50))</f>
        <v>428</v>
      </c>
      <c r="AM253" s="28" t="str">
        <f>VLOOKUP(A253,Classification!A:B,2,FALSE)</f>
        <v>A</v>
      </c>
      <c r="AN253" s="28" t="b">
        <f>AND(IF(Y253="-",IF(AA253-W253&gt;3,TRUE,FALSE),TRUE),IF(M253="-",IF(O253-K253&gt;3,TRUE,FALSE),TRUE),C253&lt;E253,OR(E253&lt;F253,F253="-"),OR(F253&lt;H253,F253="-"),OR(H253&lt;I253,H253="-"),I253&lt;K253,OR(K253&lt;L253,L253="-"),OR(L253&lt;N253,L253="-"),OR(N253&lt;O253,N253="-"),O253&lt;Q253,OR(Q253&lt;R253,R253="-"),OR(R253&lt;T253,R253="-"),OR(T253&lt;U253,T253="-"),U253&lt;W253,OR(W253&lt;X253,X253="-"),OR(X253&lt;Z253,X253="-"),OR(Z253&lt;AA253,Z253="-"),AA253&lt;AC253,AC253&lt;AD253,AD253&lt;AF253,AF253&lt;AG253,AG253&lt;AI253,OR(AI253&lt;AJ253,AJ253="-"),OR(AJ253&lt;AL253,AJ253="-"))</f>
        <v>1</v>
      </c>
      <c r="AO253" s="3" t="str">
        <f>IF(ISERROR(MATCH(A253,'SegEnds_Xtal_Prot#'!B:B, 0)), "NoXtal", "Xtal")</f>
        <v>NoXtal</v>
      </c>
      <c r="AP253" s="3">
        <f>IF(ISERROR(F253-E253),"-",F253-E253)</f>
        <v>1</v>
      </c>
      <c r="AQ253" s="3">
        <f>IF(ISERROR(I253-H253),"-",I253-H253)</f>
        <v>1</v>
      </c>
      <c r="AR253" s="3">
        <f>IF(ISERROR(L253-K253),"-",L253-K253)</f>
        <v>2</v>
      </c>
      <c r="AS253" s="3">
        <f>IF(ISERROR(O253-N253),"-",O253-N253)</f>
        <v>1</v>
      </c>
      <c r="AT253" s="3">
        <f>IF(ISERROR(R253-Q253),"-",R253-Q253)</f>
        <v>1</v>
      </c>
      <c r="AU253" s="3">
        <f>IF(ISERROR(U253-T253),"-",U253-T253)</f>
        <v>1</v>
      </c>
      <c r="AV253" s="3">
        <f>IF(ISERROR(X253-W253),"-",X253-W253)</f>
        <v>15</v>
      </c>
      <c r="AW253" s="3">
        <f>IF(ISERROR(AA253-Z253),"-",AA253-Z253)</f>
        <v>5</v>
      </c>
      <c r="AX253" s="3">
        <f>IF(ISERROR(AD253-AC253),"-",AD253-AC253)</f>
        <v>112</v>
      </c>
      <c r="AY253" s="3">
        <f>IF(ISERROR(AG253-AF253),"-",AG253-AF253)</f>
        <v>6</v>
      </c>
      <c r="AZ253" s="3">
        <f>IF(ISERROR(AJ253-AI253),"-",AJ253-AI253)</f>
        <v>1</v>
      </c>
      <c r="BA253" s="3">
        <f>IF(ISERROR(LEN(VLOOKUP(A253,Seqs!A:E,2,FALSE))-AL253),"-",LEN(VLOOKUP(A253,Seqs!A:E,2,FALSE))-AL253)</f>
        <v>17</v>
      </c>
      <c r="BB253" s="16">
        <f>J253-D253</f>
        <v>28</v>
      </c>
      <c r="BC253" s="9">
        <f>IF(ISERROR(V253-S253),"-",V253-S253)</f>
        <v>21</v>
      </c>
      <c r="BD253" s="3">
        <f>J253-D253</f>
        <v>28</v>
      </c>
      <c r="BE253" s="3">
        <f>AE253-AB253</f>
        <v>163</v>
      </c>
      <c r="BF253" s="3">
        <f>AH253-AE253</f>
        <v>36</v>
      </c>
    </row>
    <row r="254" spans="1:58" s="3" customFormat="1" x14ac:dyDescent="0.2">
      <c r="A254" s="3" t="s">
        <v>281</v>
      </c>
      <c r="B254" s="3" t="str">
        <f>LOWER(VLOOKUP(A254,Xtal_Templ!A:B,2,FALSE))</f>
        <v>acm3_rat</v>
      </c>
      <c r="C254" s="3">
        <f>VLOOKUP($A254,'SegEnds_NonXtal_BW#'!$A:$Z,3,FALSE)+D254-50</f>
        <v>12</v>
      </c>
      <c r="D254" s="3">
        <v>33</v>
      </c>
      <c r="E254" s="3">
        <f>IF(ISERROR(VLOOKUP($A254,'SegEnds_NonXtal_BW#'!$A:$Z,4,FALSE)+VLOOKUP($A254,A:AL,4,FALSE)-50),"-",(VLOOKUP($A254,'SegEnds_NonXtal_BW#'!$A:$Z,4,FALSE)+VLOOKUP($A254,A:AL,4,FALSE)-50))</f>
        <v>43</v>
      </c>
      <c r="F254" s="3">
        <f>G254-2</f>
        <v>44</v>
      </c>
      <c r="G254" s="3">
        <v>46</v>
      </c>
      <c r="H254" s="3">
        <f>G254+1</f>
        <v>47</v>
      </c>
      <c r="I254" s="3">
        <f>H254+1</f>
        <v>48</v>
      </c>
      <c r="J254" s="3">
        <v>61</v>
      </c>
      <c r="K254" s="3">
        <f>VLOOKUP($A254,'SegEnds_NonXtal_BW#'!$A:$Z,8,FALSE)+VLOOKUP($A254,A:AL,10,FALSE)-50</f>
        <v>77</v>
      </c>
      <c r="L254" s="3">
        <f>M254-1</f>
        <v>79</v>
      </c>
      <c r="M254" s="3">
        <v>80</v>
      </c>
      <c r="N254" s="3">
        <f>M254+2</f>
        <v>82</v>
      </c>
      <c r="O254" s="3">
        <f>N254+1</f>
        <v>83</v>
      </c>
      <c r="P254" s="3">
        <v>112</v>
      </c>
      <c r="Q254" s="3">
        <f>VLOOKUP($A254,'SegEnds_NonXtal_BW#'!$A:$Z,12,FALSE)+VLOOKUP($A254,A:AL,16,FALSE)-50</f>
        <v>118</v>
      </c>
      <c r="R254" s="3">
        <f>IF(ISERROR(VLOOKUP($A254,'SegEnds_NonXtal_BW#'!$A:$Z,13,FALSE)+VLOOKUP($A254,A:AL,19,FALSE)-50),"-",VLOOKUP($A254,'SegEnds_NonXtal_BW#'!$A:$Z,13,FALSE)+VLOOKUP($A254,A:AL,19,FALSE)-50)</f>
        <v>119</v>
      </c>
      <c r="S254" s="3">
        <v>119</v>
      </c>
      <c r="T254" s="103">
        <f>IF(ISERROR(VLOOKUP($A254,'SegEnds_NonXtal_BW#'!$A:$Z,14,FALSE)+VLOOKUP($A254,A:AL,19,FALSE)-50),"-",(VLOOKUP($A254,'SegEnds_NonXtal_BW#'!$A:$Z,14,FALSE)+VLOOKUP($A254,A:AL,19,FALSE)-50))</f>
        <v>127</v>
      </c>
      <c r="U254" s="9">
        <f>IF(ISERROR(VLOOKUP($A254,'SegEnds_NonXtal_BW#'!$A:$Z,15,FALSE)+VLOOKUP($A254,A:AL,22,FALSE)-50),"-",VLOOKUP($A254,'SegEnds_NonXtal_BW#'!$A:$Z,15,FALSE)+VLOOKUP($A254,A:AL,22,FALSE)-50)</f>
        <v>128</v>
      </c>
      <c r="V254" s="3">
        <v>140</v>
      </c>
      <c r="W254" s="3">
        <f>IF(ISERROR(VLOOKUP($A254,'SegEnds_NonXtal_BW#'!$A:$Z,16,FALSE)+VLOOKUP($A254,A:AL,22,FALSE)-50),"-",(VLOOKUP($A254,'SegEnds_NonXtal_BW#'!$A:$Z,16,FALSE)+VLOOKUP($A254,A:AL,22,FALSE)-50))</f>
        <v>153</v>
      </c>
      <c r="X254" s="3">
        <f>IF(ISERROR(VLOOKUP($A254,'SegEnds_NonXtal_BW#'!$A:$Z,17,FALSE)+VLOOKUP($A254,A:AL,25,FALSE)-50),"-",(VLOOKUP($A254,'SegEnds_NonXtal_BW#'!$A:$Z,17,FALSE)+VLOOKUP($A254,A:AL,25,FALSE)-50))</f>
        <v>164</v>
      </c>
      <c r="Y254" s="3">
        <v>164</v>
      </c>
      <c r="Z254" s="3">
        <f>Y254+2</f>
        <v>166</v>
      </c>
      <c r="AA254" s="3">
        <f>IF(ISERROR(VLOOKUP($A254,'SegEnds_NonXtal_BW#'!$A:$Z,19,FALSE)+VLOOKUP($A254,A:AL,28,FALSE)-50),"-",(VLOOKUP($A254,'SegEnds_NonXtal_BW#'!$A:$Z,19,FALSE)+VLOOKUP($A254,A:AL,28,FALSE)-50))</f>
        <v>171</v>
      </c>
      <c r="AB254" s="3">
        <v>186</v>
      </c>
      <c r="AC254" s="3">
        <f>IF(ISERROR((VLOOKUP($A254,'SegEnds_NonXtal_BW#'!$A:$Z,20,FALSE)+VLOOKUP($A254,A:AL,28,FALSE)-50)),"-",(VLOOKUP($A254,'SegEnds_NonXtal_BW#'!$A:$Z,20,FALSE)+VLOOKUP($A254,A:AL,28,FALSE)-50))</f>
        <v>212</v>
      </c>
      <c r="AD254" s="3">
        <f>IF(ISERROR(VLOOKUP($A254,'SegEnds_NonXtal_BW#'!$A:$Z,21,FALSE)+VLOOKUP($A254,A:AL,31,FALSE)-50),"-",(VLOOKUP($A254,'SegEnds_NonXtal_BW#'!$A:$Z,21,FALSE)+VLOOKUP($A254,A:AL,31,FALSE)-50))</f>
        <v>292</v>
      </c>
      <c r="AE254" s="3">
        <v>318</v>
      </c>
      <c r="AF254" s="3">
        <f>IF(ISERROR((VLOOKUP($A254,'SegEnds_NonXtal_BW#'!$A:$Z,22,FALSE)+VLOOKUP($A254,A:AL,31,FALSE)-50)),"-",(VLOOKUP($A254,'SegEnds_NonXtal_BW#'!$A:$Z,22,FALSE)+VLOOKUP($A254,A:AL,31,FALSE)-50))</f>
        <v>329</v>
      </c>
      <c r="AG254" s="3">
        <f>IF(ISERROR(VLOOKUP($A254,'SegEnds_NonXtal_BW#'!$A:$Z,23,FALSE)+VLOOKUP($A254,A:AL,34,FALSE)-50),"-",(VLOOKUP($A254,'SegEnds_NonXtal_BW#'!$A:$Z,23,FALSE)+VLOOKUP($A254,A:AL,34,FALSE)-50))</f>
        <v>336</v>
      </c>
      <c r="AH254" s="3">
        <v>355</v>
      </c>
      <c r="AI254" s="3">
        <f>IF(ISERROR((VLOOKUP($A254,'SegEnds_NonXtal_BW#'!$A:$Z,24,FALSE)+VLOOKUP($A254,A:AL,34,FALSE)-50)),"-",(VLOOKUP($A254,'SegEnds_NonXtal_BW#'!$A:$Z,24,FALSE)+VLOOKUP($A254,A:AL,34,FALSE)-50))</f>
        <v>361</v>
      </c>
      <c r="AJ254" s="3">
        <f>IF(ISERROR(VLOOKUP($A254,'SegEnds_NonXtal_BW#'!$A:$Z,25,FALSE)+VLOOKUP($A254,A:AL,37,FALSE)-50),"-",(VLOOKUP($A254,'SegEnds_NonXtal_BW#'!$A:$Z,25,FALSE)+VLOOKUP($A254,A:AL,37,FALSE)-50))</f>
        <v>362</v>
      </c>
      <c r="AK254" s="3">
        <v>365</v>
      </c>
      <c r="AL254" s="3">
        <f>IF(ISERROR((VLOOKUP($A254,'SegEnds_NonXtal_BW#'!$A:$Z,26,FALSE)+VLOOKUP($A254,A:AL,37,FALSE)-50)),"-",(VLOOKUP($A254,'SegEnds_NonXtal_BW#'!$A:$Z,26,FALSE)+VLOOKUP($A254,A:AL,37,FALSE)-50))</f>
        <v>373</v>
      </c>
      <c r="AM254" s="28" t="str">
        <f>VLOOKUP(A254,Classification!A:B,2,FALSE)</f>
        <v>A</v>
      </c>
      <c r="AN254" s="28" t="b">
        <f>AND(IF(Y254="-",IF(AA254-W254&gt;3,TRUE,FALSE),TRUE),IF(M254="-",IF(O254-K254&gt;3,TRUE,FALSE),TRUE),C254&lt;E254,OR(E254&lt;F254,F254="-"),OR(F254&lt;H254,F254="-"),OR(H254&lt;I254,H254="-"),I254&lt;K254,OR(K254&lt;L254,L254="-"),OR(L254&lt;N254,L254="-"),OR(N254&lt;O254,N254="-"),O254&lt;Q254,OR(Q254&lt;R254,R254="-"),OR(R254&lt;T254,R254="-"),OR(T254&lt;U254,T254="-"),U254&lt;W254,OR(W254&lt;X254,X254="-"),OR(X254&lt;Z254,X254="-"),OR(Z254&lt;AA254,Z254="-"),AA254&lt;AC254,AC254&lt;AD254,AD254&lt;AF254,AF254&lt;AG254,AG254&lt;AI254,OR(AI254&lt;AJ254,AJ254="-"),OR(AJ254&lt;AL254,AJ254="-"))</f>
        <v>1</v>
      </c>
      <c r="AO254" s="3" t="str">
        <f>IF(ISERROR(MATCH(A254,'SegEnds_Xtal_Prot#'!B:B, 0)), "NoXtal", "Xtal")</f>
        <v>NoXtal</v>
      </c>
      <c r="AP254" s="3">
        <f>IF(ISERROR(F254-E254),"-",F254-E254)</f>
        <v>1</v>
      </c>
      <c r="AQ254" s="3">
        <f>IF(ISERROR(I254-H254),"-",I254-H254)</f>
        <v>1</v>
      </c>
      <c r="AR254" s="3">
        <f>IF(ISERROR(L254-K254),"-",L254-K254)</f>
        <v>2</v>
      </c>
      <c r="AS254" s="3">
        <f>IF(ISERROR(O254-N254),"-",O254-N254)</f>
        <v>1</v>
      </c>
      <c r="AT254" s="3">
        <f>IF(ISERROR(R254-Q254),"-",R254-Q254)</f>
        <v>1</v>
      </c>
      <c r="AU254" s="3">
        <f>IF(ISERROR(U254-T254),"-",U254-T254)</f>
        <v>1</v>
      </c>
      <c r="AV254" s="3">
        <f>IF(ISERROR(X254-W254),"-",X254-W254)</f>
        <v>11</v>
      </c>
      <c r="AW254" s="3">
        <f>IF(ISERROR(AA254-Z254),"-",AA254-Z254)</f>
        <v>5</v>
      </c>
      <c r="AX254" s="3">
        <f>IF(ISERROR(AD254-AC254),"-",AD254-AC254)</f>
        <v>80</v>
      </c>
      <c r="AY254" s="3">
        <f>IF(ISERROR(AG254-AF254),"-",AG254-AF254)</f>
        <v>7</v>
      </c>
      <c r="AZ254" s="3">
        <f>IF(ISERROR(AJ254-AI254),"-",AJ254-AI254)</f>
        <v>1</v>
      </c>
      <c r="BA254" s="3">
        <f>IF(ISERROR(LEN(VLOOKUP(A254,Seqs!A:E,2,FALSE))-AL254),"-",LEN(VLOOKUP(A254,Seqs!A:E,2,FALSE))-AL254)</f>
        <v>17</v>
      </c>
      <c r="BB254" s="16">
        <f>J254-D254</f>
        <v>28</v>
      </c>
      <c r="BC254" s="9">
        <f>IF(ISERROR(V254-S254),"-",V254-S254)</f>
        <v>21</v>
      </c>
      <c r="BD254" s="3">
        <f>J254-D254</f>
        <v>28</v>
      </c>
      <c r="BE254" s="3">
        <f>AE254-AB254</f>
        <v>132</v>
      </c>
      <c r="BF254" s="3">
        <f>AH254-AE254</f>
        <v>37</v>
      </c>
    </row>
    <row r="255" spans="1:58" s="3" customFormat="1" x14ac:dyDescent="0.2">
      <c r="A255" s="3" t="s">
        <v>348</v>
      </c>
      <c r="B255" s="3" t="str">
        <f>LOWER(VLOOKUP(A255,Xtal_Templ!A:B,2,FALSE))</f>
        <v>p2ry1_human</v>
      </c>
      <c r="C255" s="3">
        <f>VLOOKUP($A255,'SegEnds_NonXtal_BW#'!$A:$Z,3,FALSE)+D255-50</f>
        <v>24</v>
      </c>
      <c r="D255" s="3">
        <v>44</v>
      </c>
      <c r="E255" s="3">
        <f>IF(ISERROR(VLOOKUP($A255,'SegEnds_NonXtal_BW#'!$A:$Z,4,FALSE)+VLOOKUP($A255,A:AL,4,FALSE)-50),"-",(VLOOKUP($A255,'SegEnds_NonXtal_BW#'!$A:$Z,4,FALSE)+VLOOKUP($A255,A:AL,4,FALSE)-50))</f>
        <v>54</v>
      </c>
      <c r="F255" s="3">
        <f>G255-2</f>
        <v>55</v>
      </c>
      <c r="G255" s="3">
        <v>57</v>
      </c>
      <c r="H255" s="3">
        <f>G255+1</f>
        <v>58</v>
      </c>
      <c r="I255" s="3">
        <f>H255+1</f>
        <v>59</v>
      </c>
      <c r="J255" s="3">
        <v>72</v>
      </c>
      <c r="K255" s="3">
        <f>VLOOKUP($A255,'SegEnds_NonXtal_BW#'!$A:$Z,8,FALSE)+VLOOKUP($A255,A:AL,10,FALSE)-50</f>
        <v>88</v>
      </c>
      <c r="L255" s="3">
        <f>M255-1</f>
        <v>91</v>
      </c>
      <c r="M255" s="3">
        <v>92</v>
      </c>
      <c r="N255" s="3">
        <f>M255+2</f>
        <v>94</v>
      </c>
      <c r="O255" s="3">
        <f>N255+1</f>
        <v>95</v>
      </c>
      <c r="P255" s="3">
        <v>124</v>
      </c>
      <c r="Q255" s="3">
        <f>VLOOKUP($A255,'SegEnds_NonXtal_BW#'!$A:$Z,12,FALSE)+VLOOKUP($A255,A:AL,16,FALSE)-50</f>
        <v>130</v>
      </c>
      <c r="R255" s="3">
        <f>IF(ISERROR(VLOOKUP($A255,'SegEnds_NonXtal_BW#'!$A:$Z,13,FALSE)+VLOOKUP($A255,A:AL,19,FALSE)-50),"-",VLOOKUP($A255,'SegEnds_NonXtal_BW#'!$A:$Z,13,FALSE)+VLOOKUP($A255,A:AL,19,FALSE)-50)</f>
        <v>131</v>
      </c>
      <c r="S255" s="3">
        <v>131</v>
      </c>
      <c r="T255" s="103">
        <f>IF(ISERROR(VLOOKUP($A255,'SegEnds_NonXtal_BW#'!$A:$Z,14,FALSE)+VLOOKUP($A255,A:AL,19,FALSE)-50),"-",(VLOOKUP($A255,'SegEnds_NonXtal_BW#'!$A:$Z,14,FALSE)+VLOOKUP($A255,A:AL,19,FALSE)-50))</f>
        <v>139</v>
      </c>
      <c r="U255" s="9">
        <f>IF(ISERROR(VLOOKUP($A255,'SegEnds_NonXtal_BW#'!$A:$Z,15,FALSE)+VLOOKUP($A255,A:AL,22,FALSE)-50),"-",VLOOKUP($A255,'SegEnds_NonXtal_BW#'!$A:$Z,15,FALSE)+VLOOKUP($A255,A:AL,22,FALSE)-50)</f>
        <v>140</v>
      </c>
      <c r="V255" s="3">
        <v>152</v>
      </c>
      <c r="W255" s="3">
        <f>IF(ISERROR(VLOOKUP($A255,'SegEnds_NonXtal_BW#'!$A:$Z,16,FALSE)+VLOOKUP($A255,A:AL,22,FALSE)-50),"-",(VLOOKUP($A255,'SegEnds_NonXtal_BW#'!$A:$Z,16,FALSE)+VLOOKUP($A255,A:AL,22,FALSE)-50))</f>
        <v>166</v>
      </c>
      <c r="X255" s="3">
        <f>IF(ISERROR(VLOOKUP($A255,'SegEnds_NonXtal_BW#'!$A:$Z,17,FALSE)+VLOOKUP($A255,A:AL,25,FALSE)-50),"-",(VLOOKUP($A255,'SegEnds_NonXtal_BW#'!$A:$Z,17,FALSE)+VLOOKUP($A255,A:AL,25,FALSE)-50))</f>
        <v>177</v>
      </c>
      <c r="Y255" s="3">
        <v>177</v>
      </c>
      <c r="Z255" s="3">
        <f>Y255+2</f>
        <v>179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204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233</v>
      </c>
      <c r="AE255" s="3">
        <v>254</v>
      </c>
      <c r="AF255" s="3">
        <f>IF(ISERROR((VLOOKUP($A255,'SegEnds_NonXtal_BW#'!$A:$Z,22,FALSE)+VLOOKUP($A255,A:AL,31,FALSE)-50)),"-",(VLOOKUP($A255,'SegEnds_NonXtal_BW#'!$A:$Z,22,FALSE)+VLOOKUP($A255,A:AL,31,FALSE)-50))</f>
        <v>268</v>
      </c>
      <c r="AG255" s="3">
        <f>IF(ISERROR(VLOOKUP($A255,'SegEnds_NonXtal_BW#'!$A:$Z,23,FALSE)+VLOOKUP($A255,A:AL,34,FALSE)-50),"-",(VLOOKUP($A255,'SegEnds_NonXtal_BW#'!$A:$Z,23,FALSE)+VLOOKUP($A255,A:AL,34,FALSE)-50))</f>
        <v>272</v>
      </c>
      <c r="AH255" s="3">
        <v>298</v>
      </c>
      <c r="AI255" s="3">
        <f>IF(ISERROR((VLOOKUP($A255,'SegEnds_NonXtal_BW#'!$A:$Z,24,FALSE)+VLOOKUP($A255,A:AL,34,FALSE)-50)),"-",(VLOOKUP($A255,'SegEnds_NonXtal_BW#'!$A:$Z,24,FALSE)+VLOOKUP($A255,A:AL,34,FALSE)-50))</f>
        <v>304</v>
      </c>
      <c r="AJ255" s="3">
        <f>IF(ISERROR(VLOOKUP($A255,'SegEnds_NonXtal_BW#'!$A:$Z,25,FALSE)+VLOOKUP($A255,A:AL,37,FALSE)-50),"-",(VLOOKUP($A255,'SegEnds_NonXtal_BW#'!$A:$Z,25,FALSE)+VLOOKUP($A255,A:AL,37,FALSE)-50))</f>
        <v>305</v>
      </c>
      <c r="AK255" s="3">
        <v>308</v>
      </c>
      <c r="AL255" s="3">
        <f>IF(ISERROR((VLOOKUP($A255,'SegEnds_NonXtal_BW#'!$A:$Z,26,FALSE)+VLOOKUP($A255,A:AL,37,FALSE)-50)),"-",(VLOOKUP($A255,'SegEnds_NonXtal_BW#'!$A:$Z,26,FALSE)+VLOOKUP($A255,A:AL,37,FALSE)-50))</f>
        <v>317</v>
      </c>
      <c r="AM255" s="28" t="str">
        <f>VLOOKUP(A255,Classification!A:B,2,FALSE)</f>
        <v>A</v>
      </c>
      <c r="AN255" s="28" t="b">
        <f>AND(IF(Y255="-",IF(AA255-W255&gt;3,TRUE,FALSE),TRUE),IF(M255="-",IF(O255-K255&gt;3,TRUE,FALSE),TRUE),C255&lt;E255,OR(E255&lt;F255,F255="-"),OR(F255&lt;H255,F255="-"),OR(H255&lt;I255,H255="-"),I255&lt;K255,OR(K255&lt;L255,L255="-"),OR(L255&lt;N255,L255="-"),OR(N255&lt;O255,N255="-"),O255&lt;Q255,OR(Q255&lt;R255,R255="-"),OR(R255&lt;T255,R255="-"),OR(T255&lt;U255,T255="-"),U255&lt;W255,OR(W255&lt;X255,X255="-"),OR(X255&lt;Z255,X255="-"),OR(Z255&lt;AA255,Z255="-"),AA255&lt;AC255,AC255&lt;AD255,AD255&lt;AF255,AF255&lt;AG255,AG255&lt;AI255,OR(AI255&lt;AJ255,AJ255="-"),OR(AJ255&lt;AL255,AJ255="-"))</f>
        <v>1</v>
      </c>
      <c r="AO255" s="3" t="str">
        <f>IF(ISERROR(MATCH(A255,'SegEnds_Xtal_Prot#'!B:B, 0)), "NoXtal", "Xtal")</f>
        <v>NoXtal</v>
      </c>
      <c r="AP255" s="3">
        <f>IF(ISERROR(F255-E255),"-",F255-E255)</f>
        <v>1</v>
      </c>
      <c r="AQ255" s="3">
        <f>IF(ISERROR(I255-H255),"-",I255-H255)</f>
        <v>1</v>
      </c>
      <c r="AR255" s="3">
        <f>IF(ISERROR(L255-K255),"-",L255-K255)</f>
        <v>3</v>
      </c>
      <c r="AS255" s="3">
        <f>IF(ISERROR(O255-N255),"-",O255-N255)</f>
        <v>1</v>
      </c>
      <c r="AT255" s="3">
        <f>IF(ISERROR(R255-Q255),"-",R255-Q255)</f>
        <v>1</v>
      </c>
      <c r="AU255" s="3">
        <f>IF(ISERROR(U255-T255),"-",U255-T255)</f>
        <v>1</v>
      </c>
      <c r="AV255" s="3">
        <f>IF(ISERROR(X255-W255),"-",X255-W255)</f>
        <v>11</v>
      </c>
      <c r="AW255" s="3">
        <f>IF(ISERROR(AA255-Z255),"-",AA255-Z255)</f>
        <v>7</v>
      </c>
      <c r="AX255" s="3">
        <f>IF(ISERROR(AD255-AC255),"-",AD255-AC255)</f>
        <v>7</v>
      </c>
      <c r="AY255" s="3">
        <f>IF(ISERROR(AG255-AF255),"-",AG255-AF255)</f>
        <v>4</v>
      </c>
      <c r="AZ255" s="3">
        <f>IF(ISERROR(AJ255-AI255),"-",AJ255-AI255)</f>
        <v>1</v>
      </c>
      <c r="BA255" s="3">
        <f>IF(ISERROR(LEN(VLOOKUP(A255,Seqs!A:E,2,FALSE))-AL255),"-",LEN(VLOOKUP(A255,Seqs!A:E,2,FALSE))-AL255)</f>
        <v>11</v>
      </c>
      <c r="BB255" s="16">
        <f>J255-D255</f>
        <v>28</v>
      </c>
      <c r="BC255" s="9">
        <f>IF(ISERROR(V255-S255),"-",V255-S255)</f>
        <v>21</v>
      </c>
      <c r="BD255" s="3">
        <f>J255-D255</f>
        <v>28</v>
      </c>
      <c r="BE255" s="3">
        <f>AE255-AB255</f>
        <v>50</v>
      </c>
      <c r="BF255" s="3">
        <f>AH255-AE255</f>
        <v>44</v>
      </c>
    </row>
    <row r="256" spans="1:58" s="3" customFormat="1" x14ac:dyDescent="0.2">
      <c r="A256" s="3" t="s">
        <v>174</v>
      </c>
      <c r="B256" s="3" t="str">
        <f>LOWER(VLOOKUP(A256,Xtal_Templ!A:B,2,FALSE))</f>
        <v>ccr9_human</v>
      </c>
      <c r="C256" s="3">
        <f>VLOOKUP($A256,'SegEnds_NonXtal_BW#'!$A:$Z,3,FALSE)+D256-50</f>
        <v>41</v>
      </c>
      <c r="D256" s="3">
        <v>64</v>
      </c>
      <c r="E256" s="3">
        <f>IF(ISERROR(VLOOKUP($A256,'SegEnds_NonXtal_BW#'!$A:$Z,4,FALSE)+VLOOKUP($A256,A:AL,4,FALSE)-50),"-",(VLOOKUP($A256,'SegEnds_NonXtal_BW#'!$A:$Z,4,FALSE)+VLOOKUP($A256,A:AL,4,FALSE)-50))</f>
        <v>74</v>
      </c>
      <c r="F256" s="3">
        <f>G256-2</f>
        <v>75</v>
      </c>
      <c r="G256" s="3">
        <v>77</v>
      </c>
      <c r="H256" s="3">
        <f>G256+1</f>
        <v>78</v>
      </c>
      <c r="I256" s="3">
        <f>H256+1</f>
        <v>79</v>
      </c>
      <c r="J256" s="3">
        <v>92</v>
      </c>
      <c r="K256" s="3">
        <f>VLOOKUP($A256,'SegEnds_NonXtal_BW#'!$A:$Z,8,FALSE)+VLOOKUP($A256,A:AL,10,FALSE)-50</f>
        <v>108</v>
      </c>
      <c r="L256" s="3">
        <f>M256-1</f>
        <v>110</v>
      </c>
      <c r="M256" s="3">
        <v>111</v>
      </c>
      <c r="N256" s="3">
        <f>M256+2</f>
        <v>113</v>
      </c>
      <c r="O256" s="3">
        <f>N256+1</f>
        <v>114</v>
      </c>
      <c r="P256" s="3">
        <v>143</v>
      </c>
      <c r="Q256" s="3">
        <f>VLOOKUP($A256,'SegEnds_NonXtal_BW#'!$A:$Z,12,FALSE)+VLOOKUP($A256,A:AL,16,FALSE)-50</f>
        <v>149</v>
      </c>
      <c r="R256" s="3">
        <f>IF(ISERROR(VLOOKUP($A256,'SegEnds_NonXtal_BW#'!$A:$Z,13,FALSE)+VLOOKUP($A256,A:AL,19,FALSE)-50),"-",VLOOKUP($A256,'SegEnds_NonXtal_BW#'!$A:$Z,13,FALSE)+VLOOKUP($A256,A:AL,19,FALSE)-50)</f>
        <v>150</v>
      </c>
      <c r="S256" s="3">
        <v>150</v>
      </c>
      <c r="T256" s="103">
        <f>IF(ISERROR(VLOOKUP($A256,'SegEnds_NonXtal_BW#'!$A:$Z,14,FALSE)+VLOOKUP($A256,A:AL,19,FALSE)-50),"-",(VLOOKUP($A256,'SegEnds_NonXtal_BW#'!$A:$Z,14,FALSE)+VLOOKUP($A256,A:AL,19,FALSE)-50))</f>
        <v>158</v>
      </c>
      <c r="U256" s="9">
        <f>IF(ISERROR(VLOOKUP($A256,'SegEnds_NonXtal_BW#'!$A:$Z,15,FALSE)+VLOOKUP($A256,A:AL,22,FALSE)-50),"-",VLOOKUP($A256,'SegEnds_NonXtal_BW#'!$A:$Z,15,FALSE)+VLOOKUP($A256,A:AL,22,FALSE)-50)</f>
        <v>160</v>
      </c>
      <c r="V256" s="3">
        <v>172</v>
      </c>
      <c r="W256" s="3">
        <f>IF(ISERROR(VLOOKUP($A256,'SegEnds_NonXtal_BW#'!$A:$Z,16,FALSE)+VLOOKUP($A256,A:AL,22,FALSE)-50),"-",(VLOOKUP($A256,'SegEnds_NonXtal_BW#'!$A:$Z,16,FALSE)+VLOOKUP($A256,A:AL,22,FALSE)-50))</f>
        <v>186</v>
      </c>
      <c r="X256" s="3">
        <f>IF(ISERROR(VLOOKUP($A256,'SegEnds_NonXtal_BW#'!$A:$Z,17,FALSE)+VLOOKUP($A256,A:AL,25,FALSE)-50),"-",(VLOOKUP($A256,'SegEnds_NonXtal_BW#'!$A:$Z,17,FALSE)+VLOOKUP($A256,A:AL,25,FALSE)-50))</f>
        <v>197</v>
      </c>
      <c r="Y256" s="3">
        <v>197</v>
      </c>
      <c r="Z256" s="3">
        <f>Y256+2</f>
        <v>199</v>
      </c>
      <c r="AA256" s="3">
        <f>IF(ISERROR(VLOOKUP($A256,'SegEnds_NonXtal_BW#'!$A:$Z,19,FALSE)+VLOOKUP($A256,A:AL,28,FALSE)-50),"-",(VLOOKUP($A256,'SegEnds_NonXtal_BW#'!$A:$Z,19,FALSE)+VLOOKUP($A256,A:AL,28,FALSE)-50))</f>
        <v>209</v>
      </c>
      <c r="AB256" s="3">
        <v>226</v>
      </c>
      <c r="AC256" s="3">
        <f>IF(ISERROR((VLOOKUP($A256,'SegEnds_NonXtal_BW#'!$A:$Z,20,FALSE)+VLOOKUP($A256,A:AL,28,FALSE)-50)),"-",(VLOOKUP($A256,'SegEnds_NonXtal_BW#'!$A:$Z,20,FALSE)+VLOOKUP($A256,A:AL,28,FALSE)-50))</f>
        <v>244</v>
      </c>
      <c r="AD256" s="3">
        <f>IF(ISERROR(VLOOKUP($A256,'SegEnds_NonXtal_BW#'!$A:$Z,21,FALSE)+VLOOKUP($A256,A:AL,31,FALSE)-50),"-",(VLOOKUP($A256,'SegEnds_NonXtal_BW#'!$A:$Z,21,FALSE)+VLOOKUP($A256,A:AL,31,FALSE)-50))</f>
        <v>249</v>
      </c>
      <c r="AE256" s="3">
        <v>269</v>
      </c>
      <c r="AF256" s="3">
        <f>IF(ISERROR((VLOOKUP($A256,'SegEnds_NonXtal_BW#'!$A:$Z,22,FALSE)+VLOOKUP($A256,A:AL,31,FALSE)-50)),"-",(VLOOKUP($A256,'SegEnds_NonXtal_BW#'!$A:$Z,22,FALSE)+VLOOKUP($A256,A:AL,31,FALSE)-50))</f>
        <v>284</v>
      </c>
      <c r="AG256" s="3">
        <f>IF(ISERROR(VLOOKUP($A256,'SegEnds_NonXtal_BW#'!$A:$Z,23,FALSE)+VLOOKUP($A256,A:AL,34,FALSE)-50),"-",(VLOOKUP($A256,'SegEnds_NonXtal_BW#'!$A:$Z,23,FALSE)+VLOOKUP($A256,A:AL,34,FALSE)-50))</f>
        <v>287</v>
      </c>
      <c r="AH256" s="3">
        <v>313</v>
      </c>
      <c r="AI256" s="3">
        <f>IF(ISERROR((VLOOKUP($A256,'SegEnds_NonXtal_BW#'!$A:$Z,24,FALSE)+VLOOKUP($A256,A:AL,34,FALSE)-50)),"-",(VLOOKUP($A256,'SegEnds_NonXtal_BW#'!$A:$Z,24,FALSE)+VLOOKUP($A256,A:AL,34,FALSE)-50))</f>
        <v>319</v>
      </c>
      <c r="AJ256" s="3">
        <f>IF(ISERROR(VLOOKUP($A256,'SegEnds_NonXtal_BW#'!$A:$Z,25,FALSE)+VLOOKUP($A256,A:AL,37,FALSE)-50),"-",(VLOOKUP($A256,'SegEnds_NonXtal_BW#'!$A:$Z,25,FALSE)+VLOOKUP($A256,A:AL,37,FALSE)-50))</f>
        <v>320</v>
      </c>
      <c r="AK256" s="3">
        <v>323</v>
      </c>
      <c r="AL256" s="3">
        <f>IF(ISERROR((VLOOKUP($A256,'SegEnds_NonXtal_BW#'!$A:$Z,26,FALSE)+VLOOKUP($A256,A:AL,37,FALSE)-50)),"-",(VLOOKUP($A256,'SegEnds_NonXtal_BW#'!$A:$Z,26,FALSE)+VLOOKUP($A256,A:AL,37,FALSE)-50))</f>
        <v>340</v>
      </c>
      <c r="AM256" s="28" t="str">
        <f>VLOOKUP(A256,Classification!A:B,2,FALSE)</f>
        <v>A</v>
      </c>
      <c r="AN256" s="28" t="b">
        <f>AND(IF(Y256="-",IF(AA256-W256&gt;3,TRUE,FALSE),TRUE),IF(M256="-",IF(O256-K256&gt;3,TRUE,FALSE),TRUE),C256&lt;E256,OR(E256&lt;F256,F256="-"),OR(F256&lt;H256,F256="-"),OR(H256&lt;I256,H256="-"),I256&lt;K256,OR(K256&lt;L256,L256="-"),OR(L256&lt;N256,L256="-"),OR(N256&lt;O256,N256="-"),O256&lt;Q256,OR(Q256&lt;R256,R256="-"),OR(R256&lt;T256,R256="-"),OR(T256&lt;U256,T256="-"),U256&lt;W256,OR(W256&lt;X256,X256="-"),OR(X256&lt;Z256,X256="-"),OR(Z256&lt;AA256,Z256="-"),AA256&lt;AC256,AC256&lt;AD256,AD256&lt;AF256,AF256&lt;AG256,AG256&lt;AI256,OR(AI256&lt;AJ256,AJ256="-"),OR(AJ256&lt;AL256,AJ256="-"))</f>
        <v>1</v>
      </c>
      <c r="AO256" s="3" t="str">
        <f>IF(ISERROR(MATCH(A256,'SegEnds_Xtal_Prot#'!B:B, 0)), "NoXtal", "Xtal")</f>
        <v>NoXtal</v>
      </c>
      <c r="AP256" s="3">
        <f>IF(ISERROR(F256-E256),"-",F256-E256)</f>
        <v>1</v>
      </c>
      <c r="AQ256" s="3">
        <f>IF(ISERROR(I256-H256),"-",I256-H256)</f>
        <v>1</v>
      </c>
      <c r="AR256" s="3">
        <f>IF(ISERROR(L256-K256),"-",L256-K256)</f>
        <v>2</v>
      </c>
      <c r="AS256" s="3">
        <f>IF(ISERROR(O256-N256),"-",O256-N256)</f>
        <v>1</v>
      </c>
      <c r="AT256" s="3">
        <f>IF(ISERROR(R256-Q256),"-",R256-Q256)</f>
        <v>1</v>
      </c>
      <c r="AU256" s="3">
        <f>IF(ISERROR(U256-T256),"-",U256-T256)</f>
        <v>2</v>
      </c>
      <c r="AV256" s="3">
        <f>IF(ISERROR(X256-W256),"-",X256-W256)</f>
        <v>11</v>
      </c>
      <c r="AW256" s="3">
        <f>IF(ISERROR(AA256-Z256),"-",AA256-Z256)</f>
        <v>10</v>
      </c>
      <c r="AX256" s="3">
        <f>IF(ISERROR(AD256-AC256),"-",AD256-AC256)</f>
        <v>5</v>
      </c>
      <c r="AY256" s="3">
        <f>IF(ISERROR(AG256-AF256),"-",AG256-AF256)</f>
        <v>3</v>
      </c>
      <c r="AZ256" s="3">
        <f>IF(ISERROR(AJ256-AI256),"-",AJ256-AI256)</f>
        <v>1</v>
      </c>
      <c r="BA256" s="3">
        <f>IF(ISERROR(LEN(VLOOKUP(A256,Seqs!A:E,2,FALSE))-AL256),"-",LEN(VLOOKUP(A256,Seqs!A:E,2,FALSE))-AL256)</f>
        <v>34</v>
      </c>
      <c r="BB256" s="16">
        <f>J256-D256</f>
        <v>28</v>
      </c>
      <c r="BC256" s="9">
        <f>IF(ISERROR(V256-S256),"-",V256-S256)</f>
        <v>22</v>
      </c>
      <c r="BD256" s="3">
        <f>J256-D256</f>
        <v>28</v>
      </c>
      <c r="BE256" s="3">
        <f>AE256-AB256</f>
        <v>43</v>
      </c>
    </row>
    <row r="257" spans="1:58" s="3" customFormat="1" x14ac:dyDescent="0.2">
      <c r="A257" s="3" t="s">
        <v>175</v>
      </c>
      <c r="B257" s="3" t="str">
        <f>LOWER(VLOOKUP(A257,Xtal_Templ!A:B,2,FALSE))</f>
        <v>ccr9_human</v>
      </c>
      <c r="C257" s="3">
        <f>VLOOKUP($A257,'SegEnds_NonXtal_BW#'!$A:$Z,3,FALSE)+D257-50</f>
        <v>53</v>
      </c>
      <c r="D257" s="3">
        <v>76</v>
      </c>
      <c r="E257" s="3">
        <f>IF(ISERROR(VLOOKUP($A257,'SegEnds_NonXtal_BW#'!$A:$Z,4,FALSE)+VLOOKUP($A257,A:AL,4,FALSE)-50),"-",(VLOOKUP($A257,'SegEnds_NonXtal_BW#'!$A:$Z,4,FALSE)+VLOOKUP($A257,A:AL,4,FALSE)-50))</f>
        <v>86</v>
      </c>
      <c r="F257" s="3">
        <f>G257-2</f>
        <v>87</v>
      </c>
      <c r="G257" s="3">
        <v>89</v>
      </c>
      <c r="H257" s="3">
        <f>G257+1</f>
        <v>90</v>
      </c>
      <c r="I257" s="3">
        <f>H257+1</f>
        <v>91</v>
      </c>
      <c r="J257" s="3">
        <v>104</v>
      </c>
      <c r="K257" s="3">
        <f>VLOOKUP($A257,'SegEnds_NonXtal_BW#'!$A:$Z,8,FALSE)+VLOOKUP($A257,A:AL,10,FALSE)-50</f>
        <v>120</v>
      </c>
      <c r="L257" s="3">
        <f>M257-1</f>
        <v>121</v>
      </c>
      <c r="M257" s="3">
        <v>122</v>
      </c>
      <c r="N257" s="3">
        <f>M257+2</f>
        <v>124</v>
      </c>
      <c r="O257" s="3">
        <f>N257+1</f>
        <v>125</v>
      </c>
      <c r="P257" s="3">
        <v>154</v>
      </c>
      <c r="Q257" s="3">
        <f>VLOOKUP($A257,'SegEnds_NonXtal_BW#'!$A:$Z,12,FALSE)+VLOOKUP($A257,A:AL,16,FALSE)-50</f>
        <v>160</v>
      </c>
      <c r="R257" s="3">
        <f>IF(ISERROR(VLOOKUP($A257,'SegEnds_NonXtal_BW#'!$A:$Z,13,FALSE)+VLOOKUP($A257,A:AL,19,FALSE)-50),"-",VLOOKUP($A257,'SegEnds_NonXtal_BW#'!$A:$Z,13,FALSE)+VLOOKUP($A257,A:AL,19,FALSE)-50)</f>
        <v>161</v>
      </c>
      <c r="S257" s="3">
        <v>161</v>
      </c>
      <c r="T257" s="103">
        <f>IF(ISERROR(VLOOKUP($A257,'SegEnds_NonXtal_BW#'!$A:$Z,14,FALSE)+VLOOKUP($A257,A:AL,19,FALSE)-50),"-",(VLOOKUP($A257,'SegEnds_NonXtal_BW#'!$A:$Z,14,FALSE)+VLOOKUP($A257,A:AL,19,FALSE)-50))</f>
        <v>169</v>
      </c>
      <c r="U257" s="9">
        <f>IF(ISERROR(VLOOKUP($A257,'SegEnds_NonXtal_BW#'!$A:$Z,15,FALSE)+VLOOKUP($A257,A:AL,22,FALSE)-50),"-",VLOOKUP($A257,'SegEnds_NonXtal_BW#'!$A:$Z,15,FALSE)+VLOOKUP($A257,A:AL,22,FALSE)-50)</f>
        <v>171</v>
      </c>
      <c r="V257" s="3">
        <v>183</v>
      </c>
      <c r="W257" s="3">
        <f>IF(ISERROR(VLOOKUP($A257,'SegEnds_NonXtal_BW#'!$A:$Z,16,FALSE)+VLOOKUP($A257,A:AL,22,FALSE)-50),"-",(VLOOKUP($A257,'SegEnds_NonXtal_BW#'!$A:$Z,16,FALSE)+VLOOKUP($A257,A:AL,22,FALSE)-50))</f>
        <v>197</v>
      </c>
      <c r="X257" s="3">
        <f>IF(ISERROR(VLOOKUP($A257,'SegEnds_NonXtal_BW#'!$A:$Z,17,FALSE)+VLOOKUP($A257,A:AL,25,FALSE)-50),"-",(VLOOKUP($A257,'SegEnds_NonXtal_BW#'!$A:$Z,17,FALSE)+VLOOKUP($A257,A:AL,25,FALSE)-50))</f>
        <v>210</v>
      </c>
      <c r="Y257" s="3">
        <v>210</v>
      </c>
      <c r="Z257" s="3">
        <f>Y257+2</f>
        <v>212</v>
      </c>
      <c r="AA257" s="3">
        <f>IF(ISERROR(VLOOKUP($A257,'SegEnds_NonXtal_BW#'!$A:$Z,19,FALSE)+VLOOKUP($A257,A:AL,28,FALSE)-50),"-",(VLOOKUP($A257,'SegEnds_NonXtal_BW#'!$A:$Z,19,FALSE)+VLOOKUP($A257,A:AL,28,FALSE)-50))</f>
        <v>218</v>
      </c>
      <c r="AB257" s="3">
        <v>235</v>
      </c>
      <c r="AC257" s="3">
        <f>IF(ISERROR((VLOOKUP($A257,'SegEnds_NonXtal_BW#'!$A:$Z,20,FALSE)+VLOOKUP($A257,A:AL,28,FALSE)-50)),"-",(VLOOKUP($A257,'SegEnds_NonXtal_BW#'!$A:$Z,20,FALSE)+VLOOKUP($A257,A:AL,28,FALSE)-50))</f>
        <v>253</v>
      </c>
      <c r="AD257" s="3">
        <f>IF(ISERROR(VLOOKUP($A257,'SegEnds_NonXtal_BW#'!$A:$Z,21,FALSE)+VLOOKUP($A257,A:AL,31,FALSE)-50),"-",(VLOOKUP($A257,'SegEnds_NonXtal_BW#'!$A:$Z,21,FALSE)+VLOOKUP($A257,A:AL,31,FALSE)-50))</f>
        <v>258</v>
      </c>
      <c r="AE257" s="3">
        <v>278</v>
      </c>
      <c r="AF257" s="3">
        <f>IF(ISERROR((VLOOKUP($A257,'SegEnds_NonXtal_BW#'!$A:$Z,22,FALSE)+VLOOKUP($A257,A:AL,31,FALSE)-50)),"-",(VLOOKUP($A257,'SegEnds_NonXtal_BW#'!$A:$Z,22,FALSE)+VLOOKUP($A257,A:AL,31,FALSE)-50))</f>
        <v>293</v>
      </c>
      <c r="AG257" s="3">
        <f>IF(ISERROR(VLOOKUP($A257,'SegEnds_NonXtal_BW#'!$A:$Z,23,FALSE)+VLOOKUP($A257,A:AL,34,FALSE)-50),"-",(VLOOKUP($A257,'SegEnds_NonXtal_BW#'!$A:$Z,23,FALSE)+VLOOKUP($A257,A:AL,34,FALSE)-50))</f>
        <v>297</v>
      </c>
      <c r="AH257" s="3">
        <v>323</v>
      </c>
      <c r="AI257" s="3">
        <f>IF(ISERROR((VLOOKUP($A257,'SegEnds_NonXtal_BW#'!$A:$Z,24,FALSE)+VLOOKUP($A257,A:AL,34,FALSE)-50)),"-",(VLOOKUP($A257,'SegEnds_NonXtal_BW#'!$A:$Z,24,FALSE)+VLOOKUP($A257,A:AL,34,FALSE)-50))</f>
        <v>329</v>
      </c>
      <c r="AJ257" s="3">
        <f>IF(ISERROR(VLOOKUP($A257,'SegEnds_NonXtal_BW#'!$A:$Z,25,FALSE)+VLOOKUP($A257,A:AL,37,FALSE)-50),"-",(VLOOKUP($A257,'SegEnds_NonXtal_BW#'!$A:$Z,25,FALSE)+VLOOKUP($A257,A:AL,37,FALSE)-50))</f>
        <v>330</v>
      </c>
      <c r="AK257" s="3">
        <v>333</v>
      </c>
      <c r="AL257" s="3">
        <f>IF(ISERROR((VLOOKUP($A257,'SegEnds_NonXtal_BW#'!$A:$Z,26,FALSE)+VLOOKUP($A257,A:AL,37,FALSE)-50)),"-",(VLOOKUP($A257,'SegEnds_NonXtal_BW#'!$A:$Z,26,FALSE)+VLOOKUP($A257,A:AL,37,FALSE)-50))</f>
        <v>350</v>
      </c>
      <c r="AM257" s="28" t="str">
        <f>VLOOKUP(A257,Classification!A:B,2,FALSE)</f>
        <v>A</v>
      </c>
      <c r="AN257" s="28" t="b">
        <f>AND(IF(Y257="-",IF(AA257-W257&gt;3,TRUE,FALSE),TRUE),IF(M257="-",IF(O257-K257&gt;3,TRUE,FALSE),TRUE),C257&lt;E257,OR(E257&lt;F257,F257="-"),OR(F257&lt;H257,F257="-"),OR(H257&lt;I257,H257="-"),I257&lt;K257,OR(K257&lt;L257,L257="-"),OR(L257&lt;N257,L257="-"),OR(N257&lt;O257,N257="-"),O257&lt;Q257,OR(Q257&lt;R257,R257="-"),OR(R257&lt;T257,R257="-"),OR(T257&lt;U257,T257="-"),U257&lt;W257,OR(W257&lt;X257,X257="-"),OR(X257&lt;Z257,X257="-"),OR(Z257&lt;AA257,Z257="-"),AA257&lt;AC257,AC257&lt;AD257,AD257&lt;AF257,AF257&lt;AG257,AG257&lt;AI257,OR(AI257&lt;AJ257,AJ257="-"),OR(AJ257&lt;AL257,AJ257="-"))</f>
        <v>1</v>
      </c>
      <c r="AO257" s="3" t="str">
        <f>IF(ISERROR(MATCH(A257,'SegEnds_Xtal_Prot#'!B:B, 0)), "NoXtal", "Xtal")</f>
        <v>NoXtal</v>
      </c>
      <c r="AP257" s="3">
        <f>IF(ISERROR(F257-E257),"-",F257-E257)</f>
        <v>1</v>
      </c>
      <c r="AQ257" s="3">
        <f>IF(ISERROR(I257-H257),"-",I257-H257)</f>
        <v>1</v>
      </c>
      <c r="AR257" s="3">
        <f>IF(ISERROR(L257-K257),"-",L257-K257)</f>
        <v>1</v>
      </c>
      <c r="AS257" s="3">
        <f>IF(ISERROR(O257-N257),"-",O257-N257)</f>
        <v>1</v>
      </c>
      <c r="AT257" s="3">
        <f>IF(ISERROR(R257-Q257),"-",R257-Q257)</f>
        <v>1</v>
      </c>
      <c r="AU257" s="3">
        <f>IF(ISERROR(U257-T257),"-",U257-T257)</f>
        <v>2</v>
      </c>
      <c r="AV257" s="3">
        <f>IF(ISERROR(X257-W257),"-",X257-W257)</f>
        <v>13</v>
      </c>
      <c r="AW257" s="3">
        <f>IF(ISERROR(AA257-Z257),"-",AA257-Z257)</f>
        <v>6</v>
      </c>
      <c r="AX257" s="3">
        <f>IF(ISERROR(AD257-AC257),"-",AD257-AC257)</f>
        <v>5</v>
      </c>
      <c r="AY257" s="3">
        <f>IF(ISERROR(AG257-AF257),"-",AG257-AF257)</f>
        <v>4</v>
      </c>
      <c r="AZ257" s="3">
        <f>IF(ISERROR(AJ257-AI257),"-",AJ257-AI257)</f>
        <v>1</v>
      </c>
      <c r="BA257" s="3">
        <f>IF(ISERROR(LEN(VLOOKUP(A257,Seqs!A:E,2,FALSE))-AL257),"-",LEN(VLOOKUP(A257,Seqs!A:E,2,FALSE))-AL257)</f>
        <v>28</v>
      </c>
      <c r="BB257" s="16">
        <f>J257-D257</f>
        <v>28</v>
      </c>
      <c r="BC257" s="9">
        <f>IF(ISERROR(V257-S257),"-",V257-S257)</f>
        <v>22</v>
      </c>
      <c r="BD257" s="3">
        <f>J257-D257</f>
        <v>28</v>
      </c>
      <c r="BE257" s="3">
        <f>AE257-AB257</f>
        <v>43</v>
      </c>
    </row>
    <row r="258" spans="1:58" s="3" customFormat="1" x14ac:dyDescent="0.2">
      <c r="A258" s="3" t="s">
        <v>177</v>
      </c>
      <c r="B258" s="3" t="str">
        <f>LOWER(VLOOKUP(A258,Xtal_Templ!A:B,2,FALSE))</f>
        <v>ccr9_human</v>
      </c>
      <c r="C258" s="3">
        <f>VLOOKUP($A258,'SegEnds_NonXtal_BW#'!$A:$Z,3,FALSE)+D258-50</f>
        <v>43</v>
      </c>
      <c r="D258" s="3">
        <v>66</v>
      </c>
      <c r="E258" s="3">
        <f>IF(ISERROR(VLOOKUP($A258,'SegEnds_NonXtal_BW#'!$A:$Z,4,FALSE)+VLOOKUP($A258,A:AL,4,FALSE)-50),"-",(VLOOKUP($A258,'SegEnds_NonXtal_BW#'!$A:$Z,4,FALSE)+VLOOKUP($A258,A:AL,4,FALSE)-50))</f>
        <v>76</v>
      </c>
      <c r="F258" s="3">
        <f>G258-2</f>
        <v>77</v>
      </c>
      <c r="G258" s="3">
        <v>79</v>
      </c>
      <c r="H258" s="3">
        <f>G258+1</f>
        <v>80</v>
      </c>
      <c r="I258" s="3">
        <f>H258+1</f>
        <v>81</v>
      </c>
      <c r="J258" s="3">
        <v>94</v>
      </c>
      <c r="K258" s="3">
        <f>VLOOKUP($A258,'SegEnds_NonXtal_BW#'!$A:$Z,8,FALSE)+VLOOKUP($A258,A:AL,10,FALSE)-50</f>
        <v>110</v>
      </c>
      <c r="L258" s="3">
        <f>M258-1</f>
        <v>111</v>
      </c>
      <c r="M258" s="3">
        <v>112</v>
      </c>
      <c r="N258" s="3">
        <f>M258+2</f>
        <v>114</v>
      </c>
      <c r="O258" s="3">
        <f>N258+1</f>
        <v>115</v>
      </c>
      <c r="P258" s="3">
        <v>144</v>
      </c>
      <c r="Q258" s="3">
        <f>VLOOKUP($A258,'SegEnds_NonXtal_BW#'!$A:$Z,12,FALSE)+VLOOKUP($A258,A:AL,16,FALSE)-50</f>
        <v>150</v>
      </c>
      <c r="R258" s="3">
        <f>IF(ISERROR(VLOOKUP($A258,'SegEnds_NonXtal_BW#'!$A:$Z,13,FALSE)+VLOOKUP($A258,A:AL,19,FALSE)-50),"-",VLOOKUP($A258,'SegEnds_NonXtal_BW#'!$A:$Z,13,FALSE)+VLOOKUP($A258,A:AL,19,FALSE)-50)</f>
        <v>151</v>
      </c>
      <c r="S258" s="3">
        <v>151</v>
      </c>
      <c r="T258" s="103">
        <f>IF(ISERROR(VLOOKUP($A258,'SegEnds_NonXtal_BW#'!$A:$Z,14,FALSE)+VLOOKUP($A258,A:AL,19,FALSE)-50),"-",(VLOOKUP($A258,'SegEnds_NonXtal_BW#'!$A:$Z,14,FALSE)+VLOOKUP($A258,A:AL,19,FALSE)-50))</f>
        <v>157</v>
      </c>
      <c r="U258" s="9">
        <f>IF(ISERROR(VLOOKUP($A258,'SegEnds_NonXtal_BW#'!$A:$Z,15,FALSE)+VLOOKUP($A258,A:AL,22,FALSE)-50),"-",VLOOKUP($A258,'SegEnds_NonXtal_BW#'!$A:$Z,15,FALSE)+VLOOKUP($A258,A:AL,22,FALSE)-50)</f>
        <v>158</v>
      </c>
      <c r="V258" s="3">
        <v>173</v>
      </c>
      <c r="W258" s="3">
        <f>IF(ISERROR(VLOOKUP($A258,'SegEnds_NonXtal_BW#'!$A:$Z,16,FALSE)+VLOOKUP($A258,A:AL,22,FALSE)-50),"-",(VLOOKUP($A258,'SegEnds_NonXtal_BW#'!$A:$Z,16,FALSE)+VLOOKUP($A258,A:AL,22,FALSE)-50))</f>
        <v>187</v>
      </c>
      <c r="X258" s="3">
        <f>IF(ISERROR(VLOOKUP($A258,'SegEnds_NonXtal_BW#'!$A:$Z,17,FALSE)+VLOOKUP($A258,A:AL,25,FALSE)-50),"-",(VLOOKUP($A258,'SegEnds_NonXtal_BW#'!$A:$Z,17,FALSE)+VLOOKUP($A258,A:AL,25,FALSE)-50))</f>
        <v>198</v>
      </c>
      <c r="Y258" s="3">
        <v>198</v>
      </c>
      <c r="Z258" s="3">
        <f>Y258+2</f>
        <v>200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288</v>
      </c>
      <c r="AH258" s="3">
        <v>314</v>
      </c>
      <c r="AI258" s="3">
        <f>IF(ISERROR((VLOOKUP($A258,'SegEnds_NonXtal_BW#'!$A:$Z,24,FALSE)+VLOOKUP($A258,A:AL,34,FALSE)-50)),"-",(VLOOKUP($A258,'SegEnds_NonXtal_BW#'!$A:$Z,24,FALSE)+VLOOKUP($A258,A:AL,34,FALSE)-50))</f>
        <v>320</v>
      </c>
      <c r="AJ258" s="3">
        <f>IF(ISERROR(VLOOKUP($A258,'SegEnds_NonXtal_BW#'!$A:$Z,25,FALSE)+VLOOKUP($A258,A:AL,37,FALSE)-50),"-",(VLOOKUP($A258,'SegEnds_NonXtal_BW#'!$A:$Z,25,FALSE)+VLOOKUP($A258,A:AL,37,FALSE)-50))</f>
        <v>321</v>
      </c>
      <c r="AK258" s="3">
        <v>324</v>
      </c>
      <c r="AL258" s="3">
        <f>IF(ISERROR((VLOOKUP($A258,'SegEnds_NonXtal_BW#'!$A:$Z,26,FALSE)+VLOOKUP($A258,A:AL,37,FALSE)-50)),"-",(VLOOKUP($A258,'SegEnds_NonXtal_BW#'!$A:$Z,26,FALSE)+VLOOKUP($A258,A:AL,37,FALSE)-50))</f>
        <v>341</v>
      </c>
      <c r="AM258" s="28" t="str">
        <f>VLOOKUP(A258,Classification!A:B,2,FALSE)</f>
        <v>A</v>
      </c>
      <c r="AN258" s="28" t="b">
        <f>AND(IF(Y258="-",IF(AA258-W258&gt;3,TRUE,FALSE),TRUE),IF(M258="-",IF(O258-K258&gt;3,TRUE,FALSE),TRUE),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 t="str">
        <f>IF(ISERROR(MATCH(A258,'SegEnds_Xtal_Prot#'!B:B, 0)), "NoXtal", "Xtal")</f>
        <v>Xtal</v>
      </c>
      <c r="AP258" s="3">
        <f>IF(ISERROR(F258-E258),"-",F258-E258)</f>
        <v>1</v>
      </c>
      <c r="AQ258" s="3">
        <f>IF(ISERROR(I258-H258),"-",I258-H258)</f>
        <v>1</v>
      </c>
      <c r="AR258" s="3">
        <f>IF(ISERROR(L258-K258),"-",L258-K258)</f>
        <v>1</v>
      </c>
      <c r="AS258" s="3">
        <f>IF(ISERROR(O258-N258),"-",O258-N258)</f>
        <v>1</v>
      </c>
      <c r="AT258" s="3">
        <f>IF(ISERROR(R258-Q258),"-",R258-Q258)</f>
        <v>1</v>
      </c>
      <c r="AU258" s="3">
        <f>IF(ISERROR(U258-T258),"-",U258-T258)</f>
        <v>1</v>
      </c>
      <c r="AV258" s="3">
        <f>IF(ISERROR(X258-W258),"-",X258-W258)</f>
        <v>11</v>
      </c>
      <c r="AW258" s="3">
        <f>IF(ISERROR(AA258-Z258),"-",AA258-Z258)</f>
        <v>9</v>
      </c>
      <c r="AX258" s="3">
        <f>IF(ISERROR(AD258-AC258),"-",AD258-AC258)</f>
        <v>5</v>
      </c>
      <c r="AY258" s="3">
        <f>IF(ISERROR(AG258-AF258),"-",AG258-AF258)</f>
        <v>4</v>
      </c>
      <c r="AZ258" s="3">
        <f>IF(ISERROR(AJ258-AI258),"-",AJ258-AI258)</f>
        <v>1</v>
      </c>
      <c r="BA258" s="3">
        <f>IF(ISERROR(LEN(VLOOKUP(A258,Seqs!A:E,2,FALSE))-AL258),"-",LEN(VLOOKUP(A258,Seqs!A:E,2,FALSE))-AL258)</f>
        <v>28</v>
      </c>
      <c r="BB258" s="16">
        <f>J258-D258</f>
        <v>28</v>
      </c>
      <c r="BC258" s="9">
        <f>IF(ISERROR(V258-S258),"-",V258-S258)</f>
        <v>22</v>
      </c>
      <c r="BD258" s="3">
        <f>J258-D258</f>
        <v>28</v>
      </c>
      <c r="BE258" s="3">
        <f>AE258-AB258</f>
        <v>43</v>
      </c>
    </row>
    <row r="259" spans="1:58" s="3" customFormat="1" x14ac:dyDescent="0.2">
      <c r="A259" s="3" t="s">
        <v>189</v>
      </c>
      <c r="B259" s="3" t="str">
        <f>LOWER(VLOOKUP(A259,Xtal_Templ!A:B,2,FALSE))</f>
        <v>ccr9_human</v>
      </c>
      <c r="C259" s="3">
        <f>VLOOKUP($A259,'SegEnds_NonXtal_BW#'!$A:$Z,3,FALSE)+D259-50</f>
        <v>26</v>
      </c>
      <c r="D259" s="3">
        <v>49</v>
      </c>
      <c r="E259" s="3">
        <f>IF(ISERROR(VLOOKUP($A259,'SegEnds_NonXtal_BW#'!$A:$Z,4,FALSE)+VLOOKUP($A259,A:AL,4,FALSE)-50),"-",(VLOOKUP($A259,'SegEnds_NonXtal_BW#'!$A:$Z,4,FALSE)+VLOOKUP($A259,A:AL,4,FALSE)-50))</f>
        <v>59</v>
      </c>
      <c r="F259" s="3">
        <f>G259-2</f>
        <v>60</v>
      </c>
      <c r="G259" s="3">
        <v>62</v>
      </c>
      <c r="H259" s="3">
        <f>G259+1</f>
        <v>63</v>
      </c>
      <c r="I259" s="3">
        <f>H259+1</f>
        <v>64</v>
      </c>
      <c r="J259" s="3">
        <v>77</v>
      </c>
      <c r="K259" s="3">
        <f>VLOOKUP($A259,'SegEnds_NonXtal_BW#'!$A:$Z,8,FALSE)+VLOOKUP($A259,A:AL,10,FALSE)-50</f>
        <v>93</v>
      </c>
      <c r="L259" s="3">
        <f>M259-1</f>
        <v>94</v>
      </c>
      <c r="M259" s="3">
        <v>95</v>
      </c>
      <c r="N259" s="3">
        <f>M259+2</f>
        <v>97</v>
      </c>
      <c r="O259" s="3">
        <f>N259+1</f>
        <v>98</v>
      </c>
      <c r="P259" s="3">
        <v>127</v>
      </c>
      <c r="Q259" s="3">
        <f>VLOOKUP($A259,'SegEnds_NonXtal_BW#'!$A:$Z,12,FALSE)+VLOOKUP($A259,A:AL,16,FALSE)-50</f>
        <v>133</v>
      </c>
      <c r="R259" s="3">
        <f>IF(ISERROR(VLOOKUP($A259,'SegEnds_NonXtal_BW#'!$A:$Z,13,FALSE)+VLOOKUP($A259,A:AL,19,FALSE)-50),"-",VLOOKUP($A259,'SegEnds_NonXtal_BW#'!$A:$Z,13,FALSE)+VLOOKUP($A259,A:AL,19,FALSE)-50)</f>
        <v>134</v>
      </c>
      <c r="S259" s="3">
        <v>134</v>
      </c>
      <c r="T259" s="103">
        <f>IF(ISERROR(VLOOKUP($A259,'SegEnds_NonXtal_BW#'!$A:$Z,14,FALSE)+VLOOKUP($A259,A:AL,19,FALSE)-50),"-",(VLOOKUP($A259,'SegEnds_NonXtal_BW#'!$A:$Z,14,FALSE)+VLOOKUP($A259,A:AL,19,FALSE)-50))</f>
        <v>142</v>
      </c>
      <c r="U259" s="9">
        <f>IF(ISERROR(VLOOKUP($A259,'SegEnds_NonXtal_BW#'!$A:$Z,15,FALSE)+VLOOKUP($A259,A:AL,22,FALSE)-50),"-",VLOOKUP($A259,'SegEnds_NonXtal_BW#'!$A:$Z,15,FALSE)+VLOOKUP($A259,A:AL,22,FALSE)-50)</f>
        <v>144</v>
      </c>
      <c r="V259" s="3">
        <v>156</v>
      </c>
      <c r="W259" s="3">
        <f>IF(ISERROR(VLOOKUP($A259,'SegEnds_NonXtal_BW#'!$A:$Z,16,FALSE)+VLOOKUP($A259,A:AL,22,FALSE)-50),"-",(VLOOKUP($A259,'SegEnds_NonXtal_BW#'!$A:$Z,16,FALSE)+VLOOKUP($A259,A:AL,22,FALSE)-50))</f>
        <v>170</v>
      </c>
      <c r="X259" s="3">
        <f>IF(ISERROR(VLOOKUP($A259,'SegEnds_NonXtal_BW#'!$A:$Z,17,FALSE)+VLOOKUP($A259,A:AL,25,FALSE)-50),"-",(VLOOKUP($A259,'SegEnds_NonXtal_BW#'!$A:$Z,17,FALSE)+VLOOKUP($A259,A:AL,25,FALSE)-50))</f>
        <v>180</v>
      </c>
      <c r="Y259" s="3">
        <v>180</v>
      </c>
      <c r="Z259" s="3">
        <f>Y259+2</f>
        <v>182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203</v>
      </c>
      <c r="AC259" s="3">
        <f>IF(ISERROR((VLOOKUP($A259,'SegEnds_NonXtal_BW#'!$A:$Z,20,FALSE)+VLOOKUP($A259,A:AL,28,FALSE)-50)),"-",(VLOOKUP($A259,'SegEnds_NonXtal_BW#'!$A:$Z,20,FALSE)+VLOOKUP($A259,A:AL,28,FALSE)-50))</f>
        <v>221</v>
      </c>
      <c r="AD259" s="3">
        <f>IF(ISERROR(VLOOKUP($A259,'SegEnds_NonXtal_BW#'!$A:$Z,21,FALSE)+VLOOKUP($A259,A:AL,31,FALSE)-50),"-",(VLOOKUP($A259,'SegEnds_NonXtal_BW#'!$A:$Z,21,FALSE)+VLOOKUP($A259,A:AL,31,FALSE)-50))</f>
        <v>226</v>
      </c>
      <c r="AE259" s="3">
        <v>246</v>
      </c>
      <c r="AF259" s="3">
        <f>IF(ISERROR((VLOOKUP($A259,'SegEnds_NonXtal_BW#'!$A:$Z,22,FALSE)+VLOOKUP($A259,A:AL,31,FALSE)-50)),"-",(VLOOKUP($A259,'SegEnds_NonXtal_BW#'!$A:$Z,22,FALSE)+VLOOKUP($A259,A:AL,31,FALSE)-50))</f>
        <v>257</v>
      </c>
      <c r="AG259" s="3">
        <f>IF(ISERROR(VLOOKUP($A259,'SegEnds_NonXtal_BW#'!$A:$Z,23,FALSE)+VLOOKUP($A259,A:AL,34,FALSE)-50),"-",(VLOOKUP($A259,'SegEnds_NonXtal_BW#'!$A:$Z,23,FALSE)+VLOOKUP($A259,A:AL,34,FALSE)-50))</f>
        <v>263</v>
      </c>
      <c r="AH259" s="3">
        <v>285</v>
      </c>
      <c r="AI259" s="3">
        <f>IF(ISERROR((VLOOKUP($A259,'SegEnds_NonXtal_BW#'!$A:$Z,24,FALSE)+VLOOKUP($A259,A:AL,34,FALSE)-50)),"-",(VLOOKUP($A259,'SegEnds_NonXtal_BW#'!$A:$Z,24,FALSE)+VLOOKUP($A259,A:AL,34,FALSE)-50))</f>
        <v>291</v>
      </c>
      <c r="AJ259" s="3">
        <f>IF(ISERROR(VLOOKUP($A259,'SegEnds_NonXtal_BW#'!$A:$Z,25,FALSE)+VLOOKUP($A259,A:AL,37,FALSE)-50),"-",(VLOOKUP($A259,'SegEnds_NonXtal_BW#'!$A:$Z,25,FALSE)+VLOOKUP($A259,A:AL,37,FALSE)-50))</f>
        <v>292</v>
      </c>
      <c r="AK259" s="3">
        <v>295</v>
      </c>
      <c r="AL259" s="3">
        <f>IF(ISERROR((VLOOKUP($A259,'SegEnds_NonXtal_BW#'!$A:$Z,26,FALSE)+VLOOKUP($A259,A:AL,37,FALSE)-50)),"-",(VLOOKUP($A259,'SegEnds_NonXtal_BW#'!$A:$Z,26,FALSE)+VLOOKUP($A259,A:AL,37,FALSE)-50))</f>
        <v>312</v>
      </c>
      <c r="AM259" s="28" t="str">
        <f>VLOOKUP(A259,Classification!A:B,2,FALSE)</f>
        <v>A</v>
      </c>
      <c r="AN259" s="28" t="b">
        <f>AND(IF(Y259="-",IF(AA259-W259&gt;3,TRUE,FALSE),TRUE),IF(M259="-",IF(O259-K259&gt;3,TRUE,FALSE),TRUE),C259&lt;E259,OR(E259&lt;F259,F259="-"),OR(F259&lt;H259,F259="-"),OR(H259&lt;I259,H259="-"),I259&lt;K259,OR(K259&lt;L259,L259="-"),OR(L259&lt;N259,L259="-"),OR(N259&lt;O259,N259="-"),O259&lt;Q259,OR(Q259&lt;R259,R259="-"),OR(R259&lt;T259,R259="-"),OR(T259&lt;U259,T259="-"),U259&lt;W259,OR(W259&lt;X259,X259="-"),OR(X259&lt;Z259,X259="-"),OR(Z259&lt;AA259,Z259="-"),AA259&lt;AC259,AC259&lt;AD259,AD259&lt;AF259,AF259&lt;AG259,AG259&lt;AI259,OR(AI259&lt;AJ259,AJ259="-"),OR(AJ259&lt;AL259,AJ259="-"))</f>
        <v>1</v>
      </c>
      <c r="AO259" s="3" t="str">
        <f>IF(ISERROR(MATCH(A259,'SegEnds_Xtal_Prot#'!B:B, 0)), "NoXtal", "Xtal")</f>
        <v>NoXtal</v>
      </c>
      <c r="AP259" s="3">
        <f>IF(ISERROR(F259-E259),"-",F259-E259)</f>
        <v>1</v>
      </c>
      <c r="AQ259" s="3">
        <f>IF(ISERROR(I259-H259),"-",I259-H259)</f>
        <v>1</v>
      </c>
      <c r="AR259" s="3">
        <f>IF(ISERROR(L259-K259),"-",L259-K259)</f>
        <v>1</v>
      </c>
      <c r="AS259" s="3">
        <f>IF(ISERROR(O259-N259),"-",O259-N259)</f>
        <v>1</v>
      </c>
      <c r="AT259" s="3">
        <f>IF(ISERROR(R259-Q259),"-",R259-Q259)</f>
        <v>1</v>
      </c>
      <c r="AU259" s="3">
        <f>IF(ISERROR(U259-T259),"-",U259-T259)</f>
        <v>2</v>
      </c>
      <c r="AV259" s="3">
        <f>IF(ISERROR(X259-W259),"-",X259-W259)</f>
        <v>10</v>
      </c>
      <c r="AW259" s="3">
        <f>IF(ISERROR(AA259-Z259),"-",AA259-Z259)</f>
        <v>4</v>
      </c>
      <c r="AX259" s="3">
        <f>IF(ISERROR(AD259-AC259),"-",AD259-AC259)</f>
        <v>5</v>
      </c>
      <c r="AY259" s="3">
        <f>IF(ISERROR(AG259-AF259),"-",AG259-AF259)</f>
        <v>6</v>
      </c>
      <c r="AZ259" s="3">
        <f>IF(ISERROR(AJ259-AI259),"-",AJ259-AI259)</f>
        <v>1</v>
      </c>
      <c r="BA259" s="3">
        <f>IF(ISERROR(LEN(VLOOKUP(A259,Seqs!A:E,2,FALSE))-AL259),"-",LEN(VLOOKUP(A259,Seqs!A:E,2,FALSE))-AL259)</f>
        <v>30</v>
      </c>
      <c r="BB259" s="16">
        <f>J259-D259</f>
        <v>28</v>
      </c>
      <c r="BC259" s="9">
        <f>IF(ISERROR(V259-S259),"-",V259-S259)</f>
        <v>22</v>
      </c>
      <c r="BD259" s="3">
        <f>J259-D259</f>
        <v>28</v>
      </c>
      <c r="BE259" s="3">
        <f>AE259-AB259</f>
        <v>43</v>
      </c>
    </row>
    <row r="260" spans="1:58" s="3" customFormat="1" x14ac:dyDescent="0.2">
      <c r="A260" s="3" t="s">
        <v>192</v>
      </c>
      <c r="B260" s="3" t="str">
        <f>LOWER(VLOOKUP(A260,Xtal_Templ!A:B,2,FALSE))</f>
        <v>drd3_human</v>
      </c>
      <c r="C260" s="3">
        <f>VLOOKUP($A260,'SegEnds_NonXtal_BW#'!$A:$Z,3,FALSE)+D260-50</f>
        <v>26</v>
      </c>
      <c r="D260" s="3">
        <v>47</v>
      </c>
      <c r="E260" s="3">
        <f>IF(ISERROR(VLOOKUP($A260,'SegEnds_NonXtal_BW#'!$A:$Z,4,FALSE)+VLOOKUP($A260,A:AL,4,FALSE)-50),"-",(VLOOKUP($A260,'SegEnds_NonXtal_BW#'!$A:$Z,4,FALSE)+VLOOKUP($A260,A:AL,4,FALSE)-50))</f>
        <v>57</v>
      </c>
      <c r="F260" s="3">
        <f>G260-2</f>
        <v>58</v>
      </c>
      <c r="G260" s="3">
        <v>60</v>
      </c>
      <c r="H260" s="3">
        <f>G260+1</f>
        <v>61</v>
      </c>
      <c r="I260" s="3">
        <f>H260+1</f>
        <v>62</v>
      </c>
      <c r="J260" s="3">
        <v>75</v>
      </c>
      <c r="K260" s="3">
        <f>VLOOKUP($A260,'SegEnds_NonXtal_BW#'!$A:$Z,8,FALSE)+VLOOKUP($A260,A:AL,10,FALSE)-50</f>
        <v>92</v>
      </c>
      <c r="L260" s="3">
        <f>M260-1</f>
        <v>95</v>
      </c>
      <c r="M260" s="3">
        <v>96</v>
      </c>
      <c r="N260" s="3">
        <f>M260+2</f>
        <v>98</v>
      </c>
      <c r="O260" s="3">
        <f>N260+1</f>
        <v>99</v>
      </c>
      <c r="P260" s="3">
        <v>128</v>
      </c>
      <c r="Q260" s="3">
        <f>VLOOKUP($A260,'SegEnds_NonXtal_BW#'!$A:$Z,12,FALSE)+VLOOKUP($A260,A:AL,16,FALSE)-50</f>
        <v>134</v>
      </c>
      <c r="R260" s="3">
        <f>IF(ISERROR(VLOOKUP($A260,'SegEnds_NonXtal_BW#'!$A:$Z,13,FALSE)+VLOOKUP($A260,A:AL,19,FALSE)-50),"-",VLOOKUP($A260,'SegEnds_NonXtal_BW#'!$A:$Z,13,FALSE)+VLOOKUP($A260,A:AL,19,FALSE)-50)</f>
        <v>135</v>
      </c>
      <c r="S260" s="3">
        <v>135</v>
      </c>
      <c r="T260" s="103">
        <f>IF(ISERROR(VLOOKUP($A260,'SegEnds_NonXtal_BW#'!$A:$Z,14,FALSE)+VLOOKUP($A260,A:AL,19,FALSE)-50),"-",(VLOOKUP($A260,'SegEnds_NonXtal_BW#'!$A:$Z,14,FALSE)+VLOOKUP($A260,A:AL,19,FALSE)-50))</f>
        <v>143</v>
      </c>
      <c r="U260" s="9">
        <f>IF(ISERROR(VLOOKUP($A260,'SegEnds_NonXtal_BW#'!$A:$Z,15,FALSE)+VLOOKUP($A260,A:AL,22,FALSE)-50),"-",VLOOKUP($A260,'SegEnds_NonXtal_BW#'!$A:$Z,15,FALSE)+VLOOKUP($A260,A:AL,22,FALSE)-50)</f>
        <v>146</v>
      </c>
      <c r="V260" s="3">
        <v>158</v>
      </c>
      <c r="W260" s="3">
        <f>IF(ISERROR(VLOOKUP($A260,'SegEnds_NonXtal_BW#'!$A:$Z,16,FALSE)+VLOOKUP($A260,A:AL,22,FALSE)-50),"-",(VLOOKUP($A260,'SegEnds_NonXtal_BW#'!$A:$Z,16,FALSE)+VLOOKUP($A260,A:AL,22,FALSE)-50))</f>
        <v>171</v>
      </c>
      <c r="X260" s="3">
        <f>IF(ISERROR(VLOOKUP($A260,'SegEnds_NonXtal_BW#'!$A:$Z,17,FALSE)+VLOOKUP($A260,A:AL,25,FALSE)-50),"-",(VLOOKUP($A260,'SegEnds_NonXtal_BW#'!$A:$Z,17,FALSE)+VLOOKUP($A260,A:AL,25,FALSE)-50))</f>
        <v>181</v>
      </c>
      <c r="Y260" s="3">
        <v>181</v>
      </c>
      <c r="Z260" s="3">
        <f>Y260+2</f>
        <v>183</v>
      </c>
      <c r="AA260" s="3">
        <f>IF(ISERROR(VLOOKUP($A260,'SegEnds_NonXtal_BW#'!$A:$Z,19,FALSE)+VLOOKUP($A260,A:AL,28,FALSE)-50),"-",(VLOOKUP($A260,'SegEnds_NonXtal_BW#'!$A:$Z,19,FALSE)+VLOOKUP($A260,A:AL,28,FALSE)-50))</f>
        <v>185</v>
      </c>
      <c r="AB260" s="3">
        <v>200</v>
      </c>
      <c r="AC260" s="3">
        <f>IF(ISERROR((VLOOKUP($A260,'SegEnds_NonXtal_BW#'!$A:$Z,20,FALSE)+VLOOKUP($A260,A:AL,28,FALSE)-50)),"-",(VLOOKUP($A260,'SegEnds_NonXtal_BW#'!$A:$Z,20,FALSE)+VLOOKUP($A260,A:AL,28,FALSE)-50))</f>
        <v>226</v>
      </c>
      <c r="AD260" s="3">
        <f>IF(ISERROR(VLOOKUP($A260,'SegEnds_NonXtal_BW#'!$A:$Z,21,FALSE)+VLOOKUP($A260,A:AL,31,FALSE)-50),"-",(VLOOKUP($A260,'SegEnds_NonXtal_BW#'!$A:$Z,21,FALSE)+VLOOKUP($A260,A:AL,31,FALSE)-50))</f>
        <v>318</v>
      </c>
      <c r="AE260" s="3">
        <v>344</v>
      </c>
      <c r="AF260" s="3">
        <f>IF(ISERROR((VLOOKUP($A260,'SegEnds_NonXtal_BW#'!$A:$Z,22,FALSE)+VLOOKUP($A260,A:AL,31,FALSE)-50)),"-",(VLOOKUP($A260,'SegEnds_NonXtal_BW#'!$A:$Z,22,FALSE)+VLOOKUP($A260,A:AL,31,FALSE)-50))</f>
        <v>354</v>
      </c>
      <c r="AG260" s="3">
        <f>IF(ISERROR(VLOOKUP($A260,'SegEnds_NonXtal_BW#'!$A:$Z,23,FALSE)+VLOOKUP($A260,A:AL,34,FALSE)-50),"-",(VLOOKUP($A260,'SegEnds_NonXtal_BW#'!$A:$Z,23,FALSE)+VLOOKUP($A260,A:AL,34,FALSE)-50))</f>
        <v>361</v>
      </c>
      <c r="AH260" s="3">
        <v>380</v>
      </c>
      <c r="AI260" s="3">
        <f>IF(ISERROR((VLOOKUP($A260,'SegEnds_NonXtal_BW#'!$A:$Z,24,FALSE)+VLOOKUP($A260,A:AL,34,FALSE)-50)),"-",(VLOOKUP($A260,'SegEnds_NonXtal_BW#'!$A:$Z,24,FALSE)+VLOOKUP($A260,A:AL,34,FALSE)-50))</f>
        <v>386</v>
      </c>
      <c r="AJ260" s="3">
        <f>IF(ISERROR(VLOOKUP($A260,'SegEnds_NonXtal_BW#'!$A:$Z,25,FALSE)+VLOOKUP($A260,A:AL,37,FALSE)-50),"-",(VLOOKUP($A260,'SegEnds_NonXtal_BW#'!$A:$Z,25,FALSE)+VLOOKUP($A260,A:AL,37,FALSE)-50))</f>
        <v>387</v>
      </c>
      <c r="AK260" s="3">
        <v>390</v>
      </c>
      <c r="AL260" s="3">
        <f>IF(ISERROR((VLOOKUP($A260,'SegEnds_NonXtal_BW#'!$A:$Z,26,FALSE)+VLOOKUP($A260,A:AL,37,FALSE)-50)),"-",(VLOOKUP($A260,'SegEnds_NonXtal_BW#'!$A:$Z,26,FALSE)+VLOOKUP($A260,A:AL,37,FALSE)-50))</f>
        <v>399</v>
      </c>
      <c r="AM260" s="28" t="str">
        <f>VLOOKUP(A260,Classification!A:B,2,FALSE)</f>
        <v>A</v>
      </c>
      <c r="AN260" s="28" t="b">
        <f>AND(IF(Y260="-",IF(AA260-W260&gt;3,TRUE,FALSE),TRUE),IF(M260="-",IF(O260-K260&gt;3,TRUE,FALSE),TRUE),C260&lt;E260,OR(E260&lt;F260,F260="-"),OR(F260&lt;H260,F260="-"),OR(H260&lt;I260,H260="-"),I260&lt;K260,OR(K260&lt;L260,L260="-"),OR(L260&lt;N260,L260="-"),OR(N260&lt;O260,N260="-"),O260&lt;Q260,OR(Q260&lt;R260,R260="-"),OR(R260&lt;T260,R260="-"),OR(T260&lt;U260,T260="-"),U260&lt;W260,OR(W260&lt;X260,X260="-"),OR(X260&lt;Z260,X260="-"),OR(Z260&lt;AA260,Z260="-"),AA260&lt;AC260,AC260&lt;AD260,AD260&lt;AF260,AF260&lt;AG260,AG260&lt;AI260,OR(AI260&lt;AJ260,AJ260="-"),OR(AJ260&lt;AL260,AJ260="-"))</f>
        <v>1</v>
      </c>
      <c r="AO260" s="3" t="str">
        <f>IF(ISERROR(MATCH(A260,'SegEnds_Xtal_Prot#'!B:B, 0)), "NoXtal", "Xtal")</f>
        <v>Xtal</v>
      </c>
      <c r="AP260" s="3">
        <f>IF(ISERROR(F260-E260),"-",F260-E260)</f>
        <v>1</v>
      </c>
      <c r="AQ260" s="3">
        <f>IF(ISERROR(I260-H260),"-",I260-H260)</f>
        <v>1</v>
      </c>
      <c r="AR260" s="3">
        <f>IF(ISERROR(L260-K260),"-",L260-K260)</f>
        <v>3</v>
      </c>
      <c r="AS260" s="3">
        <f>IF(ISERROR(O260-N260),"-",O260-N260)</f>
        <v>1</v>
      </c>
      <c r="AT260" s="3">
        <f>IF(ISERROR(R260-Q260),"-",R260-Q260)</f>
        <v>1</v>
      </c>
      <c r="AU260" s="3">
        <f>IF(ISERROR(U260-T260),"-",U260-T260)</f>
        <v>3</v>
      </c>
      <c r="AV260" s="3">
        <f>IF(ISERROR(X260-W260),"-",X260-W260)</f>
        <v>10</v>
      </c>
      <c r="AW260" s="3">
        <f>IF(ISERROR(AA260-Z260),"-",AA260-Z260)</f>
        <v>2</v>
      </c>
      <c r="AX260" s="3">
        <f>IF(ISERROR(AD260-AC260),"-",AD260-AC260)</f>
        <v>92</v>
      </c>
      <c r="AY260" s="3">
        <f>IF(ISERROR(AG260-AF260),"-",AG260-AF260)</f>
        <v>7</v>
      </c>
      <c r="AZ260" s="3">
        <f>IF(ISERROR(AJ260-AI260),"-",AJ260-AI260)</f>
        <v>1</v>
      </c>
      <c r="BA260" s="3">
        <f>IF(ISERROR(LEN(VLOOKUP(A260,Seqs!A:E,2,FALSE))-AL260),"-",LEN(VLOOKUP(A260,Seqs!A:E,2,FALSE))-AL260)</f>
        <v>1</v>
      </c>
      <c r="BB260" s="16">
        <f>J260-D260</f>
        <v>28</v>
      </c>
      <c r="BC260" s="9">
        <f>IF(ISERROR(V260-S260),"-",V260-S260)</f>
        <v>23</v>
      </c>
      <c r="BD260" s="3">
        <f>J260-D260</f>
        <v>28</v>
      </c>
      <c r="BE260" s="3">
        <f>AE260-AB260</f>
        <v>144</v>
      </c>
      <c r="BF260" s="3">
        <f>AH260-AE260</f>
        <v>36</v>
      </c>
    </row>
    <row r="261" spans="1:58" s="3" customFormat="1" x14ac:dyDescent="0.2">
      <c r="A261" s="3" t="s">
        <v>142</v>
      </c>
      <c r="B261" s="3" t="str">
        <f>LOWER(VLOOKUP(A261,Xtal_Templ!A:B,2,FALSE))</f>
        <v>ccr9_human</v>
      </c>
      <c r="C261" s="3">
        <f>VLOOKUP($A261,'SegEnds_NonXtal_BW#'!$A:$Z,3,FALSE)+D261-50</f>
        <v>53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 t="str">
        <f>IF(ISERROR(VLOOKUP($A261,'SegEnds_NonXtal_BW#'!$A:$Z,5,FALSE)+VLOOKUP($A261,A:AL,7,FALSE)-50),"-",(VLOOKUP($A261,'SegEnds_NonXtal_BW#'!$A:$Z,5,FALSE)+VLOOKUP($A261,A:AL,7,FALSE)-50))</f>
        <v>-</v>
      </c>
      <c r="G261" s="3" t="s">
        <v>23</v>
      </c>
      <c r="H261" s="3" t="str">
        <f>IF(ISERROR(VLOOKUP($A261,'SegEnds_NonXtal_BW#'!$A:$Z,6,FALSE)+VLOOKUP($A261,A:AL,7,FALSE)-50),"-",(VLOOKUP($A261,'SegEnds_NonXtal_BW#'!$A:$Z,6,FALSE)+VLOOKUP($A261,A:AL,7,FALSE)-50))</f>
        <v>-</v>
      </c>
      <c r="I261" s="3">
        <f>VLOOKUP($A261,'SegEnds_NonXtal_BW#'!$A:$Z,7,FALSE)+J261-50</f>
        <v>93</v>
      </c>
      <c r="J261" s="3">
        <v>106</v>
      </c>
      <c r="K261" s="3">
        <f>VLOOKUP($A261,'SegEnds_NonXtal_BW#'!$A:$Z,8,FALSE)+VLOOKUP($A261,A:AL,10,FALSE)-50</f>
        <v>122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128</v>
      </c>
      <c r="P261" s="3">
        <v>154</v>
      </c>
      <c r="Q261" s="3">
        <f>VLOOKUP($A261,'SegEnds_NonXtal_BW#'!$A:$Z,12,FALSE)+VLOOKUP($A261,A:AL,16,FALSE)-50</f>
        <v>160</v>
      </c>
      <c r="R261" s="3" t="str">
        <f>IF(ISERROR(VLOOKUP($A261,'SegEnds_NonXtal_BW#'!$A:$Z,13,FALSE)+VLOOKUP($A261,A:AL,19,FALSE)-50),"-",VLOOKUP($A261,'SegEnds_NonXtal_BW#'!$A:$Z,13,FALSE)+VLOOKUP($A261,A:AL,19,FALSE)-50)</f>
        <v>-</v>
      </c>
      <c r="S261" s="3" t="s">
        <v>23</v>
      </c>
      <c r="T261" s="103" t="str">
        <f>IF(ISERROR(VLOOKUP($A261,'SegEnds_NonXtal_BW#'!$A:$Z,14,FALSE)+VLOOKUP($A261,A:AL,19,FALSE)-50),"-",(VLOOKUP($A261,'SegEnds_NonXtal_BW#'!$A:$Z,14,FALSE)+VLOOKUP($A261,A:AL,19,FALSE)-50))</f>
        <v>-</v>
      </c>
      <c r="U261" s="9">
        <f>IF(ISERROR(VLOOKUP($A261,'SegEnds_NonXtal_BW#'!$A:$Z,15,FALSE)+VLOOKUP($A261,A:AL,22,FALSE)-50),"-",VLOOKUP($A261,'SegEnds_NonXtal_BW#'!$A:$Z,15,FALSE)+VLOOKUP($A261,A:AL,22,FALSE)-50)</f>
        <v>162</v>
      </c>
      <c r="V261" s="3">
        <v>174</v>
      </c>
      <c r="W261" s="3">
        <f>IF(ISERROR(VLOOKUP($A261,'SegEnds_NonXtal_BW#'!$A:$Z,16,FALSE)+VLOOKUP($A261,A:AL,22,FALSE)-50),"-",(VLOOKUP($A261,'SegEnds_NonXtal_BW#'!$A:$Z,16,FALSE)+VLOOKUP($A261,A:AL,22,FALSE)-50))</f>
        <v>188</v>
      </c>
      <c r="X261" s="3">
        <f>IF(ISERROR(VLOOKUP($A261,'SegEnds_NonXtal_BW#'!$A:$Z,17,FALSE)+VLOOKUP($A261,A:AL,25,FALSE)-50),"-",(VLOOKUP($A261,'SegEnds_NonXtal_BW#'!$A:$Z,17,FALSE)+VLOOKUP($A261,A:AL,25,FALSE)-50))</f>
        <v>195</v>
      </c>
      <c r="Y261" s="3">
        <v>195</v>
      </c>
      <c r="Z261" s="3">
        <f>Y261+2</f>
        <v>197</v>
      </c>
      <c r="AA261" s="3">
        <f>IF(ISERROR(VLOOKUP($A261,'SegEnds_NonXtal_BW#'!$A:$Z,19,FALSE)+VLOOKUP($A261,A:AL,28,FALSE)-50),"-",(VLOOKUP($A261,'SegEnds_NonXtal_BW#'!$A:$Z,19,FALSE)+VLOOKUP($A261,A:AL,28,FALSE)-50))</f>
        <v>201</v>
      </c>
      <c r="AB261" s="3">
        <v>218</v>
      </c>
      <c r="AC261" s="3">
        <f>IF(ISERROR((VLOOKUP($A261,'SegEnds_NonXtal_BW#'!$A:$Z,20,FALSE)+VLOOKUP($A261,A:AL,28,FALSE)-50)),"-",(VLOOKUP($A261,'SegEnds_NonXtal_BW#'!$A:$Z,20,FALSE)+VLOOKUP($A261,A:AL,28,FALSE)-50))</f>
        <v>232</v>
      </c>
      <c r="AD261" s="3">
        <f>IF(ISERROR(VLOOKUP($A261,'SegEnds_NonXtal_BW#'!$A:$Z,21,FALSE)+VLOOKUP($A261,A:AL,31,FALSE)-50),"-",(VLOOKUP($A261,'SegEnds_NonXtal_BW#'!$A:$Z,21,FALSE)+VLOOKUP($A261,A:AL,31,FALSE)-50))</f>
        <v>239</v>
      </c>
      <c r="AE261" s="3">
        <v>255</v>
      </c>
      <c r="AF261" s="3">
        <f>IF(ISERROR((VLOOKUP($A261,'SegEnds_NonXtal_BW#'!$A:$Z,22,FALSE)+VLOOKUP($A261,A:AL,31,FALSE)-50)),"-",(VLOOKUP($A261,'SegEnds_NonXtal_BW#'!$A:$Z,22,FALSE)+VLOOKUP($A261,A:AL,31,FALSE)-50))</f>
        <v>269</v>
      </c>
      <c r="AG261" s="3">
        <f>IF(ISERROR(VLOOKUP($A261,'SegEnds_NonXtal_BW#'!$A:$Z,23,FALSE)+VLOOKUP($A261,A:AL,34,FALSE)-50),"-",(VLOOKUP($A261,'SegEnds_NonXtal_BW#'!$A:$Z,23,FALSE)+VLOOKUP($A261,A:AL,34,FALSE)-50))</f>
        <v>275</v>
      </c>
      <c r="AH261" s="3">
        <v>301</v>
      </c>
      <c r="AI261" s="3">
        <f>IF(ISERROR((VLOOKUP($A261,'SegEnds_NonXtal_BW#'!$A:$Z,24,FALSE)+VLOOKUP($A261,A:AL,34,FALSE)-50)),"-",(VLOOKUP($A261,'SegEnds_NonXtal_BW#'!$A:$Z,24,FALSE)+VLOOKUP($A261,A:AL,34,FALSE)-50))</f>
        <v>307</v>
      </c>
      <c r="AJ261" s="3">
        <f>IF(ISERROR(VLOOKUP($A261,'SegEnds_NonXtal_BW#'!$A:$Z,25,FALSE)+VLOOKUP($A261,A:AL,37,FALSE)-50),"-",(VLOOKUP($A261,'SegEnds_NonXtal_BW#'!$A:$Z,25,FALSE)+VLOOKUP($A261,A:AL,37,FALSE)-50))</f>
        <v>308</v>
      </c>
      <c r="AK261" s="3">
        <v>311</v>
      </c>
      <c r="AL261" s="3">
        <f>IF(ISERROR((VLOOKUP($A261,'SegEnds_NonXtal_BW#'!$A:$Z,26,FALSE)+VLOOKUP($A261,A:AL,37,FALSE)-50)),"-",(VLOOKUP($A261,'SegEnds_NonXtal_BW#'!$A:$Z,26,FALSE)+VLOOKUP($A261,A:AL,37,FALSE)-50))</f>
        <v>328</v>
      </c>
      <c r="AM261" s="28" t="str">
        <f>VLOOKUP(A261,Classification!A:B,2,FALSE)</f>
        <v>A</v>
      </c>
      <c r="AN261" s="28" t="b">
        <f>AND(IF(Y261="-",IF(AA261-W261&gt;3,TRUE,FALSE),TRUE),IF(M261="-",IF(O261-K261&gt;3,TRUE,FALSE),TRU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 t="str">
        <f>IF(ISERROR(F261-E261),"-",F261-E261)</f>
        <v>-</v>
      </c>
      <c r="AQ261" s="3" t="str">
        <f>IF(ISERROR(I261-H261),"-",I261-H261)</f>
        <v>-</v>
      </c>
      <c r="AR261" s="3" t="str">
        <f>IF(ISERROR(L261-K261),"-",L261-K261)</f>
        <v>-</v>
      </c>
      <c r="AS261" s="3" t="str">
        <f>IF(ISERROR(O261-N261),"-",O261-N261)</f>
        <v>-</v>
      </c>
      <c r="AT261" s="3" t="str">
        <f>IF(ISERROR(R261-Q261),"-",R261-Q261)</f>
        <v>-</v>
      </c>
      <c r="AU261" s="3" t="str">
        <f>IF(ISERROR(U261-T261),"-",U261-T261)</f>
        <v>-</v>
      </c>
      <c r="AV261" s="3">
        <f>IF(ISERROR(X261-W261),"-",X261-W261)</f>
        <v>7</v>
      </c>
      <c r="AW261" s="3">
        <f>IF(ISERROR(AA261-Z261),"-",AA261-Z261)</f>
        <v>4</v>
      </c>
      <c r="AX261" s="3">
        <f>IF(ISERROR(AD261-AC261),"-",AD261-AC261)</f>
        <v>7</v>
      </c>
      <c r="AY261" s="3">
        <f>IF(ISERROR(AG261-AF261),"-",AG261-AF261)</f>
        <v>6</v>
      </c>
      <c r="AZ261" s="3">
        <f>IF(ISERROR(AJ261-AI261),"-",AJ261-AI261)</f>
        <v>1</v>
      </c>
      <c r="BA261" s="3">
        <f>IF(ISERROR(LEN(VLOOKUP(A261,Seqs!A:E,2,FALSE))-AL261),"-",LEN(VLOOKUP(A261,Seqs!A:E,2,FALSE))-AL261)</f>
        <v>8</v>
      </c>
      <c r="BB261" s="16">
        <f>J261-D261</f>
        <v>30</v>
      </c>
      <c r="BC261" s="9" t="str">
        <f>IF(ISERROR(V261-S261),"-",V261-S261)</f>
        <v>-</v>
      </c>
      <c r="BD261" s="3">
        <f>J261-D261</f>
        <v>30</v>
      </c>
      <c r="BE261" s="3">
        <f>AE261-AB261</f>
        <v>37</v>
      </c>
      <c r="BF261" s="3">
        <f>AH261-AE261</f>
        <v>46</v>
      </c>
    </row>
    <row r="262" spans="1:58" s="3" customFormat="1" x14ac:dyDescent="0.2">
      <c r="A262" s="3" t="s">
        <v>144</v>
      </c>
      <c r="B262" s="3" t="str">
        <f>LOWER(VLOOKUP(A262,Xtal_Templ!A:B,2,FALSE))</f>
        <v>agtr1_human</v>
      </c>
      <c r="C262" s="3">
        <f>VLOOKUP($A262,'SegEnds_NonXtal_BW#'!$A:$Z,3,FALSE)+D262-50</f>
        <v>42</v>
      </c>
      <c r="D262" s="3">
        <v>62</v>
      </c>
      <c r="E262" s="3">
        <f>IF(ISERROR(VLOOKUP($A262,'SegEnds_NonXtal_BW#'!$A:$Z,4,FALSE)+VLOOKUP($A262,A:AL,4,FALSE)-50),"-",(VLOOKUP($A262,'SegEnds_NonXtal_BW#'!$A:$Z,4,FALSE)+VLOOKUP($A262,A:AL,4,FALSE)-50))</f>
        <v>72</v>
      </c>
      <c r="F262" s="3">
        <f>G262-2</f>
        <v>73</v>
      </c>
      <c r="G262" s="3">
        <v>75</v>
      </c>
      <c r="H262" s="3">
        <f>G262+1</f>
        <v>76</v>
      </c>
      <c r="I262" s="3">
        <f>H262+1</f>
        <v>77</v>
      </c>
      <c r="J262" s="3">
        <v>90</v>
      </c>
      <c r="K262" s="3">
        <f>VLOOKUP($A262,'SegEnds_NonXtal_BW#'!$A:$Z,8,FALSE)+VLOOKUP($A262,A:AL,10,FALSE)-50</f>
        <v>106</v>
      </c>
      <c r="L262" s="3">
        <f>IF(ISERROR(VLOOKUP($A262,'SegEnds_NonXtal_BW#'!$A:$Z,9,FALSE)+VLOOKUP($A262,A:AL,13,FALSE)-50),"-",(VLOOKUP($A262,'SegEnds_NonXtal_BW#'!$A:$Z,9,FALSE)+VLOOKUP($A262,A:AL,13,FALSE)-50))</f>
        <v>109</v>
      </c>
      <c r="M262" s="3">
        <v>110</v>
      </c>
      <c r="N262" s="3">
        <f>IF(ISERROR(VLOOKUP($A262,'SegEnds_NonXtal_BW#'!$A:$Z,10,FALSE)+VLOOKUP($A262,A:AL,13,FALSE)-50),"-",(VLOOKUP($A262,'SegEnds_NonXtal_BW#'!$A:$Z,10,FALSE)+VLOOKUP($A262,A:AL,13,FALSE)-50))</f>
        <v>112</v>
      </c>
      <c r="O262" s="3">
        <f>VLOOKUP($A262,'SegEnds_NonXtal_BW#'!$A:$Z,11,FALSE)+VLOOKUP($A262,A:AL,16,FALSE)-50</f>
        <v>113</v>
      </c>
      <c r="P262" s="3">
        <v>142</v>
      </c>
      <c r="Q262" s="3">
        <f>VLOOKUP($A262,'SegEnds_NonXtal_BW#'!$A:$Z,12,FALSE)+VLOOKUP($A262,A:AL,16,FALSE)-50</f>
        <v>148</v>
      </c>
      <c r="R262" s="3" t="str">
        <f>IF(ISERROR(VLOOKUP($A262,'SegEnds_NonXtal_BW#'!$A:$Z,13,FALSE)+VLOOKUP($A262,A:AL,19,FALSE)-50),"-",VLOOKUP($A262,'SegEnds_NonXtal_BW#'!$A:$Z,13,FALSE)+VLOOKUP($A262,A:AL,19,FALSE)-50)</f>
        <v>-</v>
      </c>
      <c r="S262" s="3" t="s">
        <v>23</v>
      </c>
      <c r="T262" s="103" t="str">
        <f>IF(ISERROR(VLOOKUP($A262,'SegEnds_NonXtal_BW#'!$A:$Z,14,FALSE)+VLOOKUP($A262,A:AL,19,FALSE)-50),"-",(VLOOKUP($A262,'SegEnds_NonXtal_BW#'!$A:$Z,14,FALSE)+VLOOKUP($A262,A:AL,19,FALSE)-50))</f>
        <v>-</v>
      </c>
      <c r="U262" s="9">
        <f>IF(ISERROR(VLOOKUP($A262,'SegEnds_NonXtal_BW#'!$A:$Z,15,FALSE)+VLOOKUP($A262,A:AL,22,FALSE)-50),"-",VLOOKUP($A262,'SegEnds_NonXtal_BW#'!$A:$Z,15,FALSE)+VLOOKUP($A262,A:AL,22,FALSE)-50)</f>
        <v>157</v>
      </c>
      <c r="V262" s="3">
        <v>169</v>
      </c>
      <c r="W262" s="3">
        <f>IF(ISERROR(VLOOKUP($A262,'SegEnds_NonXtal_BW#'!$A:$Z,16,FALSE)+VLOOKUP($A262,A:AL,22,FALSE)-50),"-",(VLOOKUP($A262,'SegEnds_NonXtal_BW#'!$A:$Z,16,FALSE)+VLOOKUP($A262,A:AL,22,FALSE)-50))</f>
        <v>183</v>
      </c>
      <c r="X262" s="3">
        <f>IF(ISERROR(VLOOKUP($A262,'SegEnds_NonXtal_BW#'!$A:$Z,17,FALSE)+VLOOKUP($A262,A:AL,25,FALSE)-50),"-",(VLOOKUP($A262,'SegEnds_NonXtal_BW#'!$A:$Z,17,FALSE)+VLOOKUP($A262,A:AL,25,FALSE)-50))</f>
        <v>196</v>
      </c>
      <c r="Y262" s="3">
        <v>196</v>
      </c>
      <c r="Z262" s="3">
        <f>Y262+2</f>
        <v>198</v>
      </c>
      <c r="AA262" s="3">
        <f>IF(ISERROR(VLOOKUP($A262,'SegEnds_NonXtal_BW#'!$A:$Z,19,FALSE)+VLOOKUP($A262,A:AL,28,FALSE)-50),"-",(VLOOKUP($A262,'SegEnds_NonXtal_BW#'!$A:$Z,19,FALSE)+VLOOKUP($A262,A:AL,28,FALSE)-50))</f>
        <v>208</v>
      </c>
      <c r="AB262" s="3">
        <v>224</v>
      </c>
      <c r="AC262" s="3">
        <f>IF(ISERROR((VLOOKUP($A262,'SegEnds_NonXtal_BW#'!$A:$Z,20,FALSE)+VLOOKUP($A262,A:AL,28,FALSE)-50)),"-",(VLOOKUP($A262,'SegEnds_NonXtal_BW#'!$A:$Z,20,FALSE)+VLOOKUP($A262,A:AL,28,FALSE)-50))</f>
        <v>242</v>
      </c>
      <c r="AD262" s="3">
        <f>IF(ISERROR(VLOOKUP($A262,'SegEnds_NonXtal_BW#'!$A:$Z,21,FALSE)+VLOOKUP($A262,A:AL,31,FALSE)-50),"-",(VLOOKUP($A262,'SegEnds_NonXtal_BW#'!$A:$Z,21,FALSE)+VLOOKUP($A262,A:AL,31,FALSE)-50))</f>
        <v>247</v>
      </c>
      <c r="AE262" s="3">
        <v>267</v>
      </c>
      <c r="AF262" s="3">
        <f>IF(ISERROR((VLOOKUP($A262,'SegEnds_NonXtal_BW#'!$A:$Z,22,FALSE)+VLOOKUP($A262,A:AL,31,FALSE)-50)),"-",(VLOOKUP($A262,'SegEnds_NonXtal_BW#'!$A:$Z,22,FALSE)+VLOOKUP($A262,A:AL,31,FALSE)-50))</f>
        <v>281</v>
      </c>
      <c r="AG262" s="3">
        <f>IF(ISERROR(VLOOKUP($A262,'SegEnds_NonXtal_BW#'!$A:$Z,23,FALSE)+VLOOKUP($A262,A:AL,34,FALSE)-50),"-",(VLOOKUP($A262,'SegEnds_NonXtal_BW#'!$A:$Z,23,FALSE)+VLOOKUP($A262,A:AL,34,FALSE)-50))</f>
        <v>286</v>
      </c>
      <c r="AH262" s="3">
        <v>312</v>
      </c>
      <c r="AI262" s="3">
        <f>IF(ISERROR((VLOOKUP($A262,'SegEnds_NonXtal_BW#'!$A:$Z,24,FALSE)+VLOOKUP($A262,A:AL,34,FALSE)-50)),"-",(VLOOKUP($A262,'SegEnds_NonXtal_BW#'!$A:$Z,24,FALSE)+VLOOKUP($A262,A:AL,34,FALSE)-50))</f>
        <v>318</v>
      </c>
      <c r="AJ262" s="3">
        <f>IF(ISERROR(VLOOKUP($A262,'SegEnds_NonXtal_BW#'!$A:$Z,25,FALSE)+VLOOKUP($A262,A:AL,37,FALSE)-50),"-",(VLOOKUP($A262,'SegEnds_NonXtal_BW#'!$A:$Z,25,FALSE)+VLOOKUP($A262,A:AL,37,FALSE)-50))</f>
        <v>319</v>
      </c>
      <c r="AK262" s="3">
        <v>322</v>
      </c>
      <c r="AL262" s="3">
        <f>IF(ISERROR((VLOOKUP($A262,'SegEnds_NonXtal_BW#'!$A:$Z,26,FALSE)+VLOOKUP($A262,A:AL,37,FALSE)-50)),"-",(VLOOKUP($A262,'SegEnds_NonXtal_BW#'!$A:$Z,26,FALSE)+VLOOKUP($A262,A:AL,37,FALSE)-50))</f>
        <v>333</v>
      </c>
      <c r="AM262" s="28" t="str">
        <f>VLOOKUP(A262,Classification!A:B,2,FALSE)</f>
        <v>A</v>
      </c>
      <c r="AN262" s="28" t="b">
        <f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>IF(ISERROR(F262-E262),"-",F262-E262)</f>
        <v>1</v>
      </c>
      <c r="AQ262" s="3">
        <f>IF(ISERROR(I262-H262),"-",I262-H262)</f>
        <v>1</v>
      </c>
      <c r="AR262" s="3">
        <f>IF(ISERROR(L262-K262),"-",L262-K262)</f>
        <v>3</v>
      </c>
      <c r="AS262" s="3">
        <f>IF(ISERROR(O262-N262),"-",O262-N262)</f>
        <v>1</v>
      </c>
      <c r="AT262" s="3" t="str">
        <f>IF(ISERROR(R262-Q262),"-",R262-Q262)</f>
        <v>-</v>
      </c>
      <c r="AU262" s="3" t="str">
        <f>IF(ISERROR(U262-T262),"-",U262-T262)</f>
        <v>-</v>
      </c>
      <c r="AV262" s="3">
        <f>IF(ISERROR(X262-W262),"-",X262-W262)</f>
        <v>13</v>
      </c>
      <c r="AW262" s="3">
        <f>IF(ISERROR(AA262-Z262),"-",AA262-Z262)</f>
        <v>10</v>
      </c>
      <c r="AX262" s="3">
        <f>IF(ISERROR(AD262-AC262),"-",AD262-AC262)</f>
        <v>5</v>
      </c>
      <c r="AY262" s="3">
        <f>IF(ISERROR(AG262-AF262),"-",AG262-AF262)</f>
        <v>5</v>
      </c>
      <c r="AZ262" s="3">
        <f>IF(ISERROR(AJ262-AI262),"-",AJ262-AI262)</f>
        <v>1</v>
      </c>
      <c r="BA262" s="3">
        <f>IF(ISERROR(LEN(VLOOKUP(A262,Seqs!A:E,2,FALSE))-AL262),"-",LEN(VLOOKUP(A262,Seqs!A:E,2,FALSE))-AL262)</f>
        <v>29</v>
      </c>
      <c r="BB262" s="16">
        <f>J262-D262</f>
        <v>28</v>
      </c>
      <c r="BC262" s="9" t="str">
        <f>IF(ISERROR(V262-S262),"-",V262-S262)</f>
        <v>-</v>
      </c>
      <c r="BD262" s="3">
        <f>J262-D262</f>
        <v>28</v>
      </c>
      <c r="BE262" s="3">
        <f>AE262-AB262</f>
        <v>43</v>
      </c>
      <c r="BF262" s="3">
        <f>AH262-AE262</f>
        <v>45</v>
      </c>
    </row>
    <row r="263" spans="1:58" s="3" customFormat="1" x14ac:dyDescent="0.2">
      <c r="A263" s="3" t="s">
        <v>145</v>
      </c>
      <c r="B263" s="3" t="str">
        <f>LOWER(VLOOKUP(A263,Xtal_Templ!A:B,2,FALSE))</f>
        <v>ccr9_human</v>
      </c>
      <c r="C263" s="3">
        <f>VLOOKUP($A263,'SegEnds_NonXtal_BW#'!$A:$Z,3,FALSE)+D263-50</f>
        <v>36</v>
      </c>
      <c r="D263" s="3">
        <v>59</v>
      </c>
      <c r="E263" s="3">
        <f>IF(ISERROR(VLOOKUP($A263,'SegEnds_NonXtal_BW#'!$A:$Z,4,FALSE)+VLOOKUP($A263,A:AL,4,FALSE)-50),"-",(VLOOKUP($A263,'SegEnds_NonXtal_BW#'!$A:$Z,4,FALSE)+VLOOKUP($A263,A:AL,4,FALSE)-50))</f>
        <v>69</v>
      </c>
      <c r="F263" s="3">
        <f>G263-2</f>
        <v>70</v>
      </c>
      <c r="G263" s="3">
        <v>72</v>
      </c>
      <c r="H263" s="3">
        <f>G263+1</f>
        <v>73</v>
      </c>
      <c r="I263" s="3">
        <f>H263+1</f>
        <v>74</v>
      </c>
      <c r="J263" s="3">
        <v>87</v>
      </c>
      <c r="K263" s="3">
        <f>VLOOKUP($A263,'SegEnds_NonXtal_BW#'!$A:$Z,8,FALSE)+VLOOKUP($A263,A:AL,10,FALSE)-50</f>
        <v>103</v>
      </c>
      <c r="L263" s="3">
        <f>IF(ISERROR(VLOOKUP($A263,'SegEnds_NonXtal_BW#'!$A:$Z,9,FALSE)+VLOOKUP($A263,A:AL,13,FALSE)-50),"-",(VLOOKUP($A263,'SegEnds_NonXtal_BW#'!$A:$Z,9,FALSE)+VLOOKUP($A263,A:AL,13,FALSE)-50))</f>
        <v>104</v>
      </c>
      <c r="M263" s="3">
        <v>105</v>
      </c>
      <c r="N263" s="3">
        <f>IF(ISERROR(VLOOKUP($A263,'SegEnds_NonXtal_BW#'!$A:$Z,10,FALSE)+VLOOKUP($A263,A:AL,13,FALSE)-50),"-",(VLOOKUP($A263,'SegEnds_NonXtal_BW#'!$A:$Z,10,FALSE)+VLOOKUP($A263,A:AL,13,FALSE)-50))</f>
        <v>107</v>
      </c>
      <c r="O263" s="3">
        <f>VLOOKUP($A263,'SegEnds_NonXtal_BW#'!$A:$Z,11,FALSE)+VLOOKUP($A263,A:AL,16,FALSE)-50</f>
        <v>108</v>
      </c>
      <c r="P263" s="3">
        <v>137</v>
      </c>
      <c r="Q263" s="3">
        <f>VLOOKUP($A263,'SegEnds_NonXtal_BW#'!$A:$Z,12,FALSE)+VLOOKUP($A263,A:AL,16,FALSE)-50</f>
        <v>143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3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150</v>
      </c>
      <c r="V263" s="3">
        <v>162</v>
      </c>
      <c r="W263" s="3">
        <f>IF(ISERROR(VLOOKUP($A263,'SegEnds_NonXtal_BW#'!$A:$Z,16,FALSE)+VLOOKUP($A263,A:AL,22,FALSE)-50),"-",(VLOOKUP($A263,'SegEnds_NonXtal_BW#'!$A:$Z,16,FALSE)+VLOOKUP($A263,A:AL,22,FALSE)-50))</f>
        <v>176</v>
      </c>
      <c r="X263" s="3">
        <f>IF(ISERROR(VLOOKUP($A263,'SegEnds_NonXtal_BW#'!$A:$Z,17,FALSE)+VLOOKUP($A263,A:AL,25,FALSE)-50),"-",(VLOOKUP($A263,'SegEnds_NonXtal_BW#'!$A:$Z,17,FALSE)+VLOOKUP($A263,A:AL,25,FALSE)-50))</f>
        <v>184</v>
      </c>
      <c r="Y263" s="3">
        <v>184</v>
      </c>
      <c r="Z263" s="3">
        <f>Y263+2</f>
        <v>186</v>
      </c>
      <c r="AA263" s="3">
        <f>IF(ISERROR(VLOOKUP($A263,'SegEnds_NonXtal_BW#'!$A:$Z,19,FALSE)+VLOOKUP($A263,A:AL,28,FALSE)-50),"-",(VLOOKUP($A263,'SegEnds_NonXtal_BW#'!$A:$Z,19,FALSE)+VLOOKUP($A263,A:AL,28,FALSE)-50))</f>
        <v>195</v>
      </c>
      <c r="AB263" s="3">
        <v>212</v>
      </c>
      <c r="AC263" s="3">
        <f>IF(ISERROR((VLOOKUP($A263,'SegEnds_NonXtal_BW#'!$A:$Z,20,FALSE)+VLOOKUP($A263,A:AL,28,FALSE)-50)),"-",(VLOOKUP($A263,'SegEnds_NonXtal_BW#'!$A:$Z,20,FALSE)+VLOOKUP($A263,A:AL,28,FALSE)-50))</f>
        <v>230</v>
      </c>
      <c r="AD263" s="3">
        <f>IF(ISERROR(VLOOKUP($A263,'SegEnds_NonXtal_BW#'!$A:$Z,21,FALSE)+VLOOKUP($A263,A:AL,31,FALSE)-50),"-",(VLOOKUP($A263,'SegEnds_NonXtal_BW#'!$A:$Z,21,FALSE)+VLOOKUP($A263,A:AL,31,FALSE)-50))</f>
        <v>235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274</v>
      </c>
      <c r="AH263" s="3">
        <v>300</v>
      </c>
      <c r="AI263" s="3">
        <f>IF(ISERROR((VLOOKUP($A263,'SegEnds_NonXtal_BW#'!$A:$Z,24,FALSE)+VLOOKUP($A263,A:AL,34,FALSE)-50)),"-",(VLOOKUP($A263,'SegEnds_NonXtal_BW#'!$A:$Z,24,FALSE)+VLOOKUP($A263,A:AL,34,FALSE)-50))</f>
        <v>306</v>
      </c>
      <c r="AJ263" s="3">
        <f>IF(ISERROR(VLOOKUP($A263,'SegEnds_NonXtal_BW#'!$A:$Z,25,FALSE)+VLOOKUP($A263,A:AL,37,FALSE)-50),"-",(VLOOKUP($A263,'SegEnds_NonXtal_BW#'!$A:$Z,25,FALSE)+VLOOKUP($A263,A:AL,37,FALSE)-50))</f>
        <v>307</v>
      </c>
      <c r="AK263" s="3">
        <v>310</v>
      </c>
      <c r="AL263" s="3">
        <f>IF(ISERROR((VLOOKUP($A263,'SegEnds_NonXtal_BW#'!$A:$Z,26,FALSE)+VLOOKUP($A263,A:AL,37,FALSE)-50)),"-",(VLOOKUP($A263,'SegEnds_NonXtal_BW#'!$A:$Z,26,FALSE)+VLOOKUP($A263,A:AL,37,FALSE)-50))</f>
        <v>327</v>
      </c>
      <c r="AM263" s="28" t="str">
        <f>VLOOKUP(A263,Classification!A:B,2,FALSE)</f>
        <v>A</v>
      </c>
      <c r="AN263" s="28" t="b">
        <f>AND(IF(Y263="-",IF(AA263-W263&gt;3,TRUE,FALSE),TRUE),IF(M263="-",IF(O263-K263&gt;3,TRUE,FALSE),TRU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>IF(ISERROR(F263-E263),"-",F263-E263)</f>
        <v>1</v>
      </c>
      <c r="AQ263" s="3">
        <f>IF(ISERROR(I263-H263),"-",I263-H263)</f>
        <v>1</v>
      </c>
      <c r="AR263" s="3">
        <f>IF(ISERROR(L263-K263),"-",L263-K263)</f>
        <v>1</v>
      </c>
      <c r="AS263" s="3">
        <f>IF(ISERROR(O263-N263),"-",O263-N263)</f>
        <v>1</v>
      </c>
      <c r="AT263" s="3" t="str">
        <f>IF(ISERROR(R263-Q263),"-",R263-Q263)</f>
        <v>-</v>
      </c>
      <c r="AU263" s="3" t="str">
        <f>IF(ISERROR(U263-T263),"-",U263-T263)</f>
        <v>-</v>
      </c>
      <c r="AV263" s="3">
        <f>IF(ISERROR(X263-W263),"-",X263-W263)</f>
        <v>8</v>
      </c>
      <c r="AW263" s="3">
        <f>IF(ISERROR(AA263-Z263),"-",AA263-Z263)</f>
        <v>9</v>
      </c>
      <c r="AX263" s="3">
        <f>IF(ISERROR(AD263-AC263),"-",AD263-AC263)</f>
        <v>5</v>
      </c>
      <c r="AY263" s="3">
        <f>IF(ISERROR(AG263-AF263),"-",AG263-AF263)</f>
        <v>5</v>
      </c>
      <c r="AZ263" s="3">
        <f>IF(ISERROR(AJ263-AI263),"-",AJ263-AI263)</f>
        <v>1</v>
      </c>
      <c r="BA263" s="3">
        <f>IF(ISERROR(LEN(VLOOKUP(A263,Seqs!A:E,2,FALSE))-AL263),"-",LEN(VLOOKUP(A263,Seqs!A:E,2,FALSE))-AL263)</f>
        <v>23</v>
      </c>
      <c r="BB263" s="16">
        <f>J263-D263</f>
        <v>28</v>
      </c>
      <c r="BC263" s="9" t="str">
        <f>IF(ISERROR(V263-S263),"-",V263-S263)</f>
        <v>-</v>
      </c>
      <c r="BD263" s="3">
        <f>J263-D263</f>
        <v>28</v>
      </c>
      <c r="BE263" s="3">
        <f>AE263-AB263</f>
        <v>43</v>
      </c>
    </row>
    <row r="264" spans="1:58" s="3" customFormat="1" x14ac:dyDescent="0.2">
      <c r="A264" s="3" t="s">
        <v>169</v>
      </c>
      <c r="B264" s="3" t="str">
        <f>LOWER(VLOOKUP(A264,Xtal_Templ!A:B,2,FALSE))</f>
        <v>ccr9_human</v>
      </c>
      <c r="C264" s="3">
        <f>VLOOKUP($A264,'SegEnds_NonXtal_BW#'!$A:$Z,3,FALSE)+D264-50</f>
        <v>36</v>
      </c>
      <c r="D264" s="3">
        <v>59</v>
      </c>
      <c r="E264" s="3">
        <f>IF(ISERROR(VLOOKUP($A264,'SegEnds_NonXtal_BW#'!$A:$Z,4,FALSE)+VLOOKUP($A264,A:AL,4,FALSE)-50),"-",(VLOOKUP($A264,'SegEnds_NonXtal_BW#'!$A:$Z,4,FALSE)+VLOOKUP($A264,A:AL,4,FALSE)-50))</f>
        <v>69</v>
      </c>
      <c r="F264" s="3">
        <f>G264-2</f>
        <v>70</v>
      </c>
      <c r="G264" s="3">
        <v>72</v>
      </c>
      <c r="H264" s="3">
        <f>G264+1</f>
        <v>73</v>
      </c>
      <c r="I264" s="3">
        <f>H264+1</f>
        <v>74</v>
      </c>
      <c r="J264" s="3">
        <v>88</v>
      </c>
      <c r="K264" s="3">
        <f>VLOOKUP($A264,'SegEnds_NonXtal_BW#'!$A:$Z,8,FALSE)+VLOOKUP($A264,A:AL,10,FALSE)-50</f>
        <v>104</v>
      </c>
      <c r="L264" s="3">
        <f>M264-1</f>
        <v>105</v>
      </c>
      <c r="M264" s="3">
        <v>106</v>
      </c>
      <c r="N264" s="3">
        <f>M264+2</f>
        <v>108</v>
      </c>
      <c r="O264" s="3">
        <f>N264+1</f>
        <v>109</v>
      </c>
      <c r="P264" s="3">
        <v>138</v>
      </c>
      <c r="Q264" s="3">
        <f>VLOOKUP($A264,'SegEnds_NonXtal_BW#'!$A:$Z,12,FALSE)+VLOOKUP($A264,A:AL,16,FALSE)-50</f>
        <v>144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3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154</v>
      </c>
      <c r="V264" s="3">
        <v>166</v>
      </c>
      <c r="W264" s="3">
        <f>IF(ISERROR(VLOOKUP($A264,'SegEnds_NonXtal_BW#'!$A:$Z,16,FALSE)+VLOOKUP($A264,A:AL,22,FALSE)-50),"-",(VLOOKUP($A264,'SegEnds_NonXtal_BW#'!$A:$Z,16,FALSE)+VLOOKUP($A264,A:AL,22,FALSE)-50))</f>
        <v>180</v>
      </c>
      <c r="X264" s="3">
        <f>IF(ISERROR(VLOOKUP($A264,'SegEnds_NonXtal_BW#'!$A:$Z,17,FALSE)+VLOOKUP($A264,A:AL,25,FALSE)-50),"-",(VLOOKUP($A264,'SegEnds_NonXtal_BW#'!$A:$Z,17,FALSE)+VLOOKUP($A264,A:AL,25,FALSE)-50))</f>
        <v>191</v>
      </c>
      <c r="Y264" s="3">
        <v>191</v>
      </c>
      <c r="Z264" s="3">
        <f>Y264+2</f>
        <v>193</v>
      </c>
      <c r="AA264" s="3">
        <f>IF(ISERROR(VLOOKUP($A264,'SegEnds_NonXtal_BW#'!$A:$Z,19,FALSE)+VLOOKUP($A264,A:AL,28,FALSE)-50),"-",(VLOOKUP($A264,'SegEnds_NonXtal_BW#'!$A:$Z,19,FALSE)+VLOOKUP($A264,A:AL,28,FALSE)-50))</f>
        <v>202</v>
      </c>
      <c r="AB264" s="3">
        <v>219</v>
      </c>
      <c r="AC264" s="3">
        <f>IF(ISERROR((VLOOKUP($A264,'SegEnds_NonXtal_BW#'!$A:$Z,20,FALSE)+VLOOKUP($A264,A:AL,28,FALSE)-50)),"-",(VLOOKUP($A264,'SegEnds_NonXtal_BW#'!$A:$Z,20,FALSE)+VLOOKUP($A264,A:AL,28,FALSE)-50))</f>
        <v>237</v>
      </c>
      <c r="AD264" s="3">
        <f>IF(ISERROR(VLOOKUP($A264,'SegEnds_NonXtal_BW#'!$A:$Z,21,FALSE)+VLOOKUP($A264,A:AL,31,FALSE)-50),"-",(VLOOKUP($A264,'SegEnds_NonXtal_BW#'!$A:$Z,21,FALSE)+VLOOKUP($A264,A:AL,31,FALSE)-50))</f>
        <v>242</v>
      </c>
      <c r="AE264" s="3">
        <v>262</v>
      </c>
      <c r="AF264" s="3">
        <f>IF(ISERROR((VLOOKUP($A264,'SegEnds_NonXtal_BW#'!$A:$Z,22,FALSE)+VLOOKUP($A264,A:AL,31,FALSE)-50)),"-",(VLOOKUP($A264,'SegEnds_NonXtal_BW#'!$A:$Z,22,FALSE)+VLOOKUP($A264,A:AL,31,FALSE)-50))</f>
        <v>277</v>
      </c>
      <c r="AG264" s="3">
        <f>IF(ISERROR(VLOOKUP($A264,'SegEnds_NonXtal_BW#'!$A:$Z,23,FALSE)+VLOOKUP($A264,A:AL,34,FALSE)-50),"-",(VLOOKUP($A264,'SegEnds_NonXtal_BW#'!$A:$Z,23,FALSE)+VLOOKUP($A264,A:AL,34,FALSE)-50))</f>
        <v>281</v>
      </c>
      <c r="AH264" s="3">
        <v>307</v>
      </c>
      <c r="AI264" s="3">
        <f>IF(ISERROR((VLOOKUP($A264,'SegEnds_NonXtal_BW#'!$A:$Z,24,FALSE)+VLOOKUP($A264,A:AL,34,FALSE)-50)),"-",(VLOOKUP($A264,'SegEnds_NonXtal_BW#'!$A:$Z,24,FALSE)+VLOOKUP($A264,A:AL,34,FALSE)-50))</f>
        <v>313</v>
      </c>
      <c r="AJ264" s="3">
        <f>IF(ISERROR(VLOOKUP($A264,'SegEnds_NonXtal_BW#'!$A:$Z,25,FALSE)+VLOOKUP($A264,A:AL,37,FALSE)-50),"-",(VLOOKUP($A264,'SegEnds_NonXtal_BW#'!$A:$Z,25,FALSE)+VLOOKUP($A264,A:AL,37,FALSE)-50))</f>
        <v>314</v>
      </c>
      <c r="AK264" s="3">
        <v>317</v>
      </c>
      <c r="AL264" s="3">
        <f>IF(ISERROR((VLOOKUP($A264,'SegEnds_NonXtal_BW#'!$A:$Z,26,FALSE)+VLOOKUP($A264,A:AL,37,FALSE)-50)),"-",(VLOOKUP($A264,'SegEnds_NonXtal_BW#'!$A:$Z,26,FALSE)+VLOOKUP($A264,A:AL,37,FALSE)-50))</f>
        <v>334</v>
      </c>
      <c r="AM264" s="28" t="str">
        <f>VLOOKUP(A264,Classification!A:B,2,FALSE)</f>
        <v>A</v>
      </c>
      <c r="AN264" s="28" t="b">
        <f>AND(IF(Y264="-",IF(AA264-W264&gt;3,TRUE,FALSE),TRUE),IF(M264="-",IF(O264-K264&gt;3,TRUE,FALSE),TRUE),C264&lt;E264,OR(E264&lt;F264,F264="-"),OR(F264&lt;H264,F264="-"),OR(H264&lt;I264,H264="-"),I264&lt;K264,OR(K264&lt;L264,L264="-"),OR(L264&lt;N264,L264="-"),OR(N264&lt;O264,N264="-"),O264&lt;Q264,OR(Q264&lt;R264,R264="-"),OR(R264&lt;T264,R264="-"),OR(T264&lt;U264,T264="-"),U264&lt;W264,OR(W264&lt;X264,X264="-"),OR(X264&lt;Z264,X264="-"),OR(Z264&lt;AA264,Z264="-"),AA264&lt;AC264,AC264&lt;AD264,AD264&lt;AF264,AF264&lt;AG264,AG264&lt;AI264,OR(AI264&lt;AJ264,AJ264="-"),OR(AJ264&lt;AL264,AJ264="-"))</f>
        <v>1</v>
      </c>
      <c r="AO264" s="3" t="str">
        <f>IF(ISERROR(MATCH(A264,'SegEnds_Xtal_Prot#'!B:B, 0)), "NoXtal", "Xtal")</f>
        <v>NoXtal</v>
      </c>
      <c r="AP264" s="3">
        <f>IF(ISERROR(F264-E264),"-",F264-E264)</f>
        <v>1</v>
      </c>
      <c r="AQ264" s="3">
        <f>IF(ISERROR(I264-H264),"-",I264-H264)</f>
        <v>1</v>
      </c>
      <c r="AR264" s="3">
        <f>IF(ISERROR(L264-K264),"-",L264-K264)</f>
        <v>1</v>
      </c>
      <c r="AS264" s="3">
        <f>IF(ISERROR(O264-N264),"-",O264-N264)</f>
        <v>1</v>
      </c>
      <c r="AT264" s="3" t="str">
        <f>IF(ISERROR(R264-Q264),"-",R264-Q264)</f>
        <v>-</v>
      </c>
      <c r="AU264" s="3" t="str">
        <f>IF(ISERROR(U264-T264),"-",U264-T264)</f>
        <v>-</v>
      </c>
      <c r="AV264" s="3">
        <f>IF(ISERROR(X264-W264),"-",X264-W264)</f>
        <v>11</v>
      </c>
      <c r="AW264" s="3">
        <f>IF(ISERROR(AA264-Z264),"-",AA264-Z264)</f>
        <v>9</v>
      </c>
      <c r="AX264" s="3">
        <f>IF(ISERROR(AD264-AC264),"-",AD264-AC264)</f>
        <v>5</v>
      </c>
      <c r="AY264" s="3">
        <f>IF(ISERROR(AG264-AF264),"-",AG264-AF264)</f>
        <v>4</v>
      </c>
      <c r="AZ264" s="3">
        <f>IF(ISERROR(AJ264-AI264),"-",AJ264-AI264)</f>
        <v>1</v>
      </c>
      <c r="BA264" s="3">
        <f>IF(ISERROR(LEN(VLOOKUP(A264,Seqs!A:E,2,FALSE))-AL264),"-",LEN(VLOOKUP(A264,Seqs!A:E,2,FALSE))-AL264)</f>
        <v>28</v>
      </c>
      <c r="BB264" s="16">
        <f>J264-D264</f>
        <v>29</v>
      </c>
      <c r="BC264" s="9" t="str">
        <f>IF(ISERROR(V264-S264),"-",V264-S264)</f>
        <v>-</v>
      </c>
      <c r="BD264" s="3">
        <f>J264-D264</f>
        <v>29</v>
      </c>
      <c r="BE264" s="3">
        <f>AE264-AB264</f>
        <v>43</v>
      </c>
    </row>
    <row r="265" spans="1:58" s="3" customFormat="1" x14ac:dyDescent="0.2">
      <c r="A265" s="3" t="s">
        <v>214</v>
      </c>
      <c r="B265" s="3" t="str">
        <f>LOWER(VLOOKUP(A265,Xtal_Templ!A:B,2,FALSE))</f>
        <v>p2ry1_human</v>
      </c>
      <c r="C265" s="3">
        <f>VLOOKUP($A265,'SegEnds_NonXtal_BW#'!$A:$Z,3,FALSE)+D265-50</f>
        <v>40</v>
      </c>
      <c r="D265" s="3">
        <v>60</v>
      </c>
      <c r="E265" s="3">
        <f>IF(ISERROR(VLOOKUP($A265,'SegEnds_NonXtal_BW#'!$A:$Z,4,FALSE)+VLOOKUP($A265,A:AL,4,FALSE)-50),"-",(VLOOKUP($A265,'SegEnds_NonXtal_BW#'!$A:$Z,4,FALSE)+VLOOKUP($A265,A:AL,4,FALSE)-50))</f>
        <v>70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75</v>
      </c>
      <c r="J265" s="3">
        <v>88</v>
      </c>
      <c r="K265" s="3">
        <f>VLOOKUP($A265,'SegEnds_NonXtal_BW#'!$A:$Z,8,FALSE)+VLOOKUP($A265,A:AL,10,FALSE)-50</f>
        <v>104</v>
      </c>
      <c r="L265" s="3">
        <f>M265-1</f>
        <v>107</v>
      </c>
      <c r="M265" s="3">
        <v>108</v>
      </c>
      <c r="N265" s="3">
        <f>M265+2</f>
        <v>110</v>
      </c>
      <c r="O265" s="3">
        <f>N265+1</f>
        <v>111</v>
      </c>
      <c r="P265" s="3">
        <v>140</v>
      </c>
      <c r="Q265" s="3">
        <f>VLOOKUP($A265,'SegEnds_NonXtal_BW#'!$A:$Z,12,FALSE)+VLOOKUP($A265,A:AL,16,FALSE)-50</f>
        <v>146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3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155</v>
      </c>
      <c r="V265" s="3">
        <v>167</v>
      </c>
      <c r="W265" s="3">
        <f>IF(ISERROR(VLOOKUP($A265,'SegEnds_NonXtal_BW#'!$A:$Z,16,FALSE)+VLOOKUP($A265,A:AL,22,FALSE)-50),"-",(VLOOKUP($A265,'SegEnds_NonXtal_BW#'!$A:$Z,16,FALSE)+VLOOKUP($A265,A:AL,22,FALSE)-50))</f>
        <v>181</v>
      </c>
      <c r="X265" s="3">
        <f>IF(ISERROR(VLOOKUP($A265,'SegEnds_NonXtal_BW#'!$A:$Z,17,FALSE)+VLOOKUP($A265,A:AL,25,FALSE)-50),"-",(VLOOKUP($A265,'SegEnds_NonXtal_BW#'!$A:$Z,17,FALSE)+VLOOKUP($A265,A:AL,25,FALSE)-50))</f>
        <v>186</v>
      </c>
      <c r="Y265" s="3">
        <v>186</v>
      </c>
      <c r="Z265" s="3">
        <f>Y265+2</f>
        <v>188</v>
      </c>
      <c r="AA265" s="3">
        <f>IF(ISERROR(VLOOKUP($A265,'SegEnds_NonXtal_BW#'!$A:$Z,19,FALSE)+VLOOKUP($A265,A:AL,28,FALSE)-50),"-",(VLOOKUP($A265,'SegEnds_NonXtal_BW#'!$A:$Z,19,FALSE)+VLOOKUP($A265,A:AL,28,FALSE)-50))</f>
        <v>193</v>
      </c>
      <c r="AB265" s="3">
        <v>211</v>
      </c>
      <c r="AC265" s="3">
        <f>IF(ISERROR((VLOOKUP($A265,'SegEnds_NonXtal_BW#'!$A:$Z,20,FALSE)+VLOOKUP($A265,A:AL,28,FALSE)-50)),"-",(VLOOKUP($A265,'SegEnds_NonXtal_BW#'!$A:$Z,20,FALSE)+VLOOKUP($A265,A:AL,28,FALSE)-50))</f>
        <v>228</v>
      </c>
      <c r="AD265" s="3">
        <f>IF(ISERROR(VLOOKUP($A265,'SegEnds_NonXtal_BW#'!$A:$Z,21,FALSE)+VLOOKUP($A265,A:AL,31,FALSE)-50),"-",(VLOOKUP($A265,'SegEnds_NonXtal_BW#'!$A:$Z,21,FALSE)+VLOOKUP($A265,A:AL,31,FALSE)-50))</f>
        <v>233</v>
      </c>
      <c r="AE265" s="3">
        <v>257</v>
      </c>
      <c r="AF265" s="3">
        <f>IF(ISERROR((VLOOKUP($A265,'SegEnds_NonXtal_BW#'!$A:$Z,22,FALSE)+VLOOKUP($A265,A:AL,31,FALSE)-50)),"-",(VLOOKUP($A265,'SegEnds_NonXtal_BW#'!$A:$Z,22,FALSE)+VLOOKUP($A265,A:AL,31,FALSE)-50))</f>
        <v>271</v>
      </c>
      <c r="AG265" s="3">
        <f>IF(ISERROR(VLOOKUP($A265,'SegEnds_NonXtal_BW#'!$A:$Z,23,FALSE)+VLOOKUP($A265,A:AL,34,FALSE)-50),"-",(VLOOKUP($A265,'SegEnds_NonXtal_BW#'!$A:$Z,23,FALSE)+VLOOKUP($A265,A:AL,34,FALSE)-50))</f>
        <v>279</v>
      </c>
      <c r="AH265" s="3">
        <v>305</v>
      </c>
      <c r="AI265" s="3">
        <f>IF(ISERROR((VLOOKUP($A265,'SegEnds_NonXtal_BW#'!$A:$Z,24,FALSE)+VLOOKUP($A265,A:AL,34,FALSE)-50)),"-",(VLOOKUP($A265,'SegEnds_NonXtal_BW#'!$A:$Z,24,FALSE)+VLOOKUP($A265,A:AL,34,FALSE)-50))</f>
        <v>311</v>
      </c>
      <c r="AJ265" s="3">
        <f>IF(ISERROR(VLOOKUP($A265,'SegEnds_NonXtal_BW#'!$A:$Z,25,FALSE)+VLOOKUP($A265,A:AL,37,FALSE)-50),"-",(VLOOKUP($A265,'SegEnds_NonXtal_BW#'!$A:$Z,25,FALSE)+VLOOKUP($A265,A:AL,37,FALSE)-50))</f>
        <v>312</v>
      </c>
      <c r="AK265" s="3">
        <v>315</v>
      </c>
      <c r="AL265" s="3">
        <f>IF(ISERROR((VLOOKUP($A265,'SegEnds_NonXtal_BW#'!$A:$Z,26,FALSE)+VLOOKUP($A265,A:AL,37,FALSE)-50)),"-",(VLOOKUP($A265,'SegEnds_NonXtal_BW#'!$A:$Z,26,FALSE)+VLOOKUP($A265,A:AL,37,FALSE)-50))</f>
        <v>324</v>
      </c>
      <c r="AM265" s="28" t="str">
        <f>VLOOKUP(A265,Classification!A:B,2,FALSE)</f>
        <v>A</v>
      </c>
      <c r="AN265" s="28" t="b">
        <f>AND(IF(Y265="-",IF(AA265-W265&gt;3,TRUE,FALSE),TRUE),IF(M265="-",IF(O265-K265&gt;3,TRUE,FALSE),TRUE),C265&lt;E265,OR(E265&lt;F265,F265="-"),OR(F265&lt;H265,F265="-"),OR(H265&lt;I265,H265="-"),I265&lt;K265,OR(K265&lt;L265,L265="-"),OR(L265&lt;N265,L265="-"),OR(N265&lt;O265,N265="-"),O265&lt;Q265,OR(Q265&lt;R265,R265="-"),OR(R265&lt;T265,R265="-"),OR(T265&lt;U265,T265="-"),U265&lt;W265,OR(W265&lt;X265,X265="-"),OR(X265&lt;Z265,X265="-"),OR(Z265&lt;AA265,Z265="-"),AA265&lt;AC265,AC265&lt;AD265,AD265&lt;AF265,AF265&lt;AG265,AG265&lt;AI265,OR(AI265&lt;AJ265,AJ265="-"),OR(AJ265&lt;AL265,AJ265="-"))</f>
        <v>1</v>
      </c>
      <c r="AO265" s="3" t="str">
        <f>IF(ISERROR(MATCH(A265,'SegEnds_Xtal_Prot#'!B:B, 0)), "NoXtal", "Xtal")</f>
        <v>NoXtal</v>
      </c>
      <c r="AP265" s="3" t="str">
        <f>IF(ISERROR(F265-E265),"-",F265-E265)</f>
        <v>-</v>
      </c>
      <c r="AQ265" s="3" t="str">
        <f>IF(ISERROR(I265-H265),"-",I265-H265)</f>
        <v>-</v>
      </c>
      <c r="AR265" s="3">
        <f>IF(ISERROR(L265-K265),"-",L265-K265)</f>
        <v>3</v>
      </c>
      <c r="AS265" s="3">
        <f>IF(ISERROR(O265-N265),"-",O265-N265)</f>
        <v>1</v>
      </c>
      <c r="AT265" s="3" t="str">
        <f>IF(ISERROR(R265-Q265),"-",R265-Q265)</f>
        <v>-</v>
      </c>
      <c r="AU265" s="3" t="str">
        <f>IF(ISERROR(U265-T265),"-",U265-T265)</f>
        <v>-</v>
      </c>
      <c r="AV265" s="3">
        <f>IF(ISERROR(X265-W265),"-",X265-W265)</f>
        <v>5</v>
      </c>
      <c r="AW265" s="3">
        <f>IF(ISERROR(AA265-Z265),"-",AA265-Z265)</f>
        <v>5</v>
      </c>
      <c r="AX265" s="3">
        <f>IF(ISERROR(AD265-AC265),"-",AD265-AC265)</f>
        <v>5</v>
      </c>
      <c r="AY265" s="3">
        <f>IF(ISERROR(AG265-AF265),"-",AG265-AF265)</f>
        <v>8</v>
      </c>
      <c r="AZ265" s="3">
        <f>IF(ISERROR(AJ265-AI265),"-",AJ265-AI265)</f>
        <v>1</v>
      </c>
      <c r="BA265" s="3">
        <f>IF(ISERROR(LEN(VLOOKUP(A265,Seqs!A:E,2,FALSE))-AL265),"-",LEN(VLOOKUP(A265,Seqs!A:E,2,FALSE))-AL265)</f>
        <v>56</v>
      </c>
      <c r="BB265" s="16">
        <f>J265-D265</f>
        <v>28</v>
      </c>
      <c r="BC265" s="9" t="str">
        <f>IF(ISERROR(V265-S265),"-",V265-S265)</f>
        <v>-</v>
      </c>
      <c r="BD265" s="3">
        <f>J265-D265</f>
        <v>28</v>
      </c>
      <c r="BE265" s="3">
        <f>AE265-AB265</f>
        <v>46</v>
      </c>
    </row>
    <row r="266" spans="1:58" s="3" customFormat="1" x14ac:dyDescent="0.2">
      <c r="A266" s="3" t="s">
        <v>215</v>
      </c>
      <c r="B266" s="3" t="str">
        <f>LOWER(VLOOKUP(A266,Xtal_Templ!A:B,2,FALSE))</f>
        <v>ox1r_human</v>
      </c>
      <c r="C266" s="3">
        <f>VLOOKUP($A266,'SegEnds_NonXtal_BW#'!$A:$Z,3,FALSE)+D266-50</f>
        <v>103</v>
      </c>
      <c r="D266" s="3">
        <v>121</v>
      </c>
      <c r="E266" s="3">
        <f>IF(ISERROR(VLOOKUP($A266,'SegEnds_NonXtal_BW#'!$A:$Z,4,FALSE)+VLOOKUP($A266,A:AL,4,FALSE)-50),"-",(VLOOKUP($A266,'SegEnds_NonXtal_BW#'!$A:$Z,4,FALSE)+VLOOKUP($A266,A:AL,4,FALSE)-50))</f>
        <v>131</v>
      </c>
      <c r="F266" s="3">
        <f>G266-2</f>
        <v>132</v>
      </c>
      <c r="G266" s="3">
        <v>134</v>
      </c>
      <c r="H266" s="3">
        <f>G266+1</f>
        <v>135</v>
      </c>
      <c r="I266" s="3">
        <f>H266+1</f>
        <v>136</v>
      </c>
      <c r="J266" s="3">
        <v>149</v>
      </c>
      <c r="K266" s="3">
        <f>VLOOKUP($A266,'SegEnds_NonXtal_BW#'!$A:$Z,8,FALSE)+VLOOKUP($A266,A:AL,10,FALSE)-50</f>
        <v>166</v>
      </c>
      <c r="L266" s="3" t="str">
        <f>IF(ISERROR(VLOOKUP($A266,'SegEnds_NonXtal_BW#'!$A:$Z,9,FALSE)+VLOOKUP($A266,A:AL,13,FALSE)-50),"-",(VLOOKUP($A266,'SegEnds_NonXtal_BW#'!$A:$Z,9,FALSE)+VLOOKUP($A266,A:AL,13,FALSE)-50))</f>
        <v>-</v>
      </c>
      <c r="M266" s="3" t="s">
        <v>23</v>
      </c>
      <c r="N266" s="3" t="str">
        <f>IF(ISERROR(VLOOKUP($A266,'SegEnds_NonXtal_BW#'!$A:$Z,10,FALSE)+VLOOKUP($A266,A:AL,13,FALSE)-50),"-",(VLOOKUP($A266,'SegEnds_NonXtal_BW#'!$A:$Z,10,FALSE)+VLOOKUP($A266,A:AL,13,FALSE)-50))</f>
        <v>-</v>
      </c>
      <c r="O266" s="3">
        <f>VLOOKUP($A266,'SegEnds_NonXtal_BW#'!$A:$Z,11,FALSE)+VLOOKUP($A266,A:AL,16,FALSE)-50</f>
        <v>177</v>
      </c>
      <c r="P266" s="3">
        <v>209</v>
      </c>
      <c r="Q266" s="3">
        <f>VLOOKUP($A266,'SegEnds_NonXtal_BW#'!$A:$Z,12,FALSE)+VLOOKUP($A266,A:AL,16,FALSE)-50</f>
        <v>215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3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222</v>
      </c>
      <c r="V266" s="3">
        <v>234</v>
      </c>
      <c r="W266" s="3">
        <f>IF(ISERROR(VLOOKUP($A266,'SegEnds_NonXtal_BW#'!$A:$Z,16,FALSE)+VLOOKUP($A266,A:AL,22,FALSE)-50),"-",(VLOOKUP($A266,'SegEnds_NonXtal_BW#'!$A:$Z,16,FALSE)+VLOOKUP($A266,A:AL,22,FALSE)-50))</f>
        <v>248</v>
      </c>
      <c r="X266" s="3">
        <f>IF(ISERROR(VLOOKUP($A266,'SegEnds_NonXtal_BW#'!$A:$Z,17,FALSE)+VLOOKUP($A266,A:AL,25,FALSE)-50),"-",(VLOOKUP($A266,'SegEnds_NonXtal_BW#'!$A:$Z,17,FALSE)+VLOOKUP($A266,A:AL,25,FALSE)-50))</f>
        <v>262</v>
      </c>
      <c r="Y266" s="3">
        <v>262</v>
      </c>
      <c r="Z266" s="3">
        <f>Y266+2</f>
        <v>264</v>
      </c>
      <c r="AA266" s="3">
        <f>IF(ISERROR(VLOOKUP($A266,'SegEnds_NonXtal_BW#'!$A:$Z,19,FALSE)+VLOOKUP($A266,A:AL,28,FALSE)-50),"-",(VLOOKUP($A266,'SegEnds_NonXtal_BW#'!$A:$Z,19,FALSE)+VLOOKUP($A266,A:AL,28,FALSE)-50))</f>
        <v>271</v>
      </c>
      <c r="AB266" s="3">
        <v>289</v>
      </c>
      <c r="AC266" s="3">
        <f>IF(ISERROR((VLOOKUP($A266,'SegEnds_NonXtal_BW#'!$A:$Z,20,FALSE)+VLOOKUP($A266,A:AL,28,FALSE)-50)),"-",(VLOOKUP($A266,'SegEnds_NonXtal_BW#'!$A:$Z,20,FALSE)+VLOOKUP($A266,A:AL,28,FALSE)-50))</f>
        <v>311</v>
      </c>
      <c r="AD266" s="3">
        <f>IF(ISERROR(VLOOKUP($A266,'SegEnds_NonXtal_BW#'!$A:$Z,21,FALSE)+VLOOKUP($A266,A:AL,31,FALSE)-50),"-",(VLOOKUP($A266,'SegEnds_NonXtal_BW#'!$A:$Z,21,FALSE)+VLOOKUP($A266,A:AL,31,FALSE)-50))</f>
        <v>320</v>
      </c>
      <c r="AE266" s="3">
        <v>346</v>
      </c>
      <c r="AF266" s="3">
        <f>IF(ISERROR((VLOOKUP($A266,'SegEnds_NonXtal_BW#'!$A:$Z,22,FALSE)+VLOOKUP($A266,A:AL,31,FALSE)-50)),"-",(VLOOKUP($A266,'SegEnds_NonXtal_BW#'!$A:$Z,22,FALSE)+VLOOKUP($A266,A:AL,31,FALSE)-50))</f>
        <v>357</v>
      </c>
      <c r="AG266" s="3">
        <f>IF(ISERROR(VLOOKUP($A266,'SegEnds_NonXtal_BW#'!$A:$Z,23,FALSE)+VLOOKUP($A266,A:AL,34,FALSE)-50),"-",(VLOOKUP($A266,'SegEnds_NonXtal_BW#'!$A:$Z,23,FALSE)+VLOOKUP($A266,A:AL,34,FALSE)-50))</f>
        <v>362</v>
      </c>
      <c r="AH266" s="3">
        <v>384</v>
      </c>
      <c r="AI266" s="3">
        <f>IF(ISERROR((VLOOKUP($A266,'SegEnds_NonXtal_BW#'!$A:$Z,24,FALSE)+VLOOKUP($A266,A:AL,34,FALSE)-50)),"-",(VLOOKUP($A266,'SegEnds_NonXtal_BW#'!$A:$Z,24,FALSE)+VLOOKUP($A266,A:AL,34,FALSE)-50))</f>
        <v>390</v>
      </c>
      <c r="AJ266" s="3">
        <f>IF(ISERROR(VLOOKUP($A266,'SegEnds_NonXtal_BW#'!$A:$Z,25,FALSE)+VLOOKUP($A266,A:AL,37,FALSE)-50),"-",(VLOOKUP($A266,'SegEnds_NonXtal_BW#'!$A:$Z,25,FALSE)+VLOOKUP($A266,A:AL,37,FALSE)-50))</f>
        <v>391</v>
      </c>
      <c r="AK266" s="3">
        <v>394</v>
      </c>
      <c r="AL266" s="3">
        <f>IF(ISERROR((VLOOKUP($A266,'SegEnds_NonXtal_BW#'!$A:$Z,26,FALSE)+VLOOKUP($A266,A:AL,37,FALSE)-50)),"-",(VLOOKUP($A266,'SegEnds_NonXtal_BW#'!$A:$Z,26,FALSE)+VLOOKUP($A266,A:AL,37,FALSE)-50))</f>
        <v>402</v>
      </c>
      <c r="AM266" s="28" t="str">
        <f>VLOOKUP(A266,Classification!A:B,2,FALSE)</f>
        <v>A</v>
      </c>
      <c r="AN266" s="28" t="b">
        <f>AND(IF(Y266="-",IF(AA266-W266&gt;3,TRUE,FALSE),TRUE),IF(M266="-",IF(O266-K266&gt;3,TRUE,FALSE),TRUE),C266&lt;E266,OR(E266&lt;F266,F266="-"),OR(F266&lt;H266,F266="-"),OR(H266&lt;I266,H266="-"),I266&lt;K266,OR(K266&lt;L266,L266="-"),OR(L266&lt;N266,L266="-"),OR(N266&lt;O266,N266="-"),O266&lt;Q266,OR(Q266&lt;R266,R266="-"),OR(R266&lt;T266,R266="-"),OR(T266&lt;U266,T266="-"),U266&lt;W266,OR(W266&lt;X266,X266="-"),OR(X266&lt;Z266,X266="-"),OR(Z266&lt;AA266,Z266="-"),AA266&lt;AC266,AC266&lt;AD266,AD266&lt;AF266,AF266&lt;AG266,AG266&lt;AI266,OR(AI266&lt;AJ266,AJ266="-"),OR(AJ266&lt;AL266,AJ266="-"))</f>
        <v>1</v>
      </c>
      <c r="AO266" s="3" t="str">
        <f>IF(ISERROR(MATCH(A266,'SegEnds_Xtal_Prot#'!B:B, 0)), "NoXtal", "Xtal")</f>
        <v>NoXtal</v>
      </c>
      <c r="AP266" s="3">
        <f>IF(ISERROR(F266-E266),"-",F266-E266)</f>
        <v>1</v>
      </c>
      <c r="AQ266" s="3">
        <f>IF(ISERROR(I266-H266),"-",I266-H266)</f>
        <v>1</v>
      </c>
      <c r="AR266" s="3" t="str">
        <f>IF(ISERROR(L266-K266),"-",L266-K266)</f>
        <v>-</v>
      </c>
      <c r="AS266" s="3" t="str">
        <f>IF(ISERROR(O266-N266),"-",O266-N266)</f>
        <v>-</v>
      </c>
      <c r="AT266" s="3" t="str">
        <f>IF(ISERROR(R266-Q266),"-",R266-Q266)</f>
        <v>-</v>
      </c>
      <c r="AU266" s="3" t="str">
        <f>IF(ISERROR(U266-T266),"-",U266-T266)</f>
        <v>-</v>
      </c>
      <c r="AV266" s="3">
        <f>IF(ISERROR(X266-W266),"-",X266-W266)</f>
        <v>14</v>
      </c>
      <c r="AW266" s="3">
        <f>IF(ISERROR(AA266-Z266),"-",AA266-Z266)</f>
        <v>7</v>
      </c>
      <c r="AX266" s="3">
        <f>IF(ISERROR(AD266-AC266),"-",AD266-AC266)</f>
        <v>9</v>
      </c>
      <c r="AY266" s="3">
        <f>IF(ISERROR(AG266-AF266),"-",AG266-AF266)</f>
        <v>5</v>
      </c>
      <c r="AZ266" s="3">
        <f>IF(ISERROR(AJ266-AI266),"-",AJ266-AI266)</f>
        <v>1</v>
      </c>
      <c r="BA266" s="3">
        <f>IF(ISERROR(LEN(VLOOKUP(A266,Seqs!A:E,2,FALSE))-AL266),"-",LEN(VLOOKUP(A266,Seqs!A:E,2,FALSE))-AL266)</f>
        <v>92</v>
      </c>
      <c r="BB266" s="16">
        <f>J266-D266</f>
        <v>28</v>
      </c>
      <c r="BC266" s="9" t="str">
        <f>IF(ISERROR(V266-S266),"-",V266-S266)</f>
        <v>-</v>
      </c>
      <c r="BD266" s="3">
        <f>J266-D266</f>
        <v>28</v>
      </c>
      <c r="BE266" s="3">
        <f>AE266-AB266</f>
        <v>57</v>
      </c>
    </row>
    <row r="267" spans="1:58" s="3" customFormat="1" x14ac:dyDescent="0.2">
      <c r="A267" s="3" t="s">
        <v>219</v>
      </c>
      <c r="B267" s="3" t="str">
        <f>LOWER(VLOOKUP(A267,Xtal_Templ!A:B,2,FALSE))</f>
        <v>agtr1_human</v>
      </c>
      <c r="C267" s="3">
        <f>VLOOKUP($A267,'SegEnds_NonXtal_BW#'!$A:$Z,3,FALSE)+D267-50</f>
        <v>25</v>
      </c>
      <c r="D267" s="3">
        <v>45</v>
      </c>
      <c r="E267" s="3">
        <f>IF(ISERROR(VLOOKUP($A267,'SegEnds_NonXtal_BW#'!$A:$Z,4,FALSE)+VLOOKUP($A267,A:AL,4,FALSE)-50),"-",(VLOOKUP($A267,'SegEnds_NonXtal_BW#'!$A:$Z,4,FALSE)+VLOOKUP($A267,A:AL,4,FALSE)-50))</f>
        <v>55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65</v>
      </c>
      <c r="J267" s="3">
        <v>78</v>
      </c>
      <c r="K267" s="3">
        <f>VLOOKUP($A267,'SegEnds_NonXtal_BW#'!$A:$Z,8,FALSE)+VLOOKUP($A267,A:AL,10,FALSE)-50</f>
        <v>91</v>
      </c>
      <c r="L267" s="3">
        <f>M267-1</f>
        <v>94</v>
      </c>
      <c r="M267" s="3">
        <v>95</v>
      </c>
      <c r="N267" s="3">
        <f>M267+2</f>
        <v>97</v>
      </c>
      <c r="O267" s="3">
        <f>N267+1</f>
        <v>98</v>
      </c>
      <c r="P267" s="3">
        <v>127</v>
      </c>
      <c r="Q267" s="3">
        <f>VLOOKUP($A267,'SegEnds_NonXtal_BW#'!$A:$Z,12,FALSE)+VLOOKUP($A267,A:AL,16,FALSE)-50</f>
        <v>133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3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140</v>
      </c>
      <c r="V267" s="3">
        <v>152</v>
      </c>
      <c r="W267" s="3">
        <f>IF(ISERROR(VLOOKUP($A267,'SegEnds_NonXtal_BW#'!$A:$Z,16,FALSE)+VLOOKUP($A267,A:AL,22,FALSE)-50),"-",(VLOOKUP($A267,'SegEnds_NonXtal_BW#'!$A:$Z,16,FALSE)+VLOOKUP($A267,A:AL,22,FALSE)-50))</f>
        <v>166</v>
      </c>
      <c r="X267" s="3" t="str">
        <f>IF(ISERROR(VLOOKUP($A267,'SegEnds_NonXtal_BW#'!$A:$Z,17,FALSE)+VLOOKUP($A267,A:AL,25,FALSE)-50),"-",(VLOOKUP($A267,'SegEnds_NonXtal_BW#'!$A:$Z,17,FALSE)+VLOOKUP($A267,A:AL,25,FALSE)-50))</f>
        <v>-</v>
      </c>
      <c r="Y267" s="3" t="s">
        <v>23</v>
      </c>
      <c r="Z267" s="3" t="str">
        <f>IF(ISERROR(VLOOKUP($A267,'SegEnds_NonXtal_BW#'!$A:$Z,18,FALSE)+VLOOKUP($A267,A:AL,25,FALSE)-50),"-",(VLOOKUP($A267,'SegEnds_NonXtal_BW#'!$A:$Z,18,FALSE)+VLOOKUP($A267,A:AL,25,FALSE)-50))</f>
        <v>-</v>
      </c>
      <c r="AA267" s="3">
        <f>IF(ISERROR(VLOOKUP($A267,'SegEnds_NonXtal_BW#'!$A:$Z,19,FALSE)+VLOOKUP($A267,A:AL,28,FALSE)-50),"-",(VLOOKUP($A267,'SegEnds_NonXtal_BW#'!$A:$Z,19,FALSE)+VLOOKUP($A267,A:AL,28,FALSE)-50))</f>
        <v>183</v>
      </c>
      <c r="AB267" s="3">
        <v>199</v>
      </c>
      <c r="AC267" s="3">
        <f>IF(ISERROR((VLOOKUP($A267,'SegEnds_NonXtal_BW#'!$A:$Z,20,FALSE)+VLOOKUP($A267,A:AL,28,FALSE)-50)),"-",(VLOOKUP($A267,'SegEnds_NonXtal_BW#'!$A:$Z,20,FALSE)+VLOOKUP($A267,A:AL,28,FALSE)-50))</f>
        <v>217</v>
      </c>
      <c r="AD267" s="3">
        <f>IF(ISERROR(VLOOKUP($A267,'SegEnds_NonXtal_BW#'!$A:$Z,21,FALSE)+VLOOKUP($A267,A:AL,31,FALSE)-50),"-",(VLOOKUP($A267,'SegEnds_NonXtal_BW#'!$A:$Z,21,FALSE)+VLOOKUP($A267,A:AL,31,FALSE)-50))</f>
        <v>222</v>
      </c>
      <c r="AE267" s="3">
        <v>248</v>
      </c>
      <c r="AF267" s="3">
        <f>IF(ISERROR((VLOOKUP($A267,'SegEnds_NonXtal_BW#'!$A:$Z,22,FALSE)+VLOOKUP($A267,A:AL,31,FALSE)-50)),"-",(VLOOKUP($A267,'SegEnds_NonXtal_BW#'!$A:$Z,22,FALSE)+VLOOKUP($A267,A:AL,31,FALSE)-50))</f>
        <v>262</v>
      </c>
      <c r="AG267" s="3">
        <f>IF(ISERROR(VLOOKUP($A267,'SegEnds_NonXtal_BW#'!$A:$Z,23,FALSE)+VLOOKUP($A267,A:AL,34,FALSE)-50),"-",(VLOOKUP($A267,'SegEnds_NonXtal_BW#'!$A:$Z,23,FALSE)+VLOOKUP($A267,A:AL,34,FALSE)-50))</f>
        <v>267</v>
      </c>
      <c r="AH267" s="3">
        <v>293</v>
      </c>
      <c r="AI267" s="3">
        <f>IF(ISERROR((VLOOKUP($A267,'SegEnds_NonXtal_BW#'!$A:$Z,24,FALSE)+VLOOKUP($A267,A:AL,34,FALSE)-50)),"-",(VLOOKUP($A267,'SegEnds_NonXtal_BW#'!$A:$Z,24,FALSE)+VLOOKUP($A267,A:AL,34,FALSE)-50))</f>
        <v>299</v>
      </c>
      <c r="AJ267" s="3">
        <f>IF(ISERROR(VLOOKUP($A267,'SegEnds_NonXtal_BW#'!$A:$Z,25,FALSE)+VLOOKUP($A267,A:AL,37,FALSE)-50),"-",(VLOOKUP($A267,'SegEnds_NonXtal_BW#'!$A:$Z,25,FALSE)+VLOOKUP($A267,A:AL,37,FALSE)-50))</f>
        <v>300</v>
      </c>
      <c r="AK267" s="3">
        <v>303</v>
      </c>
      <c r="AL267" s="3">
        <f>IF(ISERROR((VLOOKUP($A267,'SegEnds_NonXtal_BW#'!$A:$Z,26,FALSE)+VLOOKUP($A267,A:AL,37,FALSE)-50)),"-",(VLOOKUP($A267,'SegEnds_NonXtal_BW#'!$A:$Z,26,FALSE)+VLOOKUP($A267,A:AL,37,FALSE)-50))</f>
        <v>314</v>
      </c>
      <c r="AM267" s="28" t="str">
        <f>VLOOKUP(A267,Classification!A:B,2,FALSE)</f>
        <v>A</v>
      </c>
      <c r="AN267" s="28" t="b">
        <f>AND(IF(Y267="-",IF(AA267-W267&gt;3,TRUE,FALSE),TRUE),IF(M267="-",IF(O267-K267&gt;3,TRUE,FALSE),TRUE),C267&lt;E267,OR(E267&lt;F267,F267="-"),OR(F267&lt;H267,F267="-"),OR(H267&lt;I267,H267="-"),I267&lt;K267,OR(K267&lt;L267,L267="-"),OR(L267&lt;N267,L267="-"),OR(N267&lt;O267,N267="-"),O267&lt;Q267,OR(Q267&lt;R267,R267="-"),OR(R267&lt;T267,R267="-"),OR(T267&lt;U267,T267="-"),U267&lt;W267,OR(W267&lt;X267,X267="-"),OR(X267&lt;Z267,X267="-"),OR(Z267&lt;AA267,Z267="-"),AA267&lt;AC267,AC267&lt;AD267,AD267&lt;AF267,AF267&lt;AG267,AG267&lt;AI267,OR(AI267&lt;AJ267,AJ267="-"),OR(AJ267&lt;AL267,AJ267="-"))</f>
        <v>1</v>
      </c>
      <c r="AO267" s="3" t="str">
        <f>IF(ISERROR(MATCH(A267,'SegEnds_Xtal_Prot#'!B:B, 0)), "NoXtal", "Xtal")</f>
        <v>NoXtal</v>
      </c>
      <c r="AP267" s="3" t="str">
        <f>IF(ISERROR(F267-E267),"-",F267-E267)</f>
        <v>-</v>
      </c>
      <c r="AQ267" s="3" t="str">
        <f>IF(ISERROR(I267-H267),"-",I267-H267)</f>
        <v>-</v>
      </c>
      <c r="AR267" s="3">
        <f>IF(ISERROR(L267-K267),"-",L267-K267)</f>
        <v>3</v>
      </c>
      <c r="AS267" s="3">
        <f>IF(ISERROR(O267-N267),"-",O267-N267)</f>
        <v>1</v>
      </c>
      <c r="AT267" s="3" t="str">
        <f>IF(ISERROR(R267-Q267),"-",R267-Q267)</f>
        <v>-</v>
      </c>
      <c r="AU267" s="3" t="str">
        <f>IF(ISERROR(U267-T267),"-",U267-T267)</f>
        <v>-</v>
      </c>
      <c r="AV267" s="3" t="str">
        <f>IF(ISERROR(X267-W267),"-",X267-W267)</f>
        <v>-</v>
      </c>
      <c r="AW267" s="3" t="str">
        <f>IF(ISERROR(AA267-Z267),"-",AA267-Z267)</f>
        <v>-</v>
      </c>
      <c r="AX267" s="3">
        <f>IF(ISERROR(AD267-AC267),"-",AD267-AC267)</f>
        <v>5</v>
      </c>
      <c r="AY267" s="3">
        <f>IF(ISERROR(AG267-AF267),"-",AG267-AF267)</f>
        <v>5</v>
      </c>
      <c r="AZ267" s="3">
        <f>IF(ISERROR(AJ267-AI267),"-",AJ267-AI267)</f>
        <v>1</v>
      </c>
      <c r="BA267" s="3">
        <f>IF(ISERROR(LEN(VLOOKUP(A267,Seqs!A:E,2,FALSE))-AL267),"-",LEN(VLOOKUP(A267,Seqs!A:E,2,FALSE))-AL267)</f>
        <v>19</v>
      </c>
      <c r="BB267" s="16">
        <f>J267-D267</f>
        <v>33</v>
      </c>
      <c r="BC267" s="9" t="str">
        <f>IF(ISERROR(V267-S267),"-",V267-S267)</f>
        <v>-</v>
      </c>
      <c r="BD267" s="3">
        <f>J267-D267</f>
        <v>33</v>
      </c>
      <c r="BE267" s="3">
        <f>AE267-AB267</f>
        <v>49</v>
      </c>
      <c r="BF267" s="3">
        <f>AH267-AE267</f>
        <v>45</v>
      </c>
    </row>
    <row r="268" spans="1:58" s="3" customFormat="1" x14ac:dyDescent="0.2">
      <c r="A268" s="3" t="s">
        <v>221</v>
      </c>
      <c r="B268" s="3" t="str">
        <f>LOWER(VLOOKUP(A268,Xtal_Templ!A:B,2,FALSE))</f>
        <v>s1pr1_human</v>
      </c>
      <c r="C268" s="3">
        <f>VLOOKUP($A268,'SegEnds_NonXtal_BW#'!$A:$Z,3,FALSE)+D268-50</f>
        <v>12</v>
      </c>
      <c r="D268" s="3">
        <v>33</v>
      </c>
      <c r="E268" s="3">
        <f>IF(ISERROR(VLOOKUP($A268,'SegEnds_NonXtal_BW#'!$A:$Z,4,FALSE)+VLOOKUP($A268,A:AL,4,FALSE)-50),"-",(VLOOKUP($A268,'SegEnds_NonXtal_BW#'!$A:$Z,4,FALSE)+VLOOKUP($A268,A:AL,4,FALSE)-50))</f>
        <v>43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49</v>
      </c>
      <c r="J268" s="3">
        <v>62</v>
      </c>
      <c r="K268" s="3">
        <f>VLOOKUP($A268,'SegEnds_NonXtal_BW#'!$A:$Z,8,FALSE)+VLOOKUP($A268,A:AL,10,FALSE)-50</f>
        <v>79</v>
      </c>
      <c r="L268" s="3">
        <f>M268-1</f>
        <v>87</v>
      </c>
      <c r="M268" s="3">
        <v>88</v>
      </c>
      <c r="N268" s="3">
        <f>M268+2</f>
        <v>90</v>
      </c>
      <c r="O268" s="3">
        <f>N268+1</f>
        <v>91</v>
      </c>
      <c r="P268" s="3">
        <v>131</v>
      </c>
      <c r="Q268" s="3">
        <f>VLOOKUP($A268,'SegEnds_NonXtal_BW#'!$A:$Z,12,FALSE)+VLOOKUP($A268,A:AL,16,FALSE)-50</f>
        <v>137</v>
      </c>
      <c r="R268" s="3" t="str">
        <f>S268</f>
        <v>-</v>
      </c>
      <c r="S268" s="3" t="s">
        <v>23</v>
      </c>
      <c r="T268" s="103" t="s">
        <v>23</v>
      </c>
      <c r="U268" s="9">
        <f>IF(ISERROR(VLOOKUP($A268,'SegEnds_NonXtal_BW#'!$A:$Z,15,FALSE)+VLOOKUP($A268,A:AL,22,FALSE)-50),"-",VLOOKUP($A268,'SegEnds_NonXtal_BW#'!$A:$Z,15,FALSE)+VLOOKUP($A268,A:AL,22,FALSE)-50)</f>
        <v>146</v>
      </c>
      <c r="V268" s="3">
        <v>158</v>
      </c>
      <c r="W268" s="3">
        <f>IF(ISERROR(VLOOKUP($A268,'SegEnds_NonXtal_BW#'!$A:$Z,16,FALSE)+VLOOKUP($A268,A:AL,22,FALSE)-50),"-",(VLOOKUP($A268,'SegEnds_NonXtal_BW#'!$A:$Z,16,FALSE)+VLOOKUP($A268,A:AL,22,FALSE)-50))</f>
        <v>171</v>
      </c>
      <c r="X268" s="3" t="str">
        <f>IF(ISERROR(VLOOKUP($A268,'SegEnds_NonXtal_BW#'!$A:$Z,17,FALSE)+VLOOKUP($A268,A:AL,25,FALSE)-50),"-",(VLOOKUP($A268,'SegEnds_NonXtal_BW#'!$A:$Z,17,FALSE)+VLOOKUP($A268,A:AL,25,FALSE)-50))</f>
        <v>-</v>
      </c>
      <c r="Y268" s="3" t="s">
        <v>23</v>
      </c>
      <c r="Z268" s="3" t="str">
        <f>IF(ISERROR(VLOOKUP($A268,'SegEnds_NonXtal_BW#'!$A:$Z,18,FALSE)+VLOOKUP($A268,A:AL,25,FALSE)-50),"-",(VLOOKUP($A268,'SegEnds_NonXtal_BW#'!$A:$Z,18,FALSE)+VLOOKUP($A268,A:AL,25,FALSE)-50))</f>
        <v>-</v>
      </c>
      <c r="AA268" s="3">
        <f>IF(ISERROR(VLOOKUP($A268,'SegEnds_NonXtal_BW#'!$A:$Z,19,FALSE)+VLOOKUP($A268,A:AL,28,FALSE)-50),"-",(VLOOKUP($A268,'SegEnds_NonXtal_BW#'!$A:$Z,19,FALSE)+VLOOKUP($A268,A:AL,28,FALSE)-50))</f>
        <v>197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299</v>
      </c>
      <c r="AE268" s="3">
        <v>325</v>
      </c>
      <c r="AF268" s="3">
        <f>IF(ISERROR((VLOOKUP($A268,'SegEnds_NonXtal_BW#'!$A:$Z,22,FALSE)+VLOOKUP($A268,A:AL,31,FALSE)-50)),"-",(VLOOKUP($A268,'SegEnds_NonXtal_BW#'!$A:$Z,22,FALSE)+VLOOKUP($A268,A:AL,31,FALSE)-50))</f>
        <v>336</v>
      </c>
      <c r="AG268" s="3">
        <f>IF(ISERROR(VLOOKUP($A268,'SegEnds_NonXtal_BW#'!$A:$Z,23,FALSE)+VLOOKUP($A268,A:AL,34,FALSE)-50),"-",(VLOOKUP($A268,'SegEnds_NonXtal_BW#'!$A:$Z,23,FALSE)+VLOOKUP($A268,A:AL,34,FALSE)-50))</f>
        <v>341</v>
      </c>
      <c r="AH268" s="3">
        <v>359</v>
      </c>
      <c r="AI268" s="3">
        <f>IF(ISERROR((VLOOKUP($A268,'SegEnds_NonXtal_BW#'!$A:$Z,24,FALSE)+VLOOKUP($A268,A:AL,34,FALSE)-50)),"-",(VLOOKUP($A268,'SegEnds_NonXtal_BW#'!$A:$Z,24,FALSE)+VLOOKUP($A268,A:AL,34,FALSE)-50))</f>
        <v>365</v>
      </c>
      <c r="AJ268" s="3">
        <f>IF(ISERROR(VLOOKUP($A268,'SegEnds_NonXtal_BW#'!$A:$Z,25,FALSE)+VLOOKUP($A268,A:AL,37,FALSE)-50),"-",(VLOOKUP($A268,'SegEnds_NonXtal_BW#'!$A:$Z,25,FALSE)+VLOOKUP($A268,A:AL,37,FALSE)-50))</f>
        <v>366</v>
      </c>
      <c r="AK268" s="3">
        <v>369</v>
      </c>
      <c r="AL268" s="3">
        <f>IF(ISERROR((VLOOKUP($A268,'SegEnds_NonXtal_BW#'!$A:$Z,26,FALSE)+VLOOKUP($A268,A:AL,37,FALSE)-50)),"-",(VLOOKUP($A268,'SegEnds_NonXtal_BW#'!$A:$Z,26,FALSE)+VLOOKUP($A268,A:AL,37,FALSE)-50))</f>
        <v>378</v>
      </c>
      <c r="AM268" s="28" t="str">
        <f>VLOOKUP(A268,Classification!A:B,2,FALSE)</f>
        <v>A</v>
      </c>
      <c r="AN268" s="28" t="b">
        <f>AND(IF(Y268="-",IF(AA268-W268&gt;3,TRUE,FALSE),TRUE),IF(M268="-",IF(O268-K268&gt;3,TRUE,FALSE),TRUE),C268&lt;E268,OR(E268&lt;F268,F268="-"),OR(F268&lt;H268,F268="-"),OR(H268&lt;I268,H268="-"),I268&lt;K268,OR(K268&lt;L268,L268="-"),OR(L268&lt;N268,L268="-"),OR(N268&lt;O268,N268="-"),O268&lt;Q268,OR(Q268&lt;R268,R268="-"),OR(R268&lt;T268,R268="-"),OR(T268&lt;U268,T268="-"),U268&lt;W268,OR(W268&lt;X268,X268="-"),OR(X268&lt;Z268,X268="-"),OR(Z268&lt;AA268,Z268="-"),AA268&lt;AC268,AC268&lt;AD268,AD268&lt;AF268,AF268&lt;AG268,AG268&lt;AI268,OR(AI268&lt;AJ268,AJ268="-"),OR(AJ268&lt;AL268,AJ268="-"))</f>
        <v>1</v>
      </c>
      <c r="AO268" s="3" t="str">
        <f>IF(ISERROR(MATCH(A268,'SegEnds_Xtal_Prot#'!B:B, 0)), "NoXtal", "Xtal")</f>
        <v>NoXtal</v>
      </c>
      <c r="AP268" s="3" t="str">
        <f>IF(ISERROR(F268-E268),"-",F268-E268)</f>
        <v>-</v>
      </c>
      <c r="AQ268" s="3" t="str">
        <f>IF(ISERROR(I268-H268),"-",I268-H268)</f>
        <v>-</v>
      </c>
      <c r="AR268" s="3">
        <f>IF(ISERROR(L268-K268),"-",L268-K268)</f>
        <v>8</v>
      </c>
      <c r="AS268" s="3">
        <f>IF(ISERROR(O268-N268),"-",O268-N268)</f>
        <v>1</v>
      </c>
      <c r="AT268" s="3" t="str">
        <f>IF(ISERROR(R268-Q268),"-",R268-Q268)</f>
        <v>-</v>
      </c>
      <c r="AU268" s="3" t="str">
        <f>IF(ISERROR(U268-T268),"-",U268-T268)</f>
        <v>-</v>
      </c>
      <c r="AV268" s="3" t="str">
        <f>IF(ISERROR(X268-W268),"-",X268-W268)</f>
        <v>-</v>
      </c>
      <c r="AW268" s="3" t="str">
        <f>IF(ISERROR(AA268-Z268),"-",AA268-Z268)</f>
        <v>-</v>
      </c>
      <c r="AX268" s="3">
        <f>IF(ISERROR(AD268-AC268),"-",AD268-AC268)</f>
        <v>62</v>
      </c>
      <c r="AY268" s="3">
        <f>IF(ISERROR(AG268-AF268),"-",AG268-AF268)</f>
        <v>5</v>
      </c>
      <c r="AZ268" s="3">
        <f>IF(ISERROR(AJ268-AI268),"-",AJ268-AI268)</f>
        <v>1</v>
      </c>
      <c r="BA268" s="3">
        <f>IF(ISERROR(LEN(VLOOKUP(A268,Seqs!A:E,2,FALSE))-AL268),"-",LEN(VLOOKUP(A268,Seqs!A:E,2,FALSE))-AL268)</f>
        <v>353</v>
      </c>
      <c r="BB268" s="16">
        <f>J268-D268</f>
        <v>29</v>
      </c>
      <c r="BC268" s="9" t="str">
        <f>IF(ISERROR(V268-S268),"-",V268-S268)</f>
        <v>-</v>
      </c>
      <c r="BD268" s="3">
        <f>J268-D268</f>
        <v>29</v>
      </c>
      <c r="BE268" s="3">
        <f>AE268-AB268</f>
        <v>114</v>
      </c>
    </row>
    <row r="269" spans="1:58" s="3" customFormat="1" x14ac:dyDescent="0.2">
      <c r="A269" s="3" t="s">
        <v>222</v>
      </c>
      <c r="B269" s="3" t="str">
        <f>LOWER(VLOOKUP(A269,Xtal_Templ!A:B,2,FALSE))</f>
        <v>ox2r_human</v>
      </c>
      <c r="C269" s="3">
        <f>VLOOKUP($A269,'SegEnds_NonXtal_BW#'!$A:$Z,3,FALSE)+D269-50</f>
        <v>41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80</v>
      </c>
      <c r="J269" s="3">
        <v>93</v>
      </c>
      <c r="K269" s="3">
        <f>VLOOKUP($A269,'SegEnds_NonXtal_BW#'!$A:$Z,8,FALSE)+VLOOKUP($A269,A:AL,10,FALSE)-50</f>
        <v>110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115</v>
      </c>
      <c r="P269" s="3">
        <v>147</v>
      </c>
      <c r="Q269" s="3">
        <f>VLOOKUP($A269,'SegEnds_NonXtal_BW#'!$A:$Z,12,FALSE)+VLOOKUP($A269,A:AL,16,FALSE)-50</f>
        <v>153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3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157</v>
      </c>
      <c r="V269" s="3">
        <v>169</v>
      </c>
      <c r="W269" s="3">
        <f>IF(ISERROR(VLOOKUP($A269,'SegEnds_NonXtal_BW#'!$A:$Z,16,FALSE)+VLOOKUP($A269,A:AL,22,FALSE)-50),"-",(VLOOKUP($A269,'SegEnds_NonXtal_BW#'!$A:$Z,16,FALSE)+VLOOKUP($A269,A:AL,22,FALSE)-50))</f>
        <v>183</v>
      </c>
      <c r="X269" s="3">
        <f>IF(ISERROR(VLOOKUP($A269,'SegEnds_NonXtal_BW#'!$A:$Z,17,FALSE)+VLOOKUP($A269,A:AL,25,FALSE)-50),"-",(VLOOKUP($A269,'SegEnds_NonXtal_BW#'!$A:$Z,17,FALSE)+VLOOKUP($A269,A:AL,25,FALSE)-50))</f>
        <v>217</v>
      </c>
      <c r="Y269" s="3">
        <v>217</v>
      </c>
      <c r="Z269" s="3">
        <f>Y269+2</f>
        <v>219</v>
      </c>
      <c r="AA269" s="3">
        <f>IF(ISERROR(VLOOKUP($A269,'SegEnds_NonXtal_BW#'!$A:$Z,19,FALSE)+VLOOKUP($A269,A:AL,28,FALSE)-50),"-",(VLOOKUP($A269,'SegEnds_NonXtal_BW#'!$A:$Z,19,FALSE)+VLOOKUP($A269,A:AL,28,FALSE)-50))</f>
        <v>226</v>
      </c>
      <c r="AB269" s="3">
        <v>244</v>
      </c>
      <c r="AC269" s="3">
        <f>IF(ISERROR((VLOOKUP($A269,'SegEnds_NonXtal_BW#'!$A:$Z,20,FALSE)+VLOOKUP($A269,A:AL,28,FALSE)-50)),"-",(VLOOKUP($A269,'SegEnds_NonXtal_BW#'!$A:$Z,20,FALSE)+VLOOKUP($A269,A:AL,28,FALSE)-50))</f>
        <v>268</v>
      </c>
      <c r="AD269" s="3">
        <f>IF(ISERROR(VLOOKUP($A269,'SegEnds_NonXtal_BW#'!$A:$Z,21,FALSE)+VLOOKUP($A269,A:AL,31,FALSE)-50),"-",(VLOOKUP($A269,'SegEnds_NonXtal_BW#'!$A:$Z,21,FALSE)+VLOOKUP($A269,A:AL,31,FALSE)-50))</f>
        <v>281</v>
      </c>
      <c r="AE269" s="3">
        <v>310</v>
      </c>
      <c r="AF269" s="3">
        <f>IF(ISERROR((VLOOKUP($A269,'SegEnds_NonXtal_BW#'!$A:$Z,22,FALSE)+VLOOKUP($A269,A:AL,31,FALSE)-50)),"-",(VLOOKUP($A269,'SegEnds_NonXtal_BW#'!$A:$Z,22,FALSE)+VLOOKUP($A269,A:AL,31,FALSE)-50))</f>
        <v>321</v>
      </c>
      <c r="AG269" s="3">
        <f>IF(ISERROR(VLOOKUP($A269,'SegEnds_NonXtal_BW#'!$A:$Z,23,FALSE)+VLOOKUP($A269,A:AL,34,FALSE)-50),"-",(VLOOKUP($A269,'SegEnds_NonXtal_BW#'!$A:$Z,23,FALSE)+VLOOKUP($A269,A:AL,34,FALSE)-50))</f>
        <v>327</v>
      </c>
      <c r="AH269" s="3">
        <v>349</v>
      </c>
      <c r="AI269" s="3">
        <f>IF(ISERROR((VLOOKUP($A269,'SegEnds_NonXtal_BW#'!$A:$Z,24,FALSE)+VLOOKUP($A269,A:AL,34,FALSE)-50)),"-",(VLOOKUP($A269,'SegEnds_NonXtal_BW#'!$A:$Z,24,FALSE)+VLOOKUP($A269,A:AL,34,FALSE)-50))</f>
        <v>355</v>
      </c>
      <c r="AJ269" s="3">
        <f>IF(ISERROR(VLOOKUP($A269,'SegEnds_NonXtal_BW#'!$A:$Z,25,FALSE)+VLOOKUP($A269,A:AL,37,FALSE)-50),"-",(VLOOKUP($A269,'SegEnds_NonXtal_BW#'!$A:$Z,25,FALSE)+VLOOKUP($A269,A:AL,37,FALSE)-50))</f>
        <v>356</v>
      </c>
      <c r="AK269" s="3">
        <v>359</v>
      </c>
      <c r="AL269" s="3">
        <f>IF(ISERROR((VLOOKUP($A269,'SegEnds_NonXtal_BW#'!$A:$Z,26,FALSE)+VLOOKUP($A269,A:AL,37,FALSE)-50)),"-",(VLOOKUP($A269,'SegEnds_NonXtal_BW#'!$A:$Z,26,FALSE)+VLOOKUP($A269,A:AL,37,FALSE)-50))</f>
        <v>367</v>
      </c>
      <c r="AM269" s="28" t="str">
        <f>VLOOKUP(A269,Classification!A:B,2,FALSE)</f>
        <v>A</v>
      </c>
      <c r="AN269" s="28" t="b">
        <f>AND(IF(Y269="-",IF(AA269-W269&gt;3,TRUE,FALSE),TRUE),IF(M269="-",IF(O269-K269&gt;3,TRUE,FALSE),TRUE),C269&lt;E269,OR(E269&lt;F269,F269="-"),OR(F269&lt;H269,F269="-"),OR(H269&lt;I269,H269="-"),I269&lt;K269,OR(K269&lt;L269,L269="-"),OR(L269&lt;N269,L269="-"),OR(N269&lt;O269,N269="-"),O269&lt;Q269,OR(Q269&lt;R269,R269="-"),OR(R269&lt;T269,R269="-"),OR(T269&lt;U269,T269="-"),U269&lt;W269,OR(W269&lt;X269,X269="-"),OR(X269&lt;Z269,X269="-"),OR(Z269&lt;AA269,Z269="-"),AA269&lt;AC269,AC269&lt;AD269,AD269&lt;AF269,AF269&lt;AG269,AG269&lt;AI269,OR(AI269&lt;AJ269,AJ269="-"),OR(AJ269&lt;AL269,AJ269="-"))</f>
        <v>1</v>
      </c>
      <c r="AO269" s="3" t="str">
        <f>IF(ISERROR(MATCH(A269,'SegEnds_Xtal_Prot#'!B:B, 0)), "NoXtal", "Xtal")</f>
        <v>NoXtal</v>
      </c>
      <c r="AP269" s="3" t="str">
        <f>IF(ISERROR(F269-E269),"-",F269-E269)</f>
        <v>-</v>
      </c>
      <c r="AQ269" s="3" t="str">
        <f>IF(ISERROR(I269-H269),"-",I269-H269)</f>
        <v>-</v>
      </c>
      <c r="AR269" s="3" t="str">
        <f>IF(ISERROR(L269-K269),"-",L269-K269)</f>
        <v>-</v>
      </c>
      <c r="AS269" s="3" t="str">
        <f>IF(ISERROR(O269-N269),"-",O269-N269)</f>
        <v>-</v>
      </c>
      <c r="AT269" s="3" t="str">
        <f>IF(ISERROR(R269-Q269),"-",R269-Q269)</f>
        <v>-</v>
      </c>
      <c r="AU269" s="3" t="str">
        <f>IF(ISERROR(U269-T269),"-",U269-T269)</f>
        <v>-</v>
      </c>
      <c r="AV269" s="3">
        <f>IF(ISERROR(X269-W269),"-",X269-W269)</f>
        <v>34</v>
      </c>
      <c r="AW269" s="3">
        <f>IF(ISERROR(AA269-Z269),"-",AA269-Z269)</f>
        <v>7</v>
      </c>
      <c r="AX269" s="3">
        <f>IF(ISERROR(AD269-AC269),"-",AD269-AC269)</f>
        <v>13</v>
      </c>
      <c r="AY269" s="3">
        <f>IF(ISERROR(AG269-AF269),"-",AG269-AF269)</f>
        <v>6</v>
      </c>
      <c r="AZ269" s="3">
        <f>IF(ISERROR(AJ269-AI269),"-",AJ269-AI269)</f>
        <v>1</v>
      </c>
      <c r="BA269" s="3">
        <f>IF(ISERROR(LEN(VLOOKUP(A269,Seqs!A:E,2,FALSE))-AL269),"-",LEN(VLOOKUP(A269,Seqs!A:E,2,FALSE))-AL269)</f>
        <v>67</v>
      </c>
      <c r="BB269" s="16">
        <f>J269-D269</f>
        <v>33</v>
      </c>
      <c r="BC269" s="9" t="str">
        <f>IF(ISERROR(V269-S269),"-",V269-S269)</f>
        <v>-</v>
      </c>
      <c r="BD269" s="3">
        <f>J269-D269</f>
        <v>33</v>
      </c>
      <c r="BE269" s="3">
        <f>AE269-AB269</f>
        <v>66</v>
      </c>
    </row>
    <row r="270" spans="1:58" s="3" customFormat="1" x14ac:dyDescent="0.2">
      <c r="A270" s="3" t="s">
        <v>226</v>
      </c>
      <c r="B270" s="3" t="str">
        <f>LOWER(VLOOKUP(A270,Xtal_Templ!A:B,2,FALSE))</f>
        <v>par1_human</v>
      </c>
      <c r="C270" s="3">
        <f>VLOOKUP($A270,'SegEnds_NonXtal_BW#'!$A:$Z,3,FALSE)+D270-50</f>
        <v>18</v>
      </c>
      <c r="D270" s="3">
        <v>39</v>
      </c>
      <c r="E270" s="3">
        <f>IF(ISERROR(VLOOKUP($A270,'SegEnds_NonXtal_BW#'!$A:$Z,4,FALSE)+VLOOKUP($A270,A:AL,4,FALSE)-50),"-",(VLOOKUP($A270,'SegEnds_NonXtal_BW#'!$A:$Z,4,FALSE)+VLOOKUP($A270,A:AL,4,FALSE)-50))</f>
        <v>49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53</v>
      </c>
      <c r="J270" s="3">
        <v>66</v>
      </c>
      <c r="K270" s="3">
        <f>VLOOKUP($A270,'SegEnds_NonXtal_BW#'!$A:$Z,8,FALSE)+VLOOKUP($A270,A:AL,10,FALSE)-50</f>
        <v>82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88</v>
      </c>
      <c r="P270" s="3">
        <v>120</v>
      </c>
      <c r="Q270" s="3">
        <f>VLOOKUP($A270,'SegEnds_NonXtal_BW#'!$A:$Z,12,FALSE)+VLOOKUP($A270,A:AL,16,FALSE)-50</f>
        <v>126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3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135</v>
      </c>
      <c r="V270" s="3">
        <v>147</v>
      </c>
      <c r="W270" s="3">
        <f>IF(ISERROR(VLOOKUP($A270,'SegEnds_NonXtal_BW#'!$A:$Z,16,FALSE)+VLOOKUP($A270,A:AL,22,FALSE)-50),"-",(VLOOKUP($A270,'SegEnds_NonXtal_BW#'!$A:$Z,16,FALSE)+VLOOKUP($A270,A:AL,22,FALSE)-50))</f>
        <v>160</v>
      </c>
      <c r="X270" s="3">
        <f>IF(ISERROR(VLOOKUP($A270,'SegEnds_NonXtal_BW#'!$A:$Z,17,FALSE)+VLOOKUP($A270,A:AL,25,FALSE)-50),"-",(VLOOKUP($A270,'SegEnds_NonXtal_BW#'!$A:$Z,17,FALSE)+VLOOKUP($A270,A:AL,25,FALSE)-50))</f>
        <v>174</v>
      </c>
      <c r="Y270" s="3">
        <v>174</v>
      </c>
      <c r="Z270" s="3">
        <f>Y270+2</f>
        <v>176</v>
      </c>
      <c r="AA270" s="3">
        <f>IF(ISERROR(VLOOKUP($A270,'SegEnds_NonXtal_BW#'!$A:$Z,19,FALSE)+VLOOKUP($A270,A:AL,28,FALSE)-50),"-",(VLOOKUP($A270,'SegEnds_NonXtal_BW#'!$A:$Z,19,FALSE)+VLOOKUP($A270,A:AL,28,FALSE)-50))</f>
        <v>181</v>
      </c>
      <c r="AB270" s="3">
        <v>196</v>
      </c>
      <c r="AC270" s="3">
        <f>IF(ISERROR((VLOOKUP($A270,'SegEnds_NonXtal_BW#'!$A:$Z,20,FALSE)+VLOOKUP($A270,A:AL,28,FALSE)-50)),"-",(VLOOKUP($A270,'SegEnds_NonXtal_BW#'!$A:$Z,20,FALSE)+VLOOKUP($A270,A:AL,28,FALSE)-50))</f>
        <v>219</v>
      </c>
      <c r="AD270" s="3">
        <f>IF(ISERROR(VLOOKUP($A270,'SegEnds_NonXtal_BW#'!$A:$Z,21,FALSE)+VLOOKUP($A270,A:AL,31,FALSE)-50),"-",(VLOOKUP($A270,'SegEnds_NonXtal_BW#'!$A:$Z,21,FALSE)+VLOOKUP($A270,A:AL,31,FALSE)-50))</f>
        <v>228</v>
      </c>
      <c r="AE270" s="3">
        <v>254</v>
      </c>
      <c r="AF270" s="3">
        <f>IF(ISERROR((VLOOKUP($A270,'SegEnds_NonXtal_BW#'!$A:$Z,22,FALSE)+VLOOKUP($A270,A:AL,31,FALSE)-50)),"-",(VLOOKUP($A270,'SegEnds_NonXtal_BW#'!$A:$Z,22,FALSE)+VLOOKUP($A270,A:AL,31,FALSE)-50))</f>
        <v>265</v>
      </c>
      <c r="AG270" s="3">
        <f>IF(ISERROR(VLOOKUP($A270,'SegEnds_NonXtal_BW#'!$A:$Z,23,FALSE)+VLOOKUP($A270,A:AL,34,FALSE)-50),"-",(VLOOKUP($A270,'SegEnds_NonXtal_BW#'!$A:$Z,23,FALSE)+VLOOKUP($A270,A:AL,34,FALSE)-50))</f>
        <v>270</v>
      </c>
      <c r="AH270" s="3">
        <v>289</v>
      </c>
      <c r="AI270" s="3">
        <f>IF(ISERROR((VLOOKUP($A270,'SegEnds_NonXtal_BW#'!$A:$Z,24,FALSE)+VLOOKUP($A270,A:AL,34,FALSE)-50)),"-",(VLOOKUP($A270,'SegEnds_NonXtal_BW#'!$A:$Z,24,FALSE)+VLOOKUP($A270,A:AL,34,FALSE)-50))</f>
        <v>295</v>
      </c>
      <c r="AJ270" s="3">
        <f>IF(ISERROR(VLOOKUP($A270,'SegEnds_NonXtal_BW#'!$A:$Z,25,FALSE)+VLOOKUP($A270,A:AL,37,FALSE)-50),"-",(VLOOKUP($A270,'SegEnds_NonXtal_BW#'!$A:$Z,25,FALSE)+VLOOKUP($A270,A:AL,37,FALSE)-50))</f>
        <v>296</v>
      </c>
      <c r="AK270" s="3">
        <v>299</v>
      </c>
      <c r="AL270" s="3">
        <f>IF(ISERROR((VLOOKUP($A270,'SegEnds_NonXtal_BW#'!$A:$Z,26,FALSE)+VLOOKUP($A270,A:AL,37,FALSE)-50)),"-",(VLOOKUP($A270,'SegEnds_NonXtal_BW#'!$A:$Z,26,FALSE)+VLOOKUP($A270,A:AL,37,FALSE)-50))</f>
        <v>310</v>
      </c>
      <c r="AM270" s="28" t="str">
        <f>VLOOKUP(A270,Classification!A:B,2,FALSE)</f>
        <v>A</v>
      </c>
      <c r="AN270" s="28" t="b">
        <f>AND(IF(Y270="-",IF(AA270-W270&gt;3,TRUE,FALSE),TRUE),IF(M270="-",IF(O270-K270&gt;3,TRUE,FALSE),TRUE),C270&lt;E270,OR(E270&lt;F270,F270="-"),OR(F270&lt;H270,F270="-"),OR(H270&lt;I270,H270="-"),I270&lt;K270,OR(K270&lt;L270,L270="-"),OR(L270&lt;N270,L270="-"),OR(N270&lt;O270,N270="-"),O270&lt;Q270,OR(Q270&lt;R270,R270="-"),OR(R270&lt;T270,R270="-"),OR(T270&lt;U270,T270="-"),U270&lt;W270,OR(W270&lt;X270,X270="-"),OR(X270&lt;Z270,X270="-"),OR(Z270&lt;AA270,Z270="-"),AA270&lt;AC270,AC270&lt;AD270,AD270&lt;AF270,AF270&lt;AG270,AG270&lt;AI270,OR(AI270&lt;AJ270,AJ270="-"),OR(AJ270&lt;AL270,AJ270="-"))</f>
        <v>1</v>
      </c>
      <c r="AO270" s="3" t="str">
        <f>IF(ISERROR(MATCH(A270,'SegEnds_Xtal_Prot#'!B:B, 0)), "NoXtal", "Xtal")</f>
        <v>NoXtal</v>
      </c>
      <c r="AP270" s="3" t="str">
        <f>IF(ISERROR(F270-E270),"-",F270-E270)</f>
        <v>-</v>
      </c>
      <c r="AQ270" s="3" t="str">
        <f>IF(ISERROR(I270-H270),"-",I270-H270)</f>
        <v>-</v>
      </c>
      <c r="AR270" s="3" t="str">
        <f>IF(ISERROR(L270-K270),"-",L270-K270)</f>
        <v>-</v>
      </c>
      <c r="AS270" s="3" t="str">
        <f>IF(ISERROR(O270-N270),"-",O270-N270)</f>
        <v>-</v>
      </c>
      <c r="AT270" s="3" t="str">
        <f>IF(ISERROR(R270-Q270),"-",R270-Q270)</f>
        <v>-</v>
      </c>
      <c r="AU270" s="3" t="str">
        <f>IF(ISERROR(U270-T270),"-",U270-T270)</f>
        <v>-</v>
      </c>
      <c r="AV270" s="3">
        <f>IF(ISERROR(X270-W270),"-",X270-W270)</f>
        <v>14</v>
      </c>
      <c r="AW270" s="3">
        <f>IF(ISERROR(AA270-Z270),"-",AA270-Z270)</f>
        <v>5</v>
      </c>
      <c r="AX270" s="3">
        <f>IF(ISERROR(AD270-AC270),"-",AD270-AC270)</f>
        <v>9</v>
      </c>
      <c r="AY270" s="3">
        <f>IF(ISERROR(AG270-AF270),"-",AG270-AF270)</f>
        <v>5</v>
      </c>
      <c r="AZ270" s="3">
        <f>IF(ISERROR(AJ270-AI270),"-",AJ270-AI270)</f>
        <v>1</v>
      </c>
      <c r="BA270" s="3">
        <f>IF(ISERROR(LEN(VLOOKUP(A270,Seqs!A:E,2,FALSE))-AL270),"-",LEN(VLOOKUP(A270,Seqs!A:E,2,FALSE))-AL270)</f>
        <v>28</v>
      </c>
      <c r="BB270" s="16">
        <f>J270-D270</f>
        <v>27</v>
      </c>
      <c r="BC270" s="9" t="str">
        <f>IF(ISERROR(V270-S270),"-",V270-S270)</f>
        <v>-</v>
      </c>
      <c r="BD270" s="3">
        <f>J270-D270</f>
        <v>27</v>
      </c>
      <c r="BE270" s="3">
        <f>AE270-AB270</f>
        <v>58</v>
      </c>
    </row>
    <row r="271" spans="1:58" s="3" customFormat="1" x14ac:dyDescent="0.2">
      <c r="A271" s="3" t="s">
        <v>232</v>
      </c>
      <c r="B271" s="3" t="str">
        <f>LOWER(VLOOKUP(A271,Xtal_Templ!A:B,2,FALSE))</f>
        <v>ox1r_human</v>
      </c>
      <c r="C271" s="3">
        <f>VLOOKUP($A271,'SegEnds_NonXtal_BW#'!$A:$Z,3,FALSE)+D271-50</f>
        <v>41</v>
      </c>
      <c r="D271" s="3">
        <v>59</v>
      </c>
      <c r="E271" s="3">
        <f>IF(ISERROR(VLOOKUP($A271,'SegEnds_NonXtal_BW#'!$A:$Z,4,FALSE)+VLOOKUP($A271,A:AL,4,FALSE)-50),"-",(VLOOKUP($A271,'SegEnds_NonXtal_BW#'!$A:$Z,4,FALSE)+VLOOKUP($A271,A:AL,4,FALSE)-50))</f>
        <v>69</v>
      </c>
      <c r="F271" s="3">
        <f>G271-2</f>
        <v>70</v>
      </c>
      <c r="G271" s="3">
        <v>72</v>
      </c>
      <c r="H271" s="3">
        <f>G271+1</f>
        <v>73</v>
      </c>
      <c r="I271" s="3">
        <f>H271+1</f>
        <v>74</v>
      </c>
      <c r="J271" s="3">
        <v>87</v>
      </c>
      <c r="K271" s="3">
        <f>VLOOKUP($A271,'SegEnds_NonXtal_BW#'!$A:$Z,8,FALSE)+VLOOKUP($A271,A:AL,10,FALSE)-50</f>
        <v>104</v>
      </c>
      <c r="L271" s="3">
        <f>M271-1</f>
        <v>108</v>
      </c>
      <c r="M271" s="3">
        <v>109</v>
      </c>
      <c r="N271" s="3">
        <f>M271+2</f>
        <v>111</v>
      </c>
      <c r="O271" s="3">
        <f>N271+1</f>
        <v>112</v>
      </c>
      <c r="P271" s="3">
        <v>142</v>
      </c>
      <c r="Q271" s="3">
        <f>VLOOKUP($A271,'SegEnds_NonXtal_BW#'!$A:$Z,12,FALSE)+VLOOKUP($A271,A:AL,16,FALSE)-50</f>
        <v>148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3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155</v>
      </c>
      <c r="V271" s="3">
        <v>167</v>
      </c>
      <c r="W271" s="3">
        <f>IF(ISERROR(VLOOKUP($A271,'SegEnds_NonXtal_BW#'!$A:$Z,16,FALSE)+VLOOKUP($A271,A:AL,22,FALSE)-50),"-",(VLOOKUP($A271,'SegEnds_NonXtal_BW#'!$A:$Z,16,FALSE)+VLOOKUP($A271,A:AL,22,FALSE)-50))</f>
        <v>181</v>
      </c>
      <c r="X271" s="3">
        <f>IF(ISERROR(VLOOKUP($A271,'SegEnds_NonXtal_BW#'!$A:$Z,17,FALSE)+VLOOKUP($A271,A:AL,25,FALSE)-50),"-",(VLOOKUP($A271,'SegEnds_NonXtal_BW#'!$A:$Z,17,FALSE)+VLOOKUP($A271,A:AL,25,FALSE)-50))</f>
        <v>192</v>
      </c>
      <c r="Y271" s="3">
        <v>192</v>
      </c>
      <c r="Z271" s="3">
        <f>Y271+2</f>
        <v>194</v>
      </c>
      <c r="AA271" s="3">
        <f>IF(ISERROR(VLOOKUP($A271,'SegEnds_NonXtal_BW#'!$A:$Z,19,FALSE)+VLOOKUP($A271,A:AL,28,FALSE)-50),"-",(VLOOKUP($A271,'SegEnds_NonXtal_BW#'!$A:$Z,19,FALSE)+VLOOKUP($A271,A:AL,28,FALSE)-50))</f>
        <v>199</v>
      </c>
      <c r="AB271" s="3">
        <v>217</v>
      </c>
      <c r="AC271" s="3">
        <f>IF(ISERROR((VLOOKUP($A271,'SegEnds_NonXtal_BW#'!$A:$Z,20,FALSE)+VLOOKUP($A271,A:AL,28,FALSE)-50)),"-",(VLOOKUP($A271,'SegEnds_NonXtal_BW#'!$A:$Z,20,FALSE)+VLOOKUP($A271,A:AL,28,FALSE)-50))</f>
        <v>241</v>
      </c>
      <c r="AD271" s="3">
        <f>IF(ISERROR(VLOOKUP($A271,'SegEnds_NonXtal_BW#'!$A:$Z,21,FALSE)+VLOOKUP($A271,A:AL,31,FALSE)-50),"-",(VLOOKUP($A271,'SegEnds_NonXtal_BW#'!$A:$Z,21,FALSE)+VLOOKUP($A271,A:AL,31,FALSE)-50))</f>
        <v>252</v>
      </c>
      <c r="AE271" s="3">
        <v>281</v>
      </c>
      <c r="AF271" s="3">
        <f>IF(ISERROR((VLOOKUP($A271,'SegEnds_NonXtal_BW#'!$A:$Z,22,FALSE)+VLOOKUP($A271,A:AL,31,FALSE)-50)),"-",(VLOOKUP($A271,'SegEnds_NonXtal_BW#'!$A:$Z,22,FALSE)+VLOOKUP($A271,A:AL,31,FALSE)-50))</f>
        <v>292</v>
      </c>
      <c r="AG271" s="3">
        <f>IF(ISERROR(VLOOKUP($A271,'SegEnds_NonXtal_BW#'!$A:$Z,23,FALSE)+VLOOKUP($A271,A:AL,34,FALSE)-50),"-",(VLOOKUP($A271,'SegEnds_NonXtal_BW#'!$A:$Z,23,FALSE)+VLOOKUP($A271,A:AL,34,FALSE)-50))</f>
        <v>298</v>
      </c>
      <c r="AH271" s="3">
        <v>317</v>
      </c>
      <c r="AI271" s="3">
        <f>IF(ISERROR((VLOOKUP($A271,'SegEnds_NonXtal_BW#'!$A:$Z,24,FALSE)+VLOOKUP($A271,A:AL,34,FALSE)-50)),"-",(VLOOKUP($A271,'SegEnds_NonXtal_BW#'!$A:$Z,24,FALSE)+VLOOKUP($A271,A:AL,34,FALSE)-50))</f>
        <v>323</v>
      </c>
      <c r="AJ271" s="3">
        <f>IF(ISERROR(VLOOKUP($A271,'SegEnds_NonXtal_BW#'!$A:$Z,25,FALSE)+VLOOKUP($A271,A:AL,37,FALSE)-50),"-",(VLOOKUP($A271,'SegEnds_NonXtal_BW#'!$A:$Z,25,FALSE)+VLOOKUP($A271,A:AL,37,FALSE)-50))</f>
        <v>324</v>
      </c>
      <c r="AK271" s="3">
        <v>327</v>
      </c>
      <c r="AL271" s="3">
        <f>IF(ISERROR((VLOOKUP($A271,'SegEnds_NonXtal_BW#'!$A:$Z,26,FALSE)+VLOOKUP($A271,A:AL,37,FALSE)-50)),"-",(VLOOKUP($A271,'SegEnds_NonXtal_BW#'!$A:$Z,26,FALSE)+VLOOKUP($A271,A:AL,37,FALSE)-50))</f>
        <v>335</v>
      </c>
      <c r="AM271" s="28" t="str">
        <f>VLOOKUP(A271,Classification!A:B,2,FALSE)</f>
        <v>A</v>
      </c>
      <c r="AN271" s="28" t="b">
        <f>AND(IF(Y271="-",IF(AA271-W271&gt;3,TRUE,FALSE),TRUE),IF(M271="-",IF(O271-K271&gt;3,TRUE,FALSE),TRUE),C271&lt;E271,OR(E271&lt;F271,F271="-"),OR(F271&lt;H271,F271="-"),OR(H271&lt;I271,H271="-"),I271&lt;K271,OR(K271&lt;L271,L271="-"),OR(L271&lt;N271,L271="-"),OR(N271&lt;O271,N271="-"),O271&lt;Q271,OR(Q271&lt;R271,R271="-"),OR(R271&lt;T271,R271="-"),OR(T271&lt;U271,T271="-"),U271&lt;W271,OR(W271&lt;X271,X271="-"),OR(X271&lt;Z271,X271="-"),OR(Z271&lt;AA271,Z271="-"),AA271&lt;AC271,AC271&lt;AD271,AD271&lt;AF271,AF271&lt;AG271,AG271&lt;AI271,OR(AI271&lt;AJ271,AJ271="-"),OR(AJ271&lt;AL271,AJ271="-"))</f>
        <v>1</v>
      </c>
      <c r="AO271" s="3" t="str">
        <f>IF(ISERROR(MATCH(A271,'SegEnds_Xtal_Prot#'!B:B, 0)), "NoXtal", "Xtal")</f>
        <v>NoXtal</v>
      </c>
      <c r="AP271" s="3">
        <f>IF(ISERROR(F271-E271),"-",F271-E271)</f>
        <v>1</v>
      </c>
      <c r="AQ271" s="3">
        <f>IF(ISERROR(I271-H271),"-",I271-H271)</f>
        <v>1</v>
      </c>
      <c r="AR271" s="3">
        <f>IF(ISERROR(L271-K271),"-",L271-K271)</f>
        <v>4</v>
      </c>
      <c r="AS271" s="3">
        <f>IF(ISERROR(O271-N271),"-",O271-N271)</f>
        <v>1</v>
      </c>
      <c r="AT271" s="3" t="str">
        <f>IF(ISERROR(R271-Q271),"-",R271-Q271)</f>
        <v>-</v>
      </c>
      <c r="AU271" s="3" t="str">
        <f>IF(ISERROR(U271-T271),"-",U271-T271)</f>
        <v>-</v>
      </c>
      <c r="AV271" s="3">
        <f>IF(ISERROR(X271-W271),"-",X271-W271)</f>
        <v>11</v>
      </c>
      <c r="AW271" s="3">
        <f>IF(ISERROR(AA271-Z271),"-",AA271-Z271)</f>
        <v>5</v>
      </c>
      <c r="AX271" s="3">
        <f>IF(ISERROR(AD271-AC271),"-",AD271-AC271)</f>
        <v>11</v>
      </c>
      <c r="AY271" s="3">
        <f>IF(ISERROR(AG271-AF271),"-",AG271-AF271)</f>
        <v>6</v>
      </c>
      <c r="AZ271" s="3">
        <f>IF(ISERROR(AJ271-AI271),"-",AJ271-AI271)</f>
        <v>1</v>
      </c>
      <c r="BA271" s="3">
        <f>IF(ISERROR(LEN(VLOOKUP(A271,Seqs!A:E,2,FALSE))-AL271),"-",LEN(VLOOKUP(A271,Seqs!A:E,2,FALSE))-AL271)</f>
        <v>180</v>
      </c>
      <c r="BB271" s="16">
        <f>J271-D271</f>
        <v>28</v>
      </c>
      <c r="BC271" s="9" t="str">
        <f>IF(ISERROR(V271-S271),"-",V271-S271)</f>
        <v>-</v>
      </c>
      <c r="BD271" s="3">
        <f>J271-D271</f>
        <v>28</v>
      </c>
      <c r="BE271" s="3">
        <f>AE271-AB271</f>
        <v>64</v>
      </c>
    </row>
    <row r="272" spans="1:58" s="3" customFormat="1" x14ac:dyDescent="0.2">
      <c r="A272" s="3" t="s">
        <v>235</v>
      </c>
      <c r="B272" s="3" t="str">
        <f>LOWER(VLOOKUP(A272,Xtal_Templ!A:B,2,FALSE))</f>
        <v>lpar1_human</v>
      </c>
      <c r="C272" s="3">
        <f>VLOOKUP($A272,'SegEnds_NonXtal_BW#'!$A:$Z,3,FALSE)+D272-50</f>
        <v>12</v>
      </c>
      <c r="D272" s="3">
        <v>32</v>
      </c>
      <c r="E272" s="3">
        <f>IF(ISERROR(VLOOKUP($A272,'SegEnds_NonXtal_BW#'!$A:$Z,4,FALSE)+VLOOKUP($A272,A:AL,4,FALSE)-50),"-",(VLOOKUP($A272,'SegEnds_NonXtal_BW#'!$A:$Z,4,FALSE)+VLOOKUP($A272,A:AL,4,FALSE)-50))</f>
        <v>42</v>
      </c>
      <c r="F272" s="3">
        <f>G272-2</f>
        <v>43</v>
      </c>
      <c r="G272" s="3">
        <v>45</v>
      </c>
      <c r="H272" s="3">
        <f>G272+1</f>
        <v>46</v>
      </c>
      <c r="I272" s="3">
        <f>H272+1</f>
        <v>47</v>
      </c>
      <c r="J272" s="3">
        <v>61</v>
      </c>
      <c r="K272" s="3">
        <f>VLOOKUP($A272,'SegEnds_NonXtal_BW#'!$A:$Z,8,FALSE)+VLOOKUP($A272,A:AL,10,FALSE)-50</f>
        <v>77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84</v>
      </c>
      <c r="P272" s="3">
        <v>110</v>
      </c>
      <c r="Q272" s="3">
        <f>VLOOKUP($A272,'SegEnds_NonXtal_BW#'!$A:$Z,12,FALSE)+VLOOKUP($A272,A:AL,16,FALSE)-50</f>
        <v>116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3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120</v>
      </c>
      <c r="V272" s="3">
        <v>132</v>
      </c>
      <c r="W272" s="3">
        <f>IF(ISERROR(VLOOKUP($A272,'SegEnds_NonXtal_BW#'!$A:$Z,16,FALSE)+VLOOKUP($A272,A:AL,22,FALSE)-50),"-",(VLOOKUP($A272,'SegEnds_NonXtal_BW#'!$A:$Z,16,FALSE)+VLOOKUP($A272,A:AL,22,FALSE)-50))</f>
        <v>145</v>
      </c>
      <c r="X272" s="3">
        <f>IF(ISERROR(VLOOKUP($A272,'SegEnds_NonXtal_BW#'!$A:$Z,17,FALSE)+VLOOKUP($A272,A:AL,25,FALSE)-50),"-",(VLOOKUP($A272,'SegEnds_NonXtal_BW#'!$A:$Z,17,FALSE)+VLOOKUP($A272,A:AL,25,FALSE)-50))</f>
        <v>155</v>
      </c>
      <c r="Y272" s="3">
        <v>155</v>
      </c>
      <c r="Z272" s="3">
        <f>Y272+2</f>
        <v>157</v>
      </c>
      <c r="AA272" s="3">
        <f>IF(ISERROR(VLOOKUP($A272,'SegEnds_NonXtal_BW#'!$A:$Z,19,FALSE)+VLOOKUP($A272,A:AL,28,FALSE)-50),"-",(VLOOKUP($A272,'SegEnds_NonXtal_BW#'!$A:$Z,19,FALSE)+VLOOKUP($A272,A:AL,28,FALSE)-50))</f>
        <v>161</v>
      </c>
      <c r="AB272" s="3">
        <v>176</v>
      </c>
      <c r="AC272" s="3">
        <f>IF(ISERROR((VLOOKUP($A272,'SegEnds_NonXtal_BW#'!$A:$Z,20,FALSE)+VLOOKUP($A272,A:AL,28,FALSE)-50)),"-",(VLOOKUP($A272,'SegEnds_NonXtal_BW#'!$A:$Z,20,FALSE)+VLOOKUP($A272,A:AL,28,FALSE)-50))</f>
        <v>200</v>
      </c>
      <c r="AD272" s="3">
        <f>IF(ISERROR(VLOOKUP($A272,'SegEnds_NonXtal_BW#'!$A:$Z,21,FALSE)+VLOOKUP($A272,A:AL,31,FALSE)-50),"-",(VLOOKUP($A272,'SegEnds_NonXtal_BW#'!$A:$Z,21,FALSE)+VLOOKUP($A272,A:AL,31,FALSE)-50))</f>
        <v>210</v>
      </c>
      <c r="AE272" s="3">
        <v>239</v>
      </c>
      <c r="AF272" s="3">
        <f>IF(ISERROR((VLOOKUP($A272,'SegEnds_NonXtal_BW#'!$A:$Z,22,FALSE)+VLOOKUP($A272,A:AL,31,FALSE)-50)),"-",(VLOOKUP($A272,'SegEnds_NonXtal_BW#'!$A:$Z,22,FALSE)+VLOOKUP($A272,A:AL,31,FALSE)-50))</f>
        <v>250</v>
      </c>
      <c r="AG272" s="3">
        <f>IF(ISERROR(VLOOKUP($A272,'SegEnds_NonXtal_BW#'!$A:$Z,23,FALSE)+VLOOKUP($A272,A:AL,34,FALSE)-50),"-",(VLOOKUP($A272,'SegEnds_NonXtal_BW#'!$A:$Z,23,FALSE)+VLOOKUP($A272,A:AL,34,FALSE)-50))</f>
        <v>255</v>
      </c>
      <c r="AH272" s="3">
        <v>277</v>
      </c>
      <c r="AI272" s="3">
        <f>IF(ISERROR((VLOOKUP($A272,'SegEnds_NonXtal_BW#'!$A:$Z,24,FALSE)+VLOOKUP($A272,A:AL,34,FALSE)-50)),"-",(VLOOKUP($A272,'SegEnds_NonXtal_BW#'!$A:$Z,24,FALSE)+VLOOKUP($A272,A:AL,34,FALSE)-50))</f>
        <v>283</v>
      </c>
      <c r="AJ272" s="3">
        <f>IF(ISERROR(VLOOKUP($A272,'SegEnds_NonXtal_BW#'!$A:$Z,25,FALSE)+VLOOKUP($A272,A:AL,37,FALSE)-50),"-",(VLOOKUP($A272,'SegEnds_NonXtal_BW#'!$A:$Z,25,FALSE)+VLOOKUP($A272,A:AL,37,FALSE)-50))</f>
        <v>284</v>
      </c>
      <c r="AK272" s="3">
        <v>287</v>
      </c>
      <c r="AL272" s="3">
        <f>IF(ISERROR((VLOOKUP($A272,'SegEnds_NonXtal_BW#'!$A:$Z,26,FALSE)+VLOOKUP($A272,A:AL,37,FALSE)-50)),"-",(VLOOKUP($A272,'SegEnds_NonXtal_BW#'!$A:$Z,26,FALSE)+VLOOKUP($A272,A:AL,37,FALSE)-50))</f>
        <v>296</v>
      </c>
      <c r="AM272" s="28" t="str">
        <f>VLOOKUP(A272,Classification!A:B,2,FALSE)</f>
        <v>A</v>
      </c>
      <c r="AN272" s="28" t="b">
        <f>AND(IF(Y272="-",IF(AA272-W272&gt;3,TRUE,FALSE),TRUE),IF(M272="-",IF(O272-K272&gt;3,TRUE,FALSE),TRUE),C272&lt;E272,OR(E272&lt;F272,F272="-"),OR(F272&lt;H272,F272="-"),OR(H272&lt;I272,H272="-"),I272&lt;K272,OR(K272&lt;L272,L272="-"),OR(L272&lt;N272,L272="-"),OR(N272&lt;O272,N272="-"),O272&lt;Q272,OR(Q272&lt;R272,R272="-"),OR(R272&lt;T272,R272="-"),OR(T272&lt;U272,T272="-"),U272&lt;W272,OR(W272&lt;X272,X272="-"),OR(X272&lt;Z272,X272="-"),OR(Z272&lt;AA272,Z272="-"),AA272&lt;AC272,AC272&lt;AD272,AD272&lt;AF272,AF272&lt;AG272,AG272&lt;AI272,OR(AI272&lt;AJ272,AJ272="-"),OR(AJ272&lt;AL272,AJ272="-"))</f>
        <v>1</v>
      </c>
      <c r="AO272" s="3" t="str">
        <f>IF(ISERROR(MATCH(A272,'SegEnds_Xtal_Prot#'!B:B, 0)), "NoXtal", "Xtal")</f>
        <v>NoXtal</v>
      </c>
      <c r="AP272" s="3">
        <f>IF(ISERROR(F272-E272),"-",F272-E272)</f>
        <v>1</v>
      </c>
      <c r="AQ272" s="3">
        <f>IF(ISERROR(I272-H272),"-",I272-H272)</f>
        <v>1</v>
      </c>
      <c r="AR272" s="3" t="str">
        <f>IF(ISERROR(L272-K272),"-",L272-K272)</f>
        <v>-</v>
      </c>
      <c r="AS272" s="3" t="str">
        <f>IF(ISERROR(O272-N272),"-",O272-N272)</f>
        <v>-</v>
      </c>
      <c r="AT272" s="3" t="str">
        <f>IF(ISERROR(R272-Q272),"-",R272-Q272)</f>
        <v>-</v>
      </c>
      <c r="AU272" s="3" t="str">
        <f>IF(ISERROR(U272-T272),"-",U272-T272)</f>
        <v>-</v>
      </c>
      <c r="AV272" s="3">
        <f>IF(ISERROR(X272-W272),"-",X272-W272)</f>
        <v>10</v>
      </c>
      <c r="AW272" s="3">
        <f>IF(ISERROR(AA272-Z272),"-",AA272-Z272)</f>
        <v>4</v>
      </c>
      <c r="AX272" s="3">
        <f>IF(ISERROR(AD272-AC272),"-",AD272-AC272)</f>
        <v>10</v>
      </c>
      <c r="AY272" s="3">
        <f>IF(ISERROR(AG272-AF272),"-",AG272-AF272)</f>
        <v>5</v>
      </c>
      <c r="AZ272" s="3">
        <f>IF(ISERROR(AJ272-AI272),"-",AJ272-AI272)</f>
        <v>1</v>
      </c>
      <c r="BA272" s="3">
        <f>IF(ISERROR(LEN(VLOOKUP(A272,Seqs!A:E,2,FALSE))-AL272),"-",LEN(VLOOKUP(A272,Seqs!A:E,2,FALSE))-AL272)</f>
        <v>34</v>
      </c>
      <c r="BB272" s="16">
        <f>J272-D272</f>
        <v>29</v>
      </c>
      <c r="BC272" s="9" t="str">
        <f>IF(ISERROR(V272-S272),"-",V272-S272)</f>
        <v>-</v>
      </c>
      <c r="BD272" s="3">
        <f>J272-D272</f>
        <v>29</v>
      </c>
      <c r="BE272" s="3">
        <f>AE272-AB272</f>
        <v>63</v>
      </c>
    </row>
    <row r="273" spans="1:58" s="3" customFormat="1" x14ac:dyDescent="0.2">
      <c r="A273" s="3" t="s">
        <v>259</v>
      </c>
      <c r="B273" s="3" t="str">
        <f>LOWER(VLOOKUP(A273,Xtal_Templ!A:B,2,FALSE))</f>
        <v>5ht1b_human</v>
      </c>
      <c r="C273" s="3">
        <f>VLOOKUP($A273,'SegEnds_NonXtal_BW#'!$A:$Z,3,FALSE)+D273-50</f>
        <v>31</v>
      </c>
      <c r="D273" s="3">
        <v>52</v>
      </c>
      <c r="E273" s="3">
        <f>IF(ISERROR(VLOOKUP($A273,'SegEnds_NonXtal_BW#'!$A:$Z,4,FALSE)+VLOOKUP($A273,A:AL,4,FALSE)-50),"-",(VLOOKUP($A273,'SegEnds_NonXtal_BW#'!$A:$Z,4,FALSE)+VLOOKUP($A273,A:AL,4,FALSE)-50))</f>
        <v>62</v>
      </c>
      <c r="F273" s="3">
        <f>G273-2</f>
        <v>63</v>
      </c>
      <c r="G273" s="3">
        <v>65</v>
      </c>
      <c r="H273" s="3">
        <f>G273+1</f>
        <v>66</v>
      </c>
      <c r="I273" s="3">
        <f>H273+1</f>
        <v>67</v>
      </c>
      <c r="J273" s="3">
        <v>80</v>
      </c>
      <c r="K273" s="3">
        <f>VLOOKUP($A273,'SegEnds_NonXtal_BW#'!$A:$Z,8,FALSE)+VLOOKUP($A273,A:AL,10,FALSE)-50</f>
        <v>97</v>
      </c>
      <c r="L273" s="3">
        <f>M273-1</f>
        <v>99</v>
      </c>
      <c r="M273" s="3">
        <v>100</v>
      </c>
      <c r="N273" s="3">
        <f>M273+2</f>
        <v>102</v>
      </c>
      <c r="O273" s="3">
        <f>N273+1</f>
        <v>103</v>
      </c>
      <c r="P273" s="3">
        <v>132</v>
      </c>
      <c r="Q273" s="3">
        <f>VLOOKUP($A273,'SegEnds_NonXtal_BW#'!$A:$Z,12,FALSE)+VLOOKUP($A273,A:AL,16,FALSE)-50</f>
        <v>138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3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144</v>
      </c>
      <c r="V273" s="3">
        <v>156</v>
      </c>
      <c r="W273" s="3">
        <f>IF(ISERROR(VLOOKUP($A273,'SegEnds_NonXtal_BW#'!$A:$Z,16,FALSE)+VLOOKUP($A273,A:AL,22,FALSE)-50),"-",(VLOOKUP($A273,'SegEnds_NonXtal_BW#'!$A:$Z,16,FALSE)+VLOOKUP($A273,A:AL,22,FALSE)-50))</f>
        <v>169</v>
      </c>
      <c r="X273" s="3">
        <f>IF(ISERROR(VLOOKUP($A273,'SegEnds_NonXtal_BW#'!$A:$Z,17,FALSE)+VLOOKUP($A273,A:AL,25,FALSE)-50),"-",(VLOOKUP($A273,'SegEnds_NonXtal_BW#'!$A:$Z,17,FALSE)+VLOOKUP($A273,A:AL,25,FALSE)-50))</f>
        <v>182</v>
      </c>
      <c r="Y273" s="3">
        <v>182</v>
      </c>
      <c r="Z273" s="3">
        <f>Y273+2</f>
        <v>184</v>
      </c>
      <c r="AA273" s="3">
        <f>IF(ISERROR(VLOOKUP($A273,'SegEnds_NonXtal_BW#'!$A:$Z,19,FALSE)+VLOOKUP($A273,A:AL,28,FALSE)-50),"-",(VLOOKUP($A273,'SegEnds_NonXtal_BW#'!$A:$Z,19,FALSE)+VLOOKUP($A273,A:AL,28,FALSE)-50))</f>
        <v>192</v>
      </c>
      <c r="AB273" s="3">
        <v>207</v>
      </c>
      <c r="AC273" s="3">
        <f>IF(ISERROR((VLOOKUP($A273,'SegEnds_NonXtal_BW#'!$A:$Z,20,FALSE)+VLOOKUP($A273,A:AL,28,FALSE)-50)),"-",(VLOOKUP($A273,'SegEnds_NonXtal_BW#'!$A:$Z,20,FALSE)+VLOOKUP($A273,A:AL,28,FALSE)-50))</f>
        <v>233</v>
      </c>
      <c r="AD273" s="3">
        <f>IF(ISERROR(VLOOKUP($A273,'SegEnds_NonXtal_BW#'!$A:$Z,21,FALSE)+VLOOKUP($A273,A:AL,31,FALSE)-50),"-",(VLOOKUP($A273,'SegEnds_NonXtal_BW#'!$A:$Z,21,FALSE)+VLOOKUP($A273,A:AL,31,FALSE)-50))</f>
        <v>256</v>
      </c>
      <c r="AE273" s="3">
        <v>282</v>
      </c>
      <c r="AF273" s="3">
        <f>IF(ISERROR((VLOOKUP($A273,'SegEnds_NonXtal_BW#'!$A:$Z,22,FALSE)+VLOOKUP($A273,A:AL,31,FALSE)-50)),"-",(VLOOKUP($A273,'SegEnds_NonXtal_BW#'!$A:$Z,22,FALSE)+VLOOKUP($A273,A:AL,31,FALSE)-50))</f>
        <v>293</v>
      </c>
      <c r="AG273" s="3">
        <f>IF(ISERROR(VLOOKUP($A273,'SegEnds_NonXtal_BW#'!$A:$Z,23,FALSE)+VLOOKUP($A273,A:AL,34,FALSE)-50),"-",(VLOOKUP($A273,'SegEnds_NonXtal_BW#'!$A:$Z,23,FALSE)+VLOOKUP($A273,A:AL,34,FALSE)-50))</f>
        <v>299</v>
      </c>
      <c r="AH273" s="3">
        <v>321</v>
      </c>
      <c r="AI273" s="3">
        <v>327</v>
      </c>
      <c r="AJ273" s="3">
        <f>IF(ISERROR(VLOOKUP($A273,'SegEnds_NonXtal_BW#'!$A:$Z,25,FALSE)+VLOOKUP($A273,A:AL,37,FALSE)-50),"-",(VLOOKUP($A273,'SegEnds_NonXtal_BW#'!$A:$Z,25,FALSE)+VLOOKUP($A273,A:AL,37,FALSE)-50))</f>
        <v>328</v>
      </c>
      <c r="AK273" s="3">
        <v>331</v>
      </c>
      <c r="AL273" s="3">
        <f>IF(ISERROR((VLOOKUP($A273,'SegEnds_NonXtal_BW#'!$A:$Z,26,FALSE)+VLOOKUP($A273,A:AL,37,FALSE)-50)),"-",(VLOOKUP($A273,'SegEnds_NonXtal_BW#'!$A:$Z,26,FALSE)+VLOOKUP($A273,A:AL,37,FALSE)-50))</f>
        <v>339</v>
      </c>
      <c r="AM273" s="28" t="str">
        <f>VLOOKUP(A273,Classification!A:B,2,FALSE)</f>
        <v>A</v>
      </c>
      <c r="AN273" s="28" t="b">
        <f>AND(IF(Y273="-",IF(AA273-W273&gt;3,TRUE,FALSE),TRUE),IF(M273="-",IF(O273-K273&gt;3,TRUE,FALSE),TRUE),C273&lt;E273,OR(E273&lt;F273,F273="-"),OR(F273&lt;H273,F273="-"),OR(H273&lt;I273,H273="-"),I273&lt;K273,OR(K273&lt;L273,L273="-"),OR(L273&lt;N273,L273="-"),OR(N273&lt;O273,N273="-"),O273&lt;Q273,OR(Q273&lt;R273,R273="-"),OR(R273&lt;T273,R273="-"),OR(T273&lt;U273,T273="-"),U273&lt;W273,OR(W273&lt;X273,X273="-"),OR(X273&lt;Z273,X273="-"),OR(Z273&lt;AA273,Z273="-"),AA273&lt;AC273,AC273&lt;AD273,AD273&lt;AF273,AF273&lt;AG273,AG273&lt;AI273,OR(AI273&lt;AJ273,AJ273="-"),OR(AJ273&lt;AL273,AJ273="-"))</f>
        <v>1</v>
      </c>
      <c r="AO273" s="3" t="str">
        <f>IF(ISERROR(MATCH(A273,'SegEnds_Xtal_Prot#'!B:B, 0)), "NoXtal", "Xtal")</f>
        <v>NoXtal</v>
      </c>
      <c r="AP273" s="3">
        <f>IF(ISERROR(F273-E273),"-",F273-E273)</f>
        <v>1</v>
      </c>
      <c r="AQ273" s="3">
        <f>IF(ISERROR(I273-H273),"-",I273-H273)</f>
        <v>1</v>
      </c>
      <c r="AR273" s="3">
        <f>IF(ISERROR(L273-K273),"-",L273-K273)</f>
        <v>2</v>
      </c>
      <c r="AS273" s="3">
        <f>IF(ISERROR(O273-N273),"-",O273-N273)</f>
        <v>1</v>
      </c>
      <c r="AT273" s="3" t="str">
        <f>IF(ISERROR(R273-Q273),"-",R273-Q273)</f>
        <v>-</v>
      </c>
      <c r="AU273" s="3" t="str">
        <f>IF(ISERROR(U273-T273),"-",U273-T273)</f>
        <v>-</v>
      </c>
      <c r="AV273" s="3">
        <f>IF(ISERROR(X273-W273),"-",X273-W273)</f>
        <v>13</v>
      </c>
      <c r="AW273" s="3">
        <f>IF(ISERROR(AA273-Z273),"-",AA273-Z273)</f>
        <v>8</v>
      </c>
      <c r="AX273" s="3">
        <f>IF(ISERROR(AD273-AC273),"-",AD273-AC273)</f>
        <v>23</v>
      </c>
      <c r="AY273" s="3">
        <f>IF(ISERROR(AG273-AF273),"-",AG273-AF273)</f>
        <v>6</v>
      </c>
      <c r="AZ273" s="3">
        <f>IF(ISERROR(AJ273-AI273),"-",AJ273-AI273)</f>
        <v>1</v>
      </c>
      <c r="BA273" s="3">
        <f>IF(ISERROR(LEN(VLOOKUP(A273,Seqs!A:E,2,FALSE))-AL273),"-",LEN(VLOOKUP(A273,Seqs!A:E,2,FALSE))-AL273)</f>
        <v>33</v>
      </c>
      <c r="BB273" s="16">
        <f>J273-D273</f>
        <v>28</v>
      </c>
      <c r="BC273" s="9" t="str">
        <f>IF(ISERROR(V273-S273),"-",V273-S273)</f>
        <v>-</v>
      </c>
      <c r="BD273" s="3">
        <f>J273-D273</f>
        <v>28</v>
      </c>
      <c r="BE273" s="3">
        <f>AE273-AB273</f>
        <v>75</v>
      </c>
    </row>
    <row r="274" spans="1:58" s="3" customFormat="1" x14ac:dyDescent="0.2">
      <c r="A274" s="3" t="s">
        <v>264</v>
      </c>
      <c r="B274" s="3" t="str">
        <f>LOWER(VLOOKUP(A274,Xtal_Templ!A:B,2,FALSE))</f>
        <v>drd3_human</v>
      </c>
      <c r="C274" s="3">
        <f>VLOOKUP($A274,'SegEnds_NonXtal_BW#'!$A:$Z,3,FALSE)+D274-50</f>
        <v>11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45</v>
      </c>
      <c r="J274" s="3">
        <v>58</v>
      </c>
      <c r="K274" s="3">
        <f>VLOOKUP($A274,'SegEnds_NonXtal_BW#'!$A:$Z,8,FALSE)+VLOOKUP($A274,A:AL,10,FALSE)-50</f>
        <v>75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81</v>
      </c>
      <c r="P274" s="3">
        <v>113</v>
      </c>
      <c r="Q274" s="3">
        <f>VLOOKUP($A274,'SegEnds_NonXtal_BW#'!$A:$Z,12,FALSE)+VLOOKUP($A274,A:AL,16,FALSE)-50</f>
        <v>119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3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125</v>
      </c>
      <c r="V274" s="3">
        <v>137</v>
      </c>
      <c r="W274" s="3">
        <f>IF(ISERROR(VLOOKUP($A274,'SegEnds_NonXtal_BW#'!$A:$Z,16,FALSE)+VLOOKUP($A274,A:AL,22,FALSE)-50),"-",(VLOOKUP($A274,'SegEnds_NonXtal_BW#'!$A:$Z,16,FALSE)+VLOOKUP($A274,A:AL,22,FALSE)-50))</f>
        <v>150</v>
      </c>
      <c r="X274" s="3">
        <f>IF(ISERROR(VLOOKUP($A274,'SegEnds_NonXtal_BW#'!$A:$Z,17,FALSE)+VLOOKUP($A274,A:AL,25,FALSE)-50),"-",(VLOOKUP($A274,'SegEnds_NonXtal_BW#'!$A:$Z,17,FALSE)+VLOOKUP($A274,A:AL,25,FALSE)-50))</f>
        <v>162</v>
      </c>
      <c r="Y274" s="3">
        <v>162</v>
      </c>
      <c r="Z274" s="3">
        <f>Y274+2</f>
        <v>164</v>
      </c>
      <c r="AA274" s="3">
        <f>IF(ISERROR(VLOOKUP($A274,'SegEnds_NonXtal_BW#'!$A:$Z,19,FALSE)+VLOOKUP($A274,A:AL,28,FALSE)-50),"-",(VLOOKUP($A274,'SegEnds_NonXtal_BW#'!$A:$Z,19,FALSE)+VLOOKUP($A274,A:AL,28,FALSE)-50))</f>
        <v>169</v>
      </c>
      <c r="AB274" s="3">
        <v>184</v>
      </c>
      <c r="AC274" s="3">
        <f>IF(ISERROR((VLOOKUP($A274,'SegEnds_NonXtal_BW#'!$A:$Z,20,FALSE)+VLOOKUP($A274,A:AL,28,FALSE)-50)),"-",(VLOOKUP($A274,'SegEnds_NonXtal_BW#'!$A:$Z,20,FALSE)+VLOOKUP($A274,A:AL,28,FALSE)-50))</f>
        <v>210</v>
      </c>
      <c r="AD274" s="3">
        <f>IF(ISERROR(VLOOKUP($A274,'SegEnds_NonXtal_BW#'!$A:$Z,21,FALSE)+VLOOKUP($A274,A:AL,31,FALSE)-50),"-",(VLOOKUP($A274,'SegEnds_NonXtal_BW#'!$A:$Z,21,FALSE)+VLOOKUP($A274,A:AL,31,FALSE)-50))</f>
        <v>230</v>
      </c>
      <c r="AE274" s="3">
        <v>256</v>
      </c>
      <c r="AF274" s="3">
        <f>IF(ISERROR((VLOOKUP($A274,'SegEnds_NonXtal_BW#'!$A:$Z,22,FALSE)+VLOOKUP($A274,A:AL,31,FALSE)-50)),"-",(VLOOKUP($A274,'SegEnds_NonXtal_BW#'!$A:$Z,22,FALSE)+VLOOKUP($A274,A:AL,31,FALSE)-50))</f>
        <v>264</v>
      </c>
      <c r="AG274" s="3">
        <f>IF(ISERROR(VLOOKUP($A274,'SegEnds_NonXtal_BW#'!$A:$Z,23,FALSE)+VLOOKUP($A274,A:AL,34,FALSE)-50),"-",(VLOOKUP($A274,'SegEnds_NonXtal_BW#'!$A:$Z,23,FALSE)+VLOOKUP($A274,A:AL,34,FALSE)-50))</f>
        <v>272</v>
      </c>
      <c r="AH274" s="3">
        <v>287</v>
      </c>
      <c r="AI274" s="3">
        <f>IF(ISERROR((VLOOKUP($A274,'SegEnds_NonXtal_BW#'!$A:$Z,24,FALSE)+VLOOKUP($A274,A:AL,34,FALSE)-50)),"-",(VLOOKUP($A274,'SegEnds_NonXtal_BW#'!$A:$Z,24,FALSE)+VLOOKUP($A274,A:AL,34,FALSE)-50))</f>
        <v>293</v>
      </c>
      <c r="AJ274" s="3">
        <f>IF(ISERROR(VLOOKUP($A274,'SegEnds_NonXtal_BW#'!$A:$Z,25,FALSE)+VLOOKUP($A274,A:AL,37,FALSE)-50),"-",(VLOOKUP($A274,'SegEnds_NonXtal_BW#'!$A:$Z,25,FALSE)+VLOOKUP($A274,A:AL,37,FALSE)-50))</f>
        <v>294</v>
      </c>
      <c r="AK274" s="3">
        <v>297</v>
      </c>
      <c r="AL274" s="3">
        <f>IF(ISERROR((VLOOKUP($A274,'SegEnds_NonXtal_BW#'!$A:$Z,26,FALSE)+VLOOKUP($A274,A:AL,37,FALSE)-50)),"-",(VLOOKUP($A274,'SegEnds_NonXtal_BW#'!$A:$Z,26,FALSE)+VLOOKUP($A274,A:AL,37,FALSE)-50))</f>
        <v>306</v>
      </c>
      <c r="AM274" s="28" t="str">
        <f>VLOOKUP(A274,Classification!A:B,2,FALSE)</f>
        <v>A</v>
      </c>
      <c r="AN274" s="28" t="b">
        <f>AND(IF(Y274="-",IF(AA274-W274&gt;3,TRUE,FALSE),TRUE),IF(M274="-",IF(O274-K274&gt;3,TRUE,FALSE),TRUE),C274&lt;E274,OR(E274&lt;F274,F274="-"),OR(F274&lt;H274,F274="-"),OR(H274&lt;I274,H274="-"),I274&lt;K274,OR(K274&lt;L274,L274="-"),OR(L274&lt;N274,L274="-"),OR(N274&lt;O274,N274="-"),O274&lt;Q274,OR(Q274&lt;R274,R274="-"),OR(R274&lt;T274,R274="-"),OR(T274&lt;U274,T274="-"),U274&lt;W274,OR(W274&lt;X274,X274="-"),OR(X274&lt;Z274,X274="-"),OR(Z274&lt;AA274,Z274="-"),AA274&lt;AC274,AC274&lt;AD274,AD274&lt;AF274,AF274&lt;AG274,AG274&lt;AI274,OR(AI274&lt;AJ274,AJ274="-"),OR(AJ274&lt;AL274,AJ274="-"))</f>
        <v>1</v>
      </c>
      <c r="AO274" s="3" t="str">
        <f>IF(ISERROR(MATCH(A274,'SegEnds_Xtal_Prot#'!B:B, 0)), "NoXtal", "Xtal")</f>
        <v>NoXtal</v>
      </c>
      <c r="AP274" s="3" t="str">
        <f>IF(ISERROR(F274-E274),"-",F274-E274)</f>
        <v>-</v>
      </c>
      <c r="AQ274" s="3" t="str">
        <f>IF(ISERROR(I274-H274),"-",I274-H274)</f>
        <v>-</v>
      </c>
      <c r="AR274" s="3" t="str">
        <f>IF(ISERROR(L274-K274),"-",L274-K274)</f>
        <v>-</v>
      </c>
      <c r="AS274" s="3" t="str">
        <f>IF(ISERROR(O274-N274),"-",O274-N274)</f>
        <v>-</v>
      </c>
      <c r="AT274" s="3" t="str">
        <f>IF(ISERROR(R274-Q274),"-",R274-Q274)</f>
        <v>-</v>
      </c>
      <c r="AU274" s="3" t="str">
        <f>IF(ISERROR(U274-T274),"-",U274-T274)</f>
        <v>-</v>
      </c>
      <c r="AV274" s="3">
        <f>IF(ISERROR(X274-W274),"-",X274-W274)</f>
        <v>12</v>
      </c>
      <c r="AW274" s="3">
        <f>IF(ISERROR(AA274-Z274),"-",AA274-Z274)</f>
        <v>5</v>
      </c>
      <c r="AX274" s="3">
        <f>IF(ISERROR(AD274-AC274),"-",AD274-AC274)</f>
        <v>20</v>
      </c>
      <c r="AY274" s="3">
        <f>IF(ISERROR(AG274-AF274),"-",AG274-AF274)</f>
        <v>8</v>
      </c>
      <c r="AZ274" s="3">
        <f>IF(ISERROR(AJ274-AI274),"-",AJ274-AI274)</f>
        <v>1</v>
      </c>
      <c r="BA274" s="3">
        <f>IF(ISERROR(LEN(VLOOKUP(A274,Seqs!A:E,2,FALSE))-AL274),"-",LEN(VLOOKUP(A274,Seqs!A:E,2,FALSE))-AL274)</f>
        <v>62</v>
      </c>
      <c r="BB274" s="16">
        <f>J274-D274</f>
        <v>26</v>
      </c>
      <c r="BC274" s="9" t="str">
        <f>IF(ISERROR(V274-S274),"-",V274-S274)</f>
        <v>-</v>
      </c>
      <c r="BD274" s="3">
        <f>J274-D274</f>
        <v>26</v>
      </c>
      <c r="BE274" s="3">
        <f>AE274-AB274</f>
        <v>72</v>
      </c>
    </row>
    <row r="275" spans="1:58" s="3" customFormat="1" x14ac:dyDescent="0.2">
      <c r="A275" s="3" t="s">
        <v>265</v>
      </c>
      <c r="B275" s="3" t="str">
        <f>LOWER(VLOOKUP(A275,Xtal_Templ!A:B,2,FALSE))</f>
        <v>5ht2b_human</v>
      </c>
      <c r="C275" s="3">
        <f>VLOOKUP($A275,'SegEnds_NonXtal_BW#'!$A:$Z,3,FALSE)+D275-50</f>
        <v>81</v>
      </c>
      <c r="D275" s="3">
        <v>99</v>
      </c>
      <c r="E275" s="3">
        <f>IF(ISERROR(VLOOKUP($A275,'SegEnds_NonXtal_BW#'!$A:$Z,4,FALSE)+VLOOKUP($A275,A:AL,4,FALSE)-50),"-",(VLOOKUP($A275,'SegEnds_NonXtal_BW#'!$A:$Z,4,FALSE)+VLOOKUP($A275,A:AL,4,FALSE)-50))</f>
        <v>109</v>
      </c>
      <c r="F275" s="3">
        <f>G275-2</f>
        <v>110</v>
      </c>
      <c r="G275" s="3">
        <v>112</v>
      </c>
      <c r="H275" s="3">
        <f>G275+1</f>
        <v>113</v>
      </c>
      <c r="I275" s="3">
        <f>H275+1</f>
        <v>114</v>
      </c>
      <c r="J275" s="3">
        <v>127</v>
      </c>
      <c r="K275" s="3">
        <f>VLOOKUP($A275,'SegEnds_NonXtal_BW#'!$A:$Z,8,FALSE)+VLOOKUP($A275,A:AL,10,FALSE)-50</f>
        <v>144</v>
      </c>
      <c r="L275" s="3">
        <f>M275-1</f>
        <v>146</v>
      </c>
      <c r="M275" s="3">
        <v>147</v>
      </c>
      <c r="N275" s="3">
        <f>M275+2</f>
        <v>149</v>
      </c>
      <c r="O275" s="3">
        <f>N275+1</f>
        <v>150</v>
      </c>
      <c r="P275" s="3">
        <v>179</v>
      </c>
      <c r="Q275" s="3">
        <f>VLOOKUP($A275,'SegEnds_NonXtal_BW#'!$A:$Z,12,FALSE)+VLOOKUP($A275,A:AL,16,FALSE)-50</f>
        <v>185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3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191</v>
      </c>
      <c r="V275" s="3">
        <v>203</v>
      </c>
      <c r="W275" s="3">
        <f>IF(ISERROR(VLOOKUP($A275,'SegEnds_NonXtal_BW#'!$A:$Z,16,FALSE)+VLOOKUP($A275,A:AL,22,FALSE)-50),"-",(VLOOKUP($A275,'SegEnds_NonXtal_BW#'!$A:$Z,16,FALSE)+VLOOKUP($A275,A:AL,22,FALSE)-50))</f>
        <v>217</v>
      </c>
      <c r="X275" s="3">
        <f>IF(ISERROR(VLOOKUP($A275,'SegEnds_NonXtal_BW#'!$A:$Z,17,FALSE)+VLOOKUP($A275,A:AL,25,FALSE)-50),"-",(VLOOKUP($A275,'SegEnds_NonXtal_BW#'!$A:$Z,17,FALSE)+VLOOKUP($A275,A:AL,25,FALSE)-50))</f>
        <v>229</v>
      </c>
      <c r="Y275" s="3">
        <v>229</v>
      </c>
      <c r="Z275" s="3">
        <f>Y275+2</f>
        <v>231</v>
      </c>
      <c r="AA275" s="3">
        <f>IF(ISERROR(VLOOKUP($A275,'SegEnds_NonXtal_BW#'!$A:$Z,19,FALSE)+VLOOKUP($A275,A:AL,28,FALSE)-50),"-",(VLOOKUP($A275,'SegEnds_NonXtal_BW#'!$A:$Z,19,FALSE)+VLOOKUP($A275,A:AL,28,FALSE)-50))</f>
        <v>239</v>
      </c>
      <c r="AB275" s="3">
        <v>254</v>
      </c>
      <c r="AC275" s="3">
        <f>IF(ISERROR((VLOOKUP($A275,'SegEnds_NonXtal_BW#'!$A:$Z,20,FALSE)+VLOOKUP($A275,A:AL,28,FALSE)-50)),"-",(VLOOKUP($A275,'SegEnds_NonXtal_BW#'!$A:$Z,20,FALSE)+VLOOKUP($A275,A:AL,28,FALSE)-50))</f>
        <v>280</v>
      </c>
      <c r="AD275" s="3">
        <f>IF(ISERROR(VLOOKUP($A275,'SegEnds_NonXtal_BW#'!$A:$Z,21,FALSE)+VLOOKUP($A275,A:AL,31,FALSE)-50),"-",(VLOOKUP($A275,'SegEnds_NonXtal_BW#'!$A:$Z,21,FALSE)+VLOOKUP($A275,A:AL,31,FALSE)-50))</f>
        <v>303</v>
      </c>
      <c r="AE275" s="3">
        <v>329</v>
      </c>
      <c r="AF275" s="3">
        <f>IF(ISERROR((VLOOKUP($A275,'SegEnds_NonXtal_BW#'!$A:$Z,22,FALSE)+VLOOKUP($A275,A:AL,31,FALSE)-50)),"-",(VLOOKUP($A275,'SegEnds_NonXtal_BW#'!$A:$Z,22,FALSE)+VLOOKUP($A275,A:AL,31,FALSE)-50))</f>
        <v>340</v>
      </c>
      <c r="AG275" s="3">
        <f>IF(ISERROR(VLOOKUP($A275,'SegEnds_NonXtal_BW#'!$A:$Z,23,FALSE)+VLOOKUP($A275,A:AL,34,FALSE)-50),"-",(VLOOKUP($A275,'SegEnds_NonXtal_BW#'!$A:$Z,23,FALSE)+VLOOKUP($A275,A:AL,34,FALSE)-50))</f>
        <v>346</v>
      </c>
      <c r="AH275" s="3">
        <v>368</v>
      </c>
      <c r="AI275" s="3">
        <f>IF(ISERROR((VLOOKUP($A275,'SegEnds_NonXtal_BW#'!$A:$Z,24,FALSE)+VLOOKUP($A275,A:AL,34,FALSE)-50)),"-",(VLOOKUP($A275,'SegEnds_NonXtal_BW#'!$A:$Z,24,FALSE)+VLOOKUP($A275,A:AL,34,FALSE)-50))</f>
        <v>374</v>
      </c>
      <c r="AJ275" s="3">
        <f>IF(ISERROR(VLOOKUP($A275,'SegEnds_NonXtal_BW#'!$A:$Z,25,FALSE)+VLOOKUP($A275,A:AL,37,FALSE)-50),"-",(VLOOKUP($A275,'SegEnds_NonXtal_BW#'!$A:$Z,25,FALSE)+VLOOKUP($A275,A:AL,37,FALSE)-50))</f>
        <v>375</v>
      </c>
      <c r="AK275" s="3">
        <v>378</v>
      </c>
      <c r="AL275" s="3">
        <f>IF(ISERROR((VLOOKUP($A275,'SegEnds_NonXtal_BW#'!$A:$Z,26,FALSE)+VLOOKUP($A275,A:AL,37,FALSE)-50)),"-",(VLOOKUP($A275,'SegEnds_NonXtal_BW#'!$A:$Z,26,FALSE)+VLOOKUP($A275,A:AL,37,FALSE)-50))</f>
        <v>386</v>
      </c>
      <c r="AM275" s="28" t="str">
        <f>VLOOKUP(A275,Classification!A:B,2,FALSE)</f>
        <v>A</v>
      </c>
      <c r="AN275" s="28" t="b">
        <f>AND(IF(Y275="-",IF(AA275-W275&gt;3,TRUE,FALSE),TRUE),IF(M275="-",IF(O275-K275&gt;3,TRUE,FALSE),TRUE),C275&lt;E275,OR(E275&lt;F275,F275="-"),OR(F275&lt;H275,F275="-"),OR(H275&lt;I275,H275="-"),I275&lt;K275,OR(K275&lt;L275,L275="-"),OR(L275&lt;N275,L275="-"),OR(N275&lt;O275,N275="-"),O275&lt;Q275,OR(Q275&lt;R275,R275="-"),OR(R275&lt;T275,R275="-"),OR(T275&lt;U275,T275="-"),U275&lt;W275,OR(W275&lt;X275,X275="-"),OR(X275&lt;Z275,X275="-"),OR(Z275&lt;AA275,Z275="-"),AA275&lt;AC275,AC275&lt;AD275,AD275&lt;AF275,AF275&lt;AG275,AG275&lt;AI275,OR(AI275&lt;AJ275,AJ275="-"),OR(AJ275&lt;AL275,AJ275="-"))</f>
        <v>1</v>
      </c>
      <c r="AO275" s="3" t="str">
        <f>IF(ISERROR(MATCH(A275,'SegEnds_Xtal_Prot#'!B:B, 0)), "NoXtal", "Xtal")</f>
        <v>NoXtal</v>
      </c>
      <c r="AP275" s="3">
        <f>IF(ISERROR(F275-E275),"-",F275-E275)</f>
        <v>1</v>
      </c>
      <c r="AQ275" s="3">
        <f>IF(ISERROR(I275-H275),"-",I275-H275)</f>
        <v>1</v>
      </c>
      <c r="AR275" s="3">
        <f>IF(ISERROR(L275-K275),"-",L275-K275)</f>
        <v>2</v>
      </c>
      <c r="AS275" s="3">
        <f>IF(ISERROR(O275-N275),"-",O275-N275)</f>
        <v>1</v>
      </c>
      <c r="AT275" s="3" t="str">
        <f>IF(ISERROR(R275-Q275),"-",R275-Q275)</f>
        <v>-</v>
      </c>
      <c r="AU275" s="3" t="str">
        <f>IF(ISERROR(U275-T275),"-",U275-T275)</f>
        <v>-</v>
      </c>
      <c r="AV275" s="3">
        <f>IF(ISERROR(X275-W275),"-",X275-W275)</f>
        <v>12</v>
      </c>
      <c r="AW275" s="3">
        <f>IF(ISERROR(AA275-Z275),"-",AA275-Z275)</f>
        <v>8</v>
      </c>
      <c r="AX275" s="3">
        <f>IF(ISERROR(AD275-AC275),"-",AD275-AC275)</f>
        <v>23</v>
      </c>
      <c r="AY275" s="3">
        <f>IF(ISERROR(AG275-AF275),"-",AG275-AF275)</f>
        <v>6</v>
      </c>
      <c r="AZ275" s="3">
        <f>IF(ISERROR(AJ275-AI275),"-",AJ275-AI275)</f>
        <v>1</v>
      </c>
      <c r="BA275" s="3">
        <f>IF(ISERROR(LEN(VLOOKUP(A275,Seqs!A:E,2,FALSE))-AL275),"-",LEN(VLOOKUP(A275,Seqs!A:E,2,FALSE))-AL275)</f>
        <v>33</v>
      </c>
      <c r="BB275" s="16">
        <f>J275-D275</f>
        <v>28</v>
      </c>
      <c r="BC275" s="9" t="str">
        <f>IF(ISERROR(V275-S275),"-",V275-S275)</f>
        <v>-</v>
      </c>
      <c r="BD275" s="3">
        <f>J275-D275</f>
        <v>28</v>
      </c>
      <c r="BE275" s="3">
        <f>AE275-AB275</f>
        <v>75</v>
      </c>
    </row>
    <row r="276" spans="1:58" s="3" customFormat="1" x14ac:dyDescent="0.2">
      <c r="A276" s="3" t="s">
        <v>266</v>
      </c>
      <c r="B276" s="3" t="str">
        <f>LOWER(VLOOKUP(A276,Xtal_Templ!A:B,2,FALSE))</f>
        <v>adrb2_human</v>
      </c>
      <c r="C276" s="3">
        <f>VLOOKUP($A276,'SegEnds_NonXtal_BW#'!$A:$Z,3,FALSE)+D276-50</f>
        <v>35</v>
      </c>
      <c r="D276" s="3">
        <v>60</v>
      </c>
      <c r="E276" s="3">
        <f>IF(ISERROR(VLOOKUP($A276,'SegEnds_NonXtal_BW#'!$A:$Z,4,FALSE)+VLOOKUP($A276,A:AL,4,FALSE)-50),"-",(VLOOKUP($A276,'SegEnds_NonXtal_BW#'!$A:$Z,4,FALSE)+VLOOKUP($A276,A:AL,4,FALSE)-50))</f>
        <v>70</v>
      </c>
      <c r="F276" s="3">
        <f>G276-2</f>
        <v>73</v>
      </c>
      <c r="G276" s="3">
        <v>75</v>
      </c>
      <c r="H276" s="3">
        <f>G276+1</f>
        <v>76</v>
      </c>
      <c r="I276" s="3">
        <f>H276+1</f>
        <v>77</v>
      </c>
      <c r="J276" s="3">
        <v>90</v>
      </c>
      <c r="K276" s="3">
        <f>VLOOKUP($A276,'SegEnds_NonXtal_BW#'!$A:$Z,8,FALSE)+VLOOKUP($A276,A:AL,10,FALSE)-50</f>
        <v>107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111</v>
      </c>
      <c r="P276" s="3">
        <v>143</v>
      </c>
      <c r="Q276" s="3">
        <f>VLOOKUP($A276,'SegEnds_NonXtal_BW#'!$A:$Z,12,FALSE)+VLOOKUP($A276,A:AL,16,FALSE)-50</f>
        <v>149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3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157</v>
      </c>
      <c r="V276" s="3">
        <v>169</v>
      </c>
      <c r="W276" s="3">
        <f>IF(ISERROR(VLOOKUP($A276,'SegEnds_NonXtal_BW#'!$A:$Z,16,FALSE)+VLOOKUP($A276,A:AL,22,FALSE)-50),"-",(VLOOKUP($A276,'SegEnds_NonXtal_BW#'!$A:$Z,16,FALSE)+VLOOKUP($A276,A:AL,22,FALSE)-50))</f>
        <v>183</v>
      </c>
      <c r="X276" s="3">
        <f>IF(ISERROR(VLOOKUP($A276,'SegEnds_NonXtal_BW#'!$A:$Z,17,FALSE)+VLOOKUP($A276,A:AL,25,FALSE)-50),"-",(VLOOKUP($A276,'SegEnds_NonXtal_BW#'!$A:$Z,17,FALSE)+VLOOKUP($A276,A:AL,25,FALSE)-50))</f>
        <v>189</v>
      </c>
      <c r="Y276" s="3">
        <v>189</v>
      </c>
      <c r="Z276" s="3">
        <f>Y276+2</f>
        <v>191</v>
      </c>
      <c r="AA276" s="3">
        <f>IF(ISERROR(VLOOKUP($A276,'SegEnds_NonXtal_BW#'!$A:$Z,19,FALSE)+VLOOKUP($A276,A:AL,28,FALSE)-50),"-",(VLOOKUP($A276,'SegEnds_NonXtal_BW#'!$A:$Z,19,FALSE)+VLOOKUP($A276,A:AL,28,FALSE)-50))</f>
        <v>199</v>
      </c>
      <c r="AB276" s="3">
        <v>214</v>
      </c>
      <c r="AC276" s="3">
        <f>IF(ISERROR((VLOOKUP($A276,'SegEnds_NonXtal_BW#'!$A:$Z,20,FALSE)+VLOOKUP($A276,A:AL,28,FALSE)-50)),"-",(VLOOKUP($A276,'SegEnds_NonXtal_BW#'!$A:$Z,20,FALSE)+VLOOKUP($A276,A:AL,28,FALSE)-50))</f>
        <v>240</v>
      </c>
      <c r="AD276" s="3">
        <f>IF(ISERROR(VLOOKUP($A276,'SegEnds_NonXtal_BW#'!$A:$Z,21,FALSE)+VLOOKUP($A276,A:AL,31,FALSE)-50),"-",(VLOOKUP($A276,'SegEnds_NonXtal_BW#'!$A:$Z,21,FALSE)+VLOOKUP($A276,A:AL,31,FALSE)-50))</f>
        <v>310</v>
      </c>
      <c r="AE276" s="3">
        <v>336</v>
      </c>
      <c r="AF276" s="3">
        <f>IF(ISERROR((VLOOKUP($A276,'SegEnds_NonXtal_BW#'!$A:$Z,22,FALSE)+VLOOKUP($A276,A:AL,31,FALSE)-50)),"-",(VLOOKUP($A276,'SegEnds_NonXtal_BW#'!$A:$Z,22,FALSE)+VLOOKUP($A276,A:AL,31,FALSE)-50))</f>
        <v>347</v>
      </c>
      <c r="AG276" s="3">
        <f>IF(ISERROR(VLOOKUP($A276,'SegEnds_NonXtal_BW#'!$A:$Z,23,FALSE)+VLOOKUP($A276,A:AL,34,FALSE)-50),"-",(VLOOKUP($A276,'SegEnds_NonXtal_BW#'!$A:$Z,23,FALSE)+VLOOKUP($A276,A:AL,34,FALSE)-50))</f>
        <v>354</v>
      </c>
      <c r="AH276" s="3">
        <v>373</v>
      </c>
      <c r="AI276" s="3">
        <f>IF(ISERROR((VLOOKUP($A276,'SegEnds_NonXtal_BW#'!$A:$Z,24,FALSE)+VLOOKUP($A276,A:AL,34,FALSE)-50)),"-",(VLOOKUP($A276,'SegEnds_NonXtal_BW#'!$A:$Z,24,FALSE)+VLOOKUP($A276,A:AL,34,FALSE)-50))</f>
        <v>379</v>
      </c>
      <c r="AJ276" s="3">
        <f>IF(ISERROR(VLOOKUP($A276,'SegEnds_NonXtal_BW#'!$A:$Z,25,FALSE)+VLOOKUP($A276,A:AL,37,FALSE)-50),"-",(VLOOKUP($A276,'SegEnds_NonXtal_BW#'!$A:$Z,25,FALSE)+VLOOKUP($A276,A:AL,37,FALSE)-50))</f>
        <v>380</v>
      </c>
      <c r="AK276" s="3">
        <v>383</v>
      </c>
      <c r="AL276" s="3">
        <f>IF(ISERROR((VLOOKUP($A276,'SegEnds_NonXtal_BW#'!$A:$Z,26,FALSE)+VLOOKUP($A276,A:AL,37,FALSE)-50)),"-",(VLOOKUP($A276,'SegEnds_NonXtal_BW#'!$A:$Z,26,FALSE)+VLOOKUP($A276,A:AL,37,FALSE)-50))</f>
        <v>392</v>
      </c>
      <c r="AM276" s="28" t="str">
        <f>VLOOKUP(A276,Classification!A:B,2,FALSE)</f>
        <v>A</v>
      </c>
      <c r="AN276" s="28" t="b">
        <f>AND(IF(Y276="-",IF(AA276-W276&gt;3,TRUE,FALSE),TRUE),IF(M276="-",IF(O276-K276&gt;3,TRUE,FALSE),TRUE),C276&lt;E276,OR(E276&lt;F276,F276="-"),OR(F276&lt;H276,F276="-"),OR(H276&lt;I276,H276="-"),I276&lt;K276,OR(K276&lt;L276,L276="-"),OR(L276&lt;N276,L276="-"),OR(N276&lt;O276,N276="-"),O276&lt;Q276,OR(Q276&lt;R276,R276="-"),OR(R276&lt;T276,R276="-"),OR(T276&lt;U276,T276="-"),U276&lt;W276,OR(W276&lt;X276,X276="-"),OR(X276&lt;Z276,X276="-"),OR(Z276&lt;AA276,Z276="-"),AA276&lt;AC276,AC276&lt;AD276,AD276&lt;AF276,AF276&lt;AG276,AG276&lt;AI276,OR(AI276&lt;AJ276,AJ276="-"),OR(AJ276&lt;AL276,AJ276="-"))</f>
        <v>1</v>
      </c>
      <c r="AO276" s="3" t="str">
        <f>IF(ISERROR(MATCH(A276,'SegEnds_Xtal_Prot#'!B:B, 0)), "NoXtal", "Xtal")</f>
        <v>NoXtal</v>
      </c>
      <c r="AP276" s="3">
        <f>IF(ISERROR(F276-E276),"-",F276-E276)</f>
        <v>3</v>
      </c>
      <c r="AQ276" s="3">
        <f>IF(ISERROR(I276-H276),"-",I276-H276)</f>
        <v>1</v>
      </c>
      <c r="AR276" s="3" t="str">
        <f>IF(ISERROR(L276-K276),"-",L276-K276)</f>
        <v>-</v>
      </c>
      <c r="AS276" s="3" t="str">
        <f>IF(ISERROR(O276-N276),"-",O276-N276)</f>
        <v>-</v>
      </c>
      <c r="AT276" s="3" t="str">
        <f>IF(ISERROR(R276-Q276),"-",R276-Q276)</f>
        <v>-</v>
      </c>
      <c r="AU276" s="3" t="str">
        <f>IF(ISERROR(U276-T276),"-",U276-T276)</f>
        <v>-</v>
      </c>
      <c r="AV276" s="3">
        <f>IF(ISERROR(X276-W276),"-",X276-W276)</f>
        <v>6</v>
      </c>
      <c r="AW276" s="3">
        <f>IF(ISERROR(AA276-Z276),"-",AA276-Z276)</f>
        <v>8</v>
      </c>
      <c r="AX276" s="3">
        <f>IF(ISERROR(AD276-AC276),"-",AD276-AC276)</f>
        <v>70</v>
      </c>
      <c r="AY276" s="3">
        <f>IF(ISERROR(AG276-AF276),"-",AG276-AF276)</f>
        <v>7</v>
      </c>
      <c r="AZ276" s="3">
        <f>IF(ISERROR(AJ276-AI276),"-",AJ276-AI276)</f>
        <v>1</v>
      </c>
      <c r="BA276" s="3">
        <f>IF(ISERROR(LEN(VLOOKUP(A276,Seqs!A:E,2,FALSE))-AL276),"-",LEN(VLOOKUP(A276,Seqs!A:E,2,FALSE))-AL276)</f>
        <v>148</v>
      </c>
      <c r="BB276" s="16">
        <f>J276-D276</f>
        <v>30</v>
      </c>
      <c r="BC276" s="9" t="str">
        <f>IF(ISERROR(V276-S276),"-",V276-S276)</f>
        <v>-</v>
      </c>
      <c r="BD276" s="3">
        <f>J276-D276</f>
        <v>30</v>
      </c>
      <c r="BE276" s="3">
        <f>AE276-AB276</f>
        <v>122</v>
      </c>
    </row>
    <row r="277" spans="1:58" s="3" customFormat="1" x14ac:dyDescent="0.2">
      <c r="A277" s="3" t="s">
        <v>269</v>
      </c>
      <c r="B277" s="3" t="str">
        <f>LOWER(VLOOKUP(A277,Xtal_Templ!A:B,2,FALSE))</f>
        <v>ox2r_human</v>
      </c>
      <c r="C277" s="3">
        <f>VLOOKUP($A277,'SegEnds_NonXtal_BW#'!$A:$Z,3,FALSE)+D277-50</f>
        <v>70</v>
      </c>
      <c r="D277" s="3">
        <v>89</v>
      </c>
      <c r="E277" s="3">
        <f>IF(ISERROR(VLOOKUP($A277,'SegEnds_NonXtal_BW#'!$A:$Z,4,FALSE)+VLOOKUP($A277,A:AL,4,FALSE)-50),"-",(VLOOKUP($A277,'SegEnds_NonXtal_BW#'!$A:$Z,4,FALSE)+VLOOKUP($A277,A:AL,4,FALSE)-50))</f>
        <v>99</v>
      </c>
      <c r="F277" s="3">
        <f>G277-2</f>
        <v>100</v>
      </c>
      <c r="G277" s="3">
        <v>102</v>
      </c>
      <c r="H277" s="3">
        <f>G277+1</f>
        <v>103</v>
      </c>
      <c r="I277" s="3">
        <f>H277+1</f>
        <v>104</v>
      </c>
      <c r="J277" s="3">
        <v>117</v>
      </c>
      <c r="K277" s="3">
        <f>VLOOKUP($A277,'SegEnds_NonXtal_BW#'!$A:$Z,8,FALSE)+VLOOKUP($A277,A:AL,10,FALSE)-50</f>
        <v>134</v>
      </c>
      <c r="L277" s="3">
        <f>M277-1</f>
        <v>136</v>
      </c>
      <c r="M277" s="3">
        <v>137</v>
      </c>
      <c r="N277" s="3">
        <f>M277+2</f>
        <v>139</v>
      </c>
      <c r="O277" s="3">
        <f>N277+1</f>
        <v>140</v>
      </c>
      <c r="P277" s="3">
        <v>169</v>
      </c>
      <c r="Q277" s="3">
        <f>VLOOKUP($A277,'SegEnds_NonXtal_BW#'!$A:$Z,12,FALSE)+VLOOKUP($A277,A:AL,16,FALSE)-50</f>
        <v>175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3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182</v>
      </c>
      <c r="V277" s="3">
        <v>194</v>
      </c>
      <c r="W277" s="3">
        <f>IF(ISERROR(VLOOKUP($A277,'SegEnds_NonXtal_BW#'!$A:$Z,16,FALSE)+VLOOKUP($A277,A:AL,22,FALSE)-50),"-",(VLOOKUP($A277,'SegEnds_NonXtal_BW#'!$A:$Z,16,FALSE)+VLOOKUP($A277,A:AL,22,FALSE)-50))</f>
        <v>208</v>
      </c>
      <c r="X277" s="3">
        <f>IF(ISERROR(VLOOKUP($A277,'SegEnds_NonXtal_BW#'!$A:$Z,17,FALSE)+VLOOKUP($A277,A:AL,25,FALSE)-50),"-",(VLOOKUP($A277,'SegEnds_NonXtal_BW#'!$A:$Z,17,FALSE)+VLOOKUP($A277,A:AL,25,FALSE)-50))</f>
        <v>224</v>
      </c>
      <c r="Y277" s="3">
        <v>224</v>
      </c>
      <c r="Z277" s="3">
        <f>Y277+2</f>
        <v>226</v>
      </c>
      <c r="AA277" s="3">
        <f>IF(ISERROR(VLOOKUP($A277,'SegEnds_NonXtal_BW#'!$A:$Z,19,FALSE)+VLOOKUP($A277,A:AL,28,FALSE)-50),"-",(VLOOKUP($A277,'SegEnds_NonXtal_BW#'!$A:$Z,19,FALSE)+VLOOKUP($A277,A:AL,28,FALSE)-50))</f>
        <v>233</v>
      </c>
      <c r="AB277" s="3">
        <v>251</v>
      </c>
      <c r="AC277" s="3">
        <f>IF(ISERROR((VLOOKUP($A277,'SegEnds_NonXtal_BW#'!$A:$Z,20,FALSE)+VLOOKUP($A277,A:AL,28,FALSE)-50)),"-",(VLOOKUP($A277,'SegEnds_NonXtal_BW#'!$A:$Z,20,FALSE)+VLOOKUP($A277,A:AL,28,FALSE)-50))</f>
        <v>274</v>
      </c>
      <c r="AD277" s="3">
        <f>IF(ISERROR(VLOOKUP($A277,'SegEnds_NonXtal_BW#'!$A:$Z,21,FALSE)+VLOOKUP($A277,A:AL,31,FALSE)-50),"-",(VLOOKUP($A277,'SegEnds_NonXtal_BW#'!$A:$Z,21,FALSE)+VLOOKUP($A277,A:AL,31,FALSE)-50))</f>
        <v>279</v>
      </c>
      <c r="AE277" s="3">
        <v>307</v>
      </c>
      <c r="AF277" s="3">
        <f>IF(ISERROR((VLOOKUP($A277,'SegEnds_NonXtal_BW#'!$A:$Z,22,FALSE)+VLOOKUP($A277,A:AL,31,FALSE)-50)),"-",(VLOOKUP($A277,'SegEnds_NonXtal_BW#'!$A:$Z,22,FALSE)+VLOOKUP($A277,A:AL,31,FALSE)-50))</f>
        <v>318</v>
      </c>
      <c r="AG277" s="3">
        <f>IF(ISERROR(VLOOKUP($A277,'SegEnds_NonXtal_BW#'!$A:$Z,23,FALSE)+VLOOKUP($A277,A:AL,34,FALSE)-50),"-",(VLOOKUP($A277,'SegEnds_NonXtal_BW#'!$A:$Z,23,FALSE)+VLOOKUP($A277,A:AL,34,FALSE)-50))</f>
        <v>323</v>
      </c>
      <c r="AH277" s="3">
        <v>342</v>
      </c>
      <c r="AI277" s="3">
        <f>IF(ISERROR((VLOOKUP($A277,'SegEnds_NonXtal_BW#'!$A:$Z,24,FALSE)+VLOOKUP($A277,A:AL,34,FALSE)-50)),"-",(VLOOKUP($A277,'SegEnds_NonXtal_BW#'!$A:$Z,24,FALSE)+VLOOKUP($A277,A:AL,34,FALSE)-50))</f>
        <v>348</v>
      </c>
      <c r="AJ277" s="3">
        <f>IF(ISERROR(VLOOKUP($A277,'SegEnds_NonXtal_BW#'!$A:$Z,25,FALSE)+VLOOKUP($A277,A:AL,37,FALSE)-50),"-",(VLOOKUP($A277,'SegEnds_NonXtal_BW#'!$A:$Z,25,FALSE)+VLOOKUP($A277,A:AL,37,FALSE)-50))</f>
        <v>349</v>
      </c>
      <c r="AK277" s="3">
        <v>352</v>
      </c>
      <c r="AL277" s="3">
        <f>IF(ISERROR((VLOOKUP($A277,'SegEnds_NonXtal_BW#'!$A:$Z,26,FALSE)+VLOOKUP($A277,A:AL,37,FALSE)-50)),"-",(VLOOKUP($A277,'SegEnds_NonXtal_BW#'!$A:$Z,26,FALSE)+VLOOKUP($A277,A:AL,37,FALSE)-50))</f>
        <v>360</v>
      </c>
      <c r="AM277" s="28" t="str">
        <f>VLOOKUP(A277,Classification!A:B,2,FALSE)</f>
        <v>A</v>
      </c>
      <c r="AN277" s="28" t="b">
        <f>AND(IF(Y277="-",IF(AA277-W277&gt;3,TRUE,FALSE),TRUE),IF(M277="-",IF(O277-K277&gt;3,TRUE,FALSE),TRUE),C277&lt;E277,OR(E277&lt;F277,F277="-"),OR(F277&lt;H277,F277="-"),OR(H277&lt;I277,H277="-"),I277&lt;K277,OR(K277&lt;L277,L277="-"),OR(L277&lt;N277,L277="-"),OR(N277&lt;O277,N277="-"),O277&lt;Q277,OR(Q277&lt;R277,R277="-"),OR(R277&lt;T277,R277="-"),OR(T277&lt;U277,T277="-"),U277&lt;W277,OR(W277&lt;X277,X277="-"),OR(X277&lt;Z277,X277="-"),OR(Z277&lt;AA277,Z277="-"),AA277&lt;AC277,AC277&lt;AD277,AD277&lt;AF277,AF277&lt;AG277,AG277&lt;AI277,OR(AI277&lt;AJ277,AJ277="-"),OR(AJ277&lt;AL277,AJ277="-"))</f>
        <v>1</v>
      </c>
      <c r="AO277" s="3" t="str">
        <f>IF(ISERROR(MATCH(A277,'SegEnds_Xtal_Prot#'!B:B, 0)), "NoXtal", "Xtal")</f>
        <v>NoXtal</v>
      </c>
      <c r="AP277" s="3">
        <f>IF(ISERROR(F277-E277),"-",F277-E277)</f>
        <v>1</v>
      </c>
      <c r="AQ277" s="3">
        <f>IF(ISERROR(I277-H277),"-",I277-H277)</f>
        <v>1</v>
      </c>
      <c r="AR277" s="3">
        <f>IF(ISERROR(L277-K277),"-",L277-K277)</f>
        <v>2</v>
      </c>
      <c r="AS277" s="3">
        <f>IF(ISERROR(O277-N277),"-",O277-N277)</f>
        <v>1</v>
      </c>
      <c r="AT277" s="3" t="str">
        <f>IF(ISERROR(R277-Q277),"-",R277-Q277)</f>
        <v>-</v>
      </c>
      <c r="AU277" s="3" t="str">
        <f>IF(ISERROR(U277-T277),"-",U277-T277)</f>
        <v>-</v>
      </c>
      <c r="AV277" s="3">
        <f>IF(ISERROR(X277-W277),"-",X277-W277)</f>
        <v>16</v>
      </c>
      <c r="AW277" s="3">
        <f>IF(ISERROR(AA277-Z277),"-",AA277-Z277)</f>
        <v>7</v>
      </c>
      <c r="AX277" s="3">
        <f>IF(ISERROR(AD277-AC277),"-",AD277-AC277)</f>
        <v>5</v>
      </c>
      <c r="AY277" s="3">
        <f>IF(ISERROR(AG277-AF277),"-",AG277-AF277)</f>
        <v>5</v>
      </c>
      <c r="AZ277" s="3">
        <f>IF(ISERROR(AJ277-AI277),"-",AJ277-AI277)</f>
        <v>1</v>
      </c>
      <c r="BA277" s="3">
        <f>IF(ISERROR(LEN(VLOOKUP(A277,Seqs!A:E,2,FALSE))-AL277),"-",LEN(VLOOKUP(A277,Seqs!A:E,2,FALSE))-AL277)</f>
        <v>63</v>
      </c>
      <c r="BB277" s="16">
        <f>J277-D277</f>
        <v>28</v>
      </c>
      <c r="BC277" s="9" t="str">
        <f>IF(ISERROR(V277-S277),"-",V277-S277)</f>
        <v>-</v>
      </c>
      <c r="BD277" s="3">
        <f>J277-D277</f>
        <v>28</v>
      </c>
      <c r="BE277" s="3">
        <f>AE277-AB277</f>
        <v>56</v>
      </c>
    </row>
    <row r="278" spans="1:58" s="3" customFormat="1" x14ac:dyDescent="0.2">
      <c r="A278" s="3" t="s">
        <v>314</v>
      </c>
      <c r="B278" s="3" t="str">
        <f>LOWER(VLOOKUP(A278,Xtal_Templ!A:B,2,FALSE))</f>
        <v>ox2r_human</v>
      </c>
      <c r="C278" s="3">
        <f>VLOOKUP($A278,'SegEnds_NonXtal_BW#'!$A:$Z,3,FALSE)+D278-50</f>
        <v>31</v>
      </c>
      <c r="D278" s="3">
        <v>50</v>
      </c>
      <c r="E278" s="3">
        <f>IF(ISERROR(VLOOKUP($A278,'SegEnds_NonXtal_BW#'!$A:$Z,4,FALSE)+VLOOKUP($A278,A:AL,4,FALSE)-50),"-",(VLOOKUP($A278,'SegEnds_NonXtal_BW#'!$A:$Z,4,FALSE)+VLOOKUP($A278,A:AL,4,FALSE)-50))</f>
        <v>60</v>
      </c>
      <c r="F278" s="3">
        <f>G278-2</f>
        <v>61</v>
      </c>
      <c r="G278" s="3">
        <v>63</v>
      </c>
      <c r="H278" s="3">
        <f>G278+1</f>
        <v>64</v>
      </c>
      <c r="I278" s="3">
        <f>H278+1</f>
        <v>65</v>
      </c>
      <c r="J278" s="3">
        <v>78</v>
      </c>
      <c r="K278" s="3">
        <f>VLOOKUP($A278,'SegEnds_NonXtal_BW#'!$A:$Z,8,FALSE)+VLOOKUP($A278,A:AL,10,FALSE)-50</f>
        <v>95</v>
      </c>
      <c r="L278" s="3">
        <f>M278-1</f>
        <v>97</v>
      </c>
      <c r="M278" s="3">
        <v>98</v>
      </c>
      <c r="N278" s="3">
        <f>M278+2</f>
        <v>100</v>
      </c>
      <c r="O278" s="3">
        <f>N278+1</f>
        <v>101</v>
      </c>
      <c r="P278" s="3">
        <v>130</v>
      </c>
      <c r="Q278" s="3">
        <f>VLOOKUP($A278,'SegEnds_NonXtal_BW#'!$A:$Z,12,FALSE)+VLOOKUP($A278,A:AL,16,FALSE)-50</f>
        <v>136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3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143</v>
      </c>
      <c r="V278" s="3">
        <v>155</v>
      </c>
      <c r="W278" s="3">
        <f>IF(ISERROR(VLOOKUP($A278,'SegEnds_NonXtal_BW#'!$A:$Z,16,FALSE)+VLOOKUP($A278,A:AL,22,FALSE)-50),"-",(VLOOKUP($A278,'SegEnds_NonXtal_BW#'!$A:$Z,16,FALSE)+VLOOKUP($A278,A:AL,22,FALSE)-50))</f>
        <v>169</v>
      </c>
      <c r="X278" s="3">
        <f>IF(ISERROR(VLOOKUP($A278,'SegEnds_NonXtal_BW#'!$A:$Z,17,FALSE)+VLOOKUP($A278,A:AL,25,FALSE)-50),"-",(VLOOKUP($A278,'SegEnds_NonXtal_BW#'!$A:$Z,17,FALSE)+VLOOKUP($A278,A:AL,25,FALSE)-50))</f>
        <v>180</v>
      </c>
      <c r="Y278" s="3">
        <v>180</v>
      </c>
      <c r="Z278" s="3">
        <f>Y278+2</f>
        <v>182</v>
      </c>
      <c r="AA278" s="3">
        <f>IF(ISERROR(VLOOKUP($A278,'SegEnds_NonXtal_BW#'!$A:$Z,19,FALSE)+VLOOKUP($A278,A:AL,28,FALSE)-50),"-",(VLOOKUP($A278,'SegEnds_NonXtal_BW#'!$A:$Z,19,FALSE)+VLOOKUP($A278,A:AL,28,FALSE)-50))</f>
        <v>190</v>
      </c>
      <c r="AB278" s="3">
        <v>208</v>
      </c>
      <c r="AC278" s="3">
        <f>IF(ISERROR((VLOOKUP($A278,'SegEnds_NonXtal_BW#'!$A:$Z,20,FALSE)+VLOOKUP($A278,A:AL,28,FALSE)-50)),"-",(VLOOKUP($A278,'SegEnds_NonXtal_BW#'!$A:$Z,20,FALSE)+VLOOKUP($A278,A:AL,28,FALSE)-50))</f>
        <v>231</v>
      </c>
      <c r="AD278" s="3">
        <f>IF(ISERROR(VLOOKUP($A278,'SegEnds_NonXtal_BW#'!$A:$Z,21,FALSE)+VLOOKUP($A278,A:AL,31,FALSE)-50),"-",(VLOOKUP($A278,'SegEnds_NonXtal_BW#'!$A:$Z,21,FALSE)+VLOOKUP($A278,A:AL,31,FALSE)-50))</f>
        <v>235</v>
      </c>
      <c r="AE278" s="3">
        <v>263</v>
      </c>
      <c r="AF278" s="3">
        <f>IF(ISERROR((VLOOKUP($A278,'SegEnds_NonXtal_BW#'!$A:$Z,22,FALSE)+VLOOKUP($A278,A:AL,31,FALSE)-50)),"-",(VLOOKUP($A278,'SegEnds_NonXtal_BW#'!$A:$Z,22,FALSE)+VLOOKUP($A278,A:AL,31,FALSE)-50))</f>
        <v>274</v>
      </c>
      <c r="AG278" s="3">
        <f>IF(ISERROR(VLOOKUP($A278,'SegEnds_NonXtal_BW#'!$A:$Z,23,FALSE)+VLOOKUP($A278,A:AL,34,FALSE)-50),"-",(VLOOKUP($A278,'SegEnds_NonXtal_BW#'!$A:$Z,23,FALSE)+VLOOKUP($A278,A:AL,34,FALSE)-50))</f>
        <v>280</v>
      </c>
      <c r="AH278" s="3">
        <v>302</v>
      </c>
      <c r="AI278" s="3">
        <f>IF(ISERROR((VLOOKUP($A278,'SegEnds_NonXtal_BW#'!$A:$Z,24,FALSE)+VLOOKUP($A278,A:AL,34,FALSE)-50)),"-",(VLOOKUP($A278,'SegEnds_NonXtal_BW#'!$A:$Z,24,FALSE)+VLOOKUP($A278,A:AL,34,FALSE)-50))</f>
        <v>308</v>
      </c>
      <c r="AJ278" s="3">
        <f>IF(ISERROR(VLOOKUP($A278,'SegEnds_NonXtal_BW#'!$A:$Z,25,FALSE)+VLOOKUP($A278,A:AL,37,FALSE)-50),"-",(VLOOKUP($A278,'SegEnds_NonXtal_BW#'!$A:$Z,25,FALSE)+VLOOKUP($A278,A:AL,37,FALSE)-50))</f>
        <v>309</v>
      </c>
      <c r="AK278" s="3">
        <v>312</v>
      </c>
      <c r="AL278" s="3">
        <f>IF(ISERROR((VLOOKUP($A278,'SegEnds_NonXtal_BW#'!$A:$Z,26,FALSE)+VLOOKUP($A278,A:AL,37,FALSE)-50)),"-",(VLOOKUP($A278,'SegEnds_NonXtal_BW#'!$A:$Z,26,FALSE)+VLOOKUP($A278,A:AL,37,FALSE)-50))</f>
        <v>320</v>
      </c>
      <c r="AM278" s="28" t="str">
        <f>VLOOKUP(A278,Classification!A:B,2,FALSE)</f>
        <v>A</v>
      </c>
      <c r="AN278" s="28" t="b">
        <f>AND(IF(Y278="-",IF(AA278-W278&gt;3,TRUE,FALSE),TRUE),IF(M278="-",IF(O278-K278&gt;3,TRUE,FALSE),TRUE),C278&lt;E278,OR(E278&lt;F278,F278="-"),OR(F278&lt;H278,F278="-"),OR(H278&lt;I278,H278="-"),I278&lt;K278,OR(K278&lt;L278,L278="-"),OR(L278&lt;N278,L278="-"),OR(N278&lt;O278,N278="-"),O278&lt;Q278,OR(Q278&lt;R278,R278="-"),OR(R278&lt;T278,R278="-"),OR(T278&lt;U278,T278="-"),U278&lt;W278,OR(W278&lt;X278,X278="-"),OR(X278&lt;Z278,X278="-"),OR(Z278&lt;AA278,Z278="-"),AA278&lt;AC278,AC278&lt;AD278,AD278&lt;AF278,AF278&lt;AG278,AG278&lt;AI278,OR(AI278&lt;AJ278,AJ278="-"),OR(AJ278&lt;AL278,AJ278="-"))</f>
        <v>1</v>
      </c>
      <c r="AO278" s="3" t="str">
        <f>IF(ISERROR(MATCH(A278,'SegEnds_Xtal_Prot#'!B:B, 0)), "NoXtal", "Xtal")</f>
        <v>NoXtal</v>
      </c>
      <c r="AP278" s="3">
        <f>IF(ISERROR(F278-E278),"-",F278-E278)</f>
        <v>1</v>
      </c>
      <c r="AQ278" s="3">
        <f>IF(ISERROR(I278-H278),"-",I278-H278)</f>
        <v>1</v>
      </c>
      <c r="AR278" s="3">
        <f>IF(ISERROR(L278-K278),"-",L278-K278)</f>
        <v>2</v>
      </c>
      <c r="AS278" s="3">
        <f>IF(ISERROR(O278-N278),"-",O278-N278)</f>
        <v>1</v>
      </c>
      <c r="AT278" s="3" t="str">
        <f>IF(ISERROR(R278-Q278),"-",R278-Q278)</f>
        <v>-</v>
      </c>
      <c r="AU278" s="3" t="str">
        <f>IF(ISERROR(U278-T278),"-",U278-T278)</f>
        <v>-</v>
      </c>
      <c r="AV278" s="3">
        <f>IF(ISERROR(X278-W278),"-",X278-W278)</f>
        <v>11</v>
      </c>
      <c r="AW278" s="3">
        <f>IF(ISERROR(AA278-Z278),"-",AA278-Z278)</f>
        <v>8</v>
      </c>
      <c r="AX278" s="3">
        <f>IF(ISERROR(AD278-AC278),"-",AD278-AC278)</f>
        <v>4</v>
      </c>
      <c r="AY278" s="3">
        <f>IF(ISERROR(AG278-AF278),"-",AG278-AF278)</f>
        <v>6</v>
      </c>
      <c r="AZ278" s="3">
        <f>IF(ISERROR(AJ278-AI278),"-",AJ278-AI278)</f>
        <v>1</v>
      </c>
      <c r="BA278" s="3">
        <f>IF(ISERROR(LEN(VLOOKUP(A278,Seqs!A:E,2,FALSE))-AL278),"-",LEN(VLOOKUP(A278,Seqs!A:E,2,FALSE))-AL278)</f>
        <v>87</v>
      </c>
      <c r="BB278" s="16">
        <f>J278-D278</f>
        <v>28</v>
      </c>
      <c r="BC278" s="9" t="str">
        <f>IF(ISERROR(V278-S278),"-",V278-S278)</f>
        <v>-</v>
      </c>
      <c r="BD278" s="3">
        <f>J278-D278</f>
        <v>28</v>
      </c>
      <c r="BE278" s="3">
        <f>AE278-AB278</f>
        <v>55</v>
      </c>
    </row>
    <row r="279" spans="1:58" s="3" customFormat="1" x14ac:dyDescent="0.2">
      <c r="A279" s="3" t="s">
        <v>315</v>
      </c>
      <c r="B279" s="3" t="str">
        <f>LOWER(VLOOKUP(A279,Xtal_Templ!A:B,2,FALSE))</f>
        <v>ox1r_human</v>
      </c>
      <c r="C279" s="3">
        <f>VLOOKUP($A279,'SegEnds_NonXtal_BW#'!$A:$Z,3,FALSE)+D279-50</f>
        <v>33</v>
      </c>
      <c r="D279" s="3">
        <v>51</v>
      </c>
      <c r="E279" s="3">
        <f>IF(ISERROR(VLOOKUP($A279,'SegEnds_NonXtal_BW#'!$A:$Z,4,FALSE)+VLOOKUP($A279,A:AL,4,FALSE)-50),"-",(VLOOKUP($A279,'SegEnds_NonXtal_BW#'!$A:$Z,4,FALSE)+VLOOKUP($A279,A:AL,4,FALSE)-50))</f>
        <v>61</v>
      </c>
      <c r="F279" s="3">
        <f>G279-2</f>
        <v>62</v>
      </c>
      <c r="G279" s="3">
        <v>64</v>
      </c>
      <c r="H279" s="3">
        <f>G279+1</f>
        <v>65</v>
      </c>
      <c r="I279" s="3">
        <f>H279+1</f>
        <v>66</v>
      </c>
      <c r="J279" s="3">
        <v>79</v>
      </c>
      <c r="K279" s="3">
        <f>VLOOKUP($A279,'SegEnds_NonXtal_BW#'!$A:$Z,8,FALSE)+VLOOKUP($A279,A:AL,10,FALSE)-50</f>
        <v>96</v>
      </c>
      <c r="L279" s="3">
        <f>M279-1</f>
        <v>98</v>
      </c>
      <c r="M279" s="3">
        <v>99</v>
      </c>
      <c r="N279" s="3">
        <f>M279+2</f>
        <v>101</v>
      </c>
      <c r="O279" s="3">
        <f>N279+1</f>
        <v>102</v>
      </c>
      <c r="P279" s="3">
        <v>131</v>
      </c>
      <c r="Q279" s="3">
        <f>VLOOKUP($A279,'SegEnds_NonXtal_BW#'!$A:$Z,12,FALSE)+VLOOKUP($A279,A:AL,16,FALSE)-50</f>
        <v>137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3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144</v>
      </c>
      <c r="V279" s="3">
        <v>156</v>
      </c>
      <c r="W279" s="3">
        <f>IF(ISERROR(VLOOKUP($A279,'SegEnds_NonXtal_BW#'!$A:$Z,16,FALSE)+VLOOKUP($A279,A:AL,22,FALSE)-50),"-",(VLOOKUP($A279,'SegEnds_NonXtal_BW#'!$A:$Z,16,FALSE)+VLOOKUP($A279,A:AL,22,FALSE)-50))</f>
        <v>170</v>
      </c>
      <c r="X279" s="3">
        <f>IF(ISERROR(VLOOKUP($A279,'SegEnds_NonXtal_BW#'!$A:$Z,17,FALSE)+VLOOKUP($A279,A:AL,25,FALSE)-50),"-",(VLOOKUP($A279,'SegEnds_NonXtal_BW#'!$A:$Z,17,FALSE)+VLOOKUP($A279,A:AL,25,FALSE)-50))</f>
        <v>181</v>
      </c>
      <c r="Y279" s="3">
        <v>181</v>
      </c>
      <c r="Z279" s="3">
        <f>Y279+2</f>
        <v>183</v>
      </c>
      <c r="AA279" s="3">
        <f>IF(ISERROR(VLOOKUP($A279,'SegEnds_NonXtal_BW#'!$A:$Z,19,FALSE)+VLOOKUP($A279,A:AL,28,FALSE)-50),"-",(VLOOKUP($A279,'SegEnds_NonXtal_BW#'!$A:$Z,19,FALSE)+VLOOKUP($A279,A:AL,28,FALSE)-50))</f>
        <v>191</v>
      </c>
      <c r="AB279" s="3">
        <v>209</v>
      </c>
      <c r="AC279" s="3">
        <f>IF(ISERROR((VLOOKUP($A279,'SegEnds_NonXtal_BW#'!$A:$Z,20,FALSE)+VLOOKUP($A279,A:AL,28,FALSE)-50)),"-",(VLOOKUP($A279,'SegEnds_NonXtal_BW#'!$A:$Z,20,FALSE)+VLOOKUP($A279,A:AL,28,FALSE)-50))</f>
        <v>232</v>
      </c>
      <c r="AD279" s="3">
        <f>IF(ISERROR(VLOOKUP($A279,'SegEnds_NonXtal_BW#'!$A:$Z,21,FALSE)+VLOOKUP($A279,A:AL,31,FALSE)-50),"-",(VLOOKUP($A279,'SegEnds_NonXtal_BW#'!$A:$Z,21,FALSE)+VLOOKUP($A279,A:AL,31,FALSE)-50))</f>
        <v>237</v>
      </c>
      <c r="AE279" s="3">
        <v>265</v>
      </c>
      <c r="AF279" s="3">
        <f>IF(ISERROR((VLOOKUP($A279,'SegEnds_NonXtal_BW#'!$A:$Z,22,FALSE)+VLOOKUP($A279,A:AL,31,FALSE)-50)),"-",(VLOOKUP($A279,'SegEnds_NonXtal_BW#'!$A:$Z,22,FALSE)+VLOOKUP($A279,A:AL,31,FALSE)-50))</f>
        <v>276</v>
      </c>
      <c r="AG279" s="3">
        <f>IF(ISERROR(VLOOKUP($A279,'SegEnds_NonXtal_BW#'!$A:$Z,23,FALSE)+VLOOKUP($A279,A:AL,34,FALSE)-50),"-",(VLOOKUP($A279,'SegEnds_NonXtal_BW#'!$A:$Z,23,FALSE)+VLOOKUP($A279,A:AL,34,FALSE)-50))</f>
        <v>282</v>
      </c>
      <c r="AH279" s="3">
        <v>304</v>
      </c>
      <c r="AI279" s="3">
        <f>IF(ISERROR((VLOOKUP($A279,'SegEnds_NonXtal_BW#'!$A:$Z,24,FALSE)+VLOOKUP($A279,A:AL,34,FALSE)-50)),"-",(VLOOKUP($A279,'SegEnds_NonXtal_BW#'!$A:$Z,24,FALSE)+VLOOKUP($A279,A:AL,34,FALSE)-50))</f>
        <v>310</v>
      </c>
      <c r="AJ279" s="3">
        <f>IF(ISERROR(VLOOKUP($A279,'SegEnds_NonXtal_BW#'!$A:$Z,25,FALSE)+VLOOKUP($A279,A:AL,37,FALSE)-50),"-",(VLOOKUP($A279,'SegEnds_NonXtal_BW#'!$A:$Z,25,FALSE)+VLOOKUP($A279,A:AL,37,FALSE)-50))</f>
        <v>311</v>
      </c>
      <c r="AK279" s="3">
        <v>314</v>
      </c>
      <c r="AL279" s="3">
        <f>IF(ISERROR((VLOOKUP($A279,'SegEnds_NonXtal_BW#'!$A:$Z,26,FALSE)+VLOOKUP($A279,A:AL,37,FALSE)-50)),"-",(VLOOKUP($A279,'SegEnds_NonXtal_BW#'!$A:$Z,26,FALSE)+VLOOKUP($A279,A:AL,37,FALSE)-50))</f>
        <v>322</v>
      </c>
      <c r="AM279" s="28" t="str">
        <f>VLOOKUP(A279,Classification!A:B,2,FALSE)</f>
        <v>A</v>
      </c>
      <c r="AN279" s="28" t="b">
        <f>AND(IF(Y279="-",IF(AA279-W279&gt;3,TRUE,FALSE),TRUE),IF(M279="-",IF(O279-K279&gt;3,TRUE,FALSE),TRUE),C279&lt;E279,OR(E279&lt;F279,F279="-"),OR(F279&lt;H279,F279="-"),OR(H279&lt;I279,H279="-"),I279&lt;K279,OR(K279&lt;L279,L279="-"),OR(L279&lt;N279,L279="-"),OR(N279&lt;O279,N279="-"),O279&lt;Q279,OR(Q279&lt;R279,R279="-"),OR(R279&lt;T279,R279="-"),OR(T279&lt;U279,T279="-"),U279&lt;W279,OR(W279&lt;X279,X279="-"),OR(X279&lt;Z279,X279="-"),OR(Z279&lt;AA279,Z279="-"),AA279&lt;AC279,AC279&lt;AD279,AD279&lt;AF279,AF279&lt;AG279,AG279&lt;AI279,OR(AI279&lt;AJ279,AJ279="-"),OR(AJ279&lt;AL279,AJ279="-"))</f>
        <v>1</v>
      </c>
      <c r="AO279" s="3" t="str">
        <f>IF(ISERROR(MATCH(A279,'SegEnds_Xtal_Prot#'!B:B, 0)), "NoXtal", "Xtal")</f>
        <v>NoXtal</v>
      </c>
      <c r="AP279" s="3">
        <f>IF(ISERROR(F279-E279),"-",F279-E279)</f>
        <v>1</v>
      </c>
      <c r="AQ279" s="3">
        <f>IF(ISERROR(I279-H279),"-",I279-H279)</f>
        <v>1</v>
      </c>
      <c r="AR279" s="3">
        <f>IF(ISERROR(L279-K279),"-",L279-K279)</f>
        <v>2</v>
      </c>
      <c r="AS279" s="3">
        <f>IF(ISERROR(O279-N279),"-",O279-N279)</f>
        <v>1</v>
      </c>
      <c r="AT279" s="3" t="str">
        <f>IF(ISERROR(R279-Q279),"-",R279-Q279)</f>
        <v>-</v>
      </c>
      <c r="AU279" s="3" t="str">
        <f>IF(ISERROR(U279-T279),"-",U279-T279)</f>
        <v>-</v>
      </c>
      <c r="AV279" s="3">
        <f>IF(ISERROR(X279-W279),"-",X279-W279)</f>
        <v>11</v>
      </c>
      <c r="AW279" s="3">
        <f>IF(ISERROR(AA279-Z279),"-",AA279-Z279)</f>
        <v>8</v>
      </c>
      <c r="AX279" s="3">
        <f>IF(ISERROR(AD279-AC279),"-",AD279-AC279)</f>
        <v>5</v>
      </c>
      <c r="AY279" s="3">
        <f>IF(ISERROR(AG279-AF279),"-",AG279-AF279)</f>
        <v>6</v>
      </c>
      <c r="AZ279" s="3">
        <f>IF(ISERROR(AJ279-AI279),"-",AJ279-AI279)</f>
        <v>1</v>
      </c>
      <c r="BA279" s="3">
        <f>IF(ISERROR(LEN(VLOOKUP(A279,Seqs!A:E,2,FALSE))-AL279),"-",LEN(VLOOKUP(A279,Seqs!A:E,2,FALSE))-AL279)</f>
        <v>76</v>
      </c>
      <c r="BB279" s="16">
        <f>J279-D279</f>
        <v>28</v>
      </c>
      <c r="BC279" s="9" t="str">
        <f>IF(ISERROR(V279-S279),"-",V279-S279)</f>
        <v>-</v>
      </c>
      <c r="BD279" s="3">
        <f>J279-D279</f>
        <v>28</v>
      </c>
      <c r="BE279" s="3">
        <f>AE279-AB279</f>
        <v>56</v>
      </c>
    </row>
    <row r="280" spans="1:58" s="3" customFormat="1" x14ac:dyDescent="0.2">
      <c r="A280" s="3" t="s">
        <v>316</v>
      </c>
      <c r="B280" s="3" t="str">
        <f>LOWER(VLOOKUP(A280,Xtal_Templ!A:B,2,FALSE))</f>
        <v>ox2r_human</v>
      </c>
      <c r="C280" s="3">
        <f>VLOOKUP($A280,'SegEnds_NonXtal_BW#'!$A:$Z,3,FALSE)+D280-50</f>
        <v>84</v>
      </c>
      <c r="D280" s="3">
        <v>103</v>
      </c>
      <c r="E280" s="3">
        <f>IF(ISERROR(VLOOKUP($A280,'SegEnds_NonXtal_BW#'!$A:$Z,4,FALSE)+VLOOKUP($A280,A:AL,4,FALSE)-50),"-",(VLOOKUP($A280,'SegEnds_NonXtal_BW#'!$A:$Z,4,FALSE)+VLOOKUP($A280,A:AL,4,FALSE)-50))</f>
        <v>113</v>
      </c>
      <c r="F280" s="3">
        <f>G280-2</f>
        <v>114</v>
      </c>
      <c r="G280" s="3">
        <v>116</v>
      </c>
      <c r="H280" s="3">
        <f>G280+1</f>
        <v>117</v>
      </c>
      <c r="I280" s="3">
        <f>H280+1</f>
        <v>118</v>
      </c>
      <c r="J280" s="3">
        <v>131</v>
      </c>
      <c r="K280" s="3">
        <f>VLOOKUP($A280,'SegEnds_NonXtal_BW#'!$A:$Z,8,FALSE)+VLOOKUP($A280,A:AL,10,FALSE)-50</f>
        <v>148</v>
      </c>
      <c r="L280" s="3">
        <f>M280-1</f>
        <v>150</v>
      </c>
      <c r="M280" s="3">
        <v>151</v>
      </c>
      <c r="N280" s="3">
        <f>M280+2</f>
        <v>153</v>
      </c>
      <c r="O280" s="3">
        <f>N280+1</f>
        <v>154</v>
      </c>
      <c r="P280" s="3">
        <v>183</v>
      </c>
      <c r="Q280" s="3">
        <f>VLOOKUP($A280,'SegEnds_NonXtal_BW#'!$A:$Z,12,FALSE)+VLOOKUP($A280,A:AL,16,FALSE)-50</f>
        <v>189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3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196</v>
      </c>
      <c r="V280" s="3">
        <v>208</v>
      </c>
      <c r="W280" s="3">
        <f>IF(ISERROR(VLOOKUP($A280,'SegEnds_NonXtal_BW#'!$A:$Z,16,FALSE)+VLOOKUP($A280,A:AL,22,FALSE)-50),"-",(VLOOKUP($A280,'SegEnds_NonXtal_BW#'!$A:$Z,16,FALSE)+VLOOKUP($A280,A:AL,22,FALSE)-50))</f>
        <v>222</v>
      </c>
      <c r="X280" s="3">
        <f>IF(ISERROR(VLOOKUP($A280,'SegEnds_NonXtal_BW#'!$A:$Z,17,FALSE)+VLOOKUP($A280,A:AL,25,FALSE)-50),"-",(VLOOKUP($A280,'SegEnds_NonXtal_BW#'!$A:$Z,17,FALSE)+VLOOKUP($A280,A:AL,25,FALSE)-50))</f>
        <v>233</v>
      </c>
      <c r="Y280" s="3">
        <v>233</v>
      </c>
      <c r="Z280" s="3">
        <f>Y280+2</f>
        <v>235</v>
      </c>
      <c r="AA280" s="3">
        <f>IF(ISERROR(VLOOKUP($A280,'SegEnds_NonXtal_BW#'!$A:$Z,19,FALSE)+VLOOKUP($A280,A:AL,28,FALSE)-50),"-",(VLOOKUP($A280,'SegEnds_NonXtal_BW#'!$A:$Z,19,FALSE)+VLOOKUP($A280,A:AL,28,FALSE)-50))</f>
        <v>241</v>
      </c>
      <c r="AB280" s="3">
        <v>259</v>
      </c>
      <c r="AC280" s="3">
        <f>IF(ISERROR((VLOOKUP($A280,'SegEnds_NonXtal_BW#'!$A:$Z,20,FALSE)+VLOOKUP($A280,A:AL,28,FALSE)-50)),"-",(VLOOKUP($A280,'SegEnds_NonXtal_BW#'!$A:$Z,20,FALSE)+VLOOKUP($A280,A:AL,28,FALSE)-50))</f>
        <v>282</v>
      </c>
      <c r="AD280" s="3">
        <f>IF(ISERROR(VLOOKUP($A280,'SegEnds_NonXtal_BW#'!$A:$Z,21,FALSE)+VLOOKUP($A280,A:AL,31,FALSE)-50),"-",(VLOOKUP($A280,'SegEnds_NonXtal_BW#'!$A:$Z,21,FALSE)+VLOOKUP($A280,A:AL,31,FALSE)-50))</f>
        <v>286</v>
      </c>
      <c r="AE280" s="3">
        <v>314</v>
      </c>
      <c r="AF280" s="3">
        <f>IF(ISERROR((VLOOKUP($A280,'SegEnds_NonXtal_BW#'!$A:$Z,22,FALSE)+VLOOKUP($A280,A:AL,31,FALSE)-50)),"-",(VLOOKUP($A280,'SegEnds_NonXtal_BW#'!$A:$Z,22,FALSE)+VLOOKUP($A280,A:AL,31,FALSE)-50))</f>
        <v>325</v>
      </c>
      <c r="AG280" s="3">
        <f>IF(ISERROR(VLOOKUP($A280,'SegEnds_NonXtal_BW#'!$A:$Z,23,FALSE)+VLOOKUP($A280,A:AL,34,FALSE)-50),"-",(VLOOKUP($A280,'SegEnds_NonXtal_BW#'!$A:$Z,23,FALSE)+VLOOKUP($A280,A:AL,34,FALSE)-50))</f>
        <v>331</v>
      </c>
      <c r="AH280" s="3">
        <v>353</v>
      </c>
      <c r="AI280" s="3">
        <f>IF(ISERROR((VLOOKUP($A280,'SegEnds_NonXtal_BW#'!$A:$Z,24,FALSE)+VLOOKUP($A280,A:AL,34,FALSE)-50)),"-",(VLOOKUP($A280,'SegEnds_NonXtal_BW#'!$A:$Z,24,FALSE)+VLOOKUP($A280,A:AL,34,FALSE)-50))</f>
        <v>359</v>
      </c>
      <c r="AJ280" s="3">
        <f>IF(ISERROR(VLOOKUP($A280,'SegEnds_NonXtal_BW#'!$A:$Z,25,FALSE)+VLOOKUP($A280,A:AL,37,FALSE)-50),"-",(VLOOKUP($A280,'SegEnds_NonXtal_BW#'!$A:$Z,25,FALSE)+VLOOKUP($A280,A:AL,37,FALSE)-50))</f>
        <v>360</v>
      </c>
      <c r="AK280" s="3">
        <v>363</v>
      </c>
      <c r="AL280" s="3">
        <f>IF(ISERROR((VLOOKUP($A280,'SegEnds_NonXtal_BW#'!$A:$Z,26,FALSE)+VLOOKUP($A280,A:AL,37,FALSE)-50)),"-",(VLOOKUP($A280,'SegEnds_NonXtal_BW#'!$A:$Z,26,FALSE)+VLOOKUP($A280,A:AL,37,FALSE)-50))</f>
        <v>371</v>
      </c>
      <c r="AM280" s="28" t="str">
        <f>VLOOKUP(A280,Classification!A:B,2,FALSE)</f>
        <v>A</v>
      </c>
      <c r="AN280" s="28" t="b">
        <f>AND(IF(Y280="-",IF(AA280-W280&gt;3,TRUE,FALSE),TRUE),IF(M280="-",IF(O280-K280&gt;3,TRUE,FALSE),TRUE),C280&lt;E280,OR(E280&lt;F280,F280="-"),OR(F280&lt;H280,F280="-"),OR(H280&lt;I280,H280="-"),I280&lt;K280,OR(K280&lt;L280,L280="-"),OR(L280&lt;N280,L280="-"),OR(N280&lt;O280,N280="-"),O280&lt;Q280,OR(Q280&lt;R280,R280="-"),OR(R280&lt;T280,R280="-"),OR(T280&lt;U280,T280="-"),U280&lt;W280,OR(W280&lt;X280,X280="-"),OR(X280&lt;Z280,X280="-"),OR(Z280&lt;AA280,Z280="-"),AA280&lt;AC280,AC280&lt;AD280,AD280&lt;AF280,AF280&lt;AG280,AG280&lt;AI280,OR(AI280&lt;AJ280,AJ280="-"),OR(AJ280&lt;AL280,AJ280="-"))</f>
        <v>1</v>
      </c>
      <c r="AO280" s="3" t="str">
        <f>IF(ISERROR(MATCH(A280,'SegEnds_Xtal_Prot#'!B:B, 0)), "NoXtal", "Xtal")</f>
        <v>NoXtal</v>
      </c>
      <c r="AP280" s="3">
        <f>IF(ISERROR(F280-E280),"-",F280-E280)</f>
        <v>1</v>
      </c>
      <c r="AQ280" s="3">
        <f>IF(ISERROR(I280-H280),"-",I280-H280)</f>
        <v>1</v>
      </c>
      <c r="AR280" s="3">
        <f>IF(ISERROR(L280-K280),"-",L280-K280)</f>
        <v>2</v>
      </c>
      <c r="AS280" s="3">
        <f>IF(ISERROR(O280-N280),"-",O280-N280)</f>
        <v>1</v>
      </c>
      <c r="AT280" s="3" t="str">
        <f>IF(ISERROR(R280-Q280),"-",R280-Q280)</f>
        <v>-</v>
      </c>
      <c r="AU280" s="3" t="str">
        <f>IF(ISERROR(U280-T280),"-",U280-T280)</f>
        <v>-</v>
      </c>
      <c r="AV280" s="3">
        <f>IF(ISERROR(X280-W280),"-",X280-W280)</f>
        <v>11</v>
      </c>
      <c r="AW280" s="3">
        <f>IF(ISERROR(AA280-Z280),"-",AA280-Z280)</f>
        <v>6</v>
      </c>
      <c r="AX280" s="3">
        <f>IF(ISERROR(AD280-AC280),"-",AD280-AC280)</f>
        <v>4</v>
      </c>
      <c r="AY280" s="3">
        <f>IF(ISERROR(AG280-AF280),"-",AG280-AF280)</f>
        <v>6</v>
      </c>
      <c r="AZ280" s="3">
        <f>IF(ISERROR(AJ280-AI280),"-",AJ280-AI280)</f>
        <v>1</v>
      </c>
      <c r="BA280" s="3">
        <f>IF(ISERROR(LEN(VLOOKUP(A280,Seqs!A:E,2,FALSE))-AL280),"-",LEN(VLOOKUP(A280,Seqs!A:E,2,FALSE))-AL280)</f>
        <v>94</v>
      </c>
      <c r="BB280" s="16">
        <f>J280-D280</f>
        <v>28</v>
      </c>
      <c r="BC280" s="9" t="str">
        <f>IF(ISERROR(V280-S280),"-",V280-S280)</f>
        <v>-</v>
      </c>
      <c r="BD280" s="3">
        <f>J280-D280</f>
        <v>28</v>
      </c>
      <c r="BE280" s="3">
        <f>AE280-AB280</f>
        <v>55</v>
      </c>
    </row>
    <row r="281" spans="1:58" s="3" customFormat="1" x14ac:dyDescent="0.2">
      <c r="A281" s="3" t="s">
        <v>320</v>
      </c>
      <c r="B281" s="3" t="str">
        <f>LOWER(VLOOKUP(A281,Xtal_Templ!A:B,2,FALSE))</f>
        <v>oprk_human</v>
      </c>
      <c r="C281" s="3">
        <f>VLOOKUP($A281,'SegEnds_NonXtal_BW#'!$A:$Z,3,FALSE)+D281-50</f>
        <v>35</v>
      </c>
      <c r="D281" s="3">
        <v>55</v>
      </c>
      <c r="E281" s="3">
        <f>IF(ISERROR(VLOOKUP($A281,'SegEnds_NonXtal_BW#'!$A:$Z,4,FALSE)+VLOOKUP($A281,A:AL,4,FALSE)-50),"-",(VLOOKUP($A281,'SegEnds_NonXtal_BW#'!$A:$Z,4,FALSE)+VLOOKUP($A281,A:AL,4,FALSE)-50))</f>
        <v>65</v>
      </c>
      <c r="F281" s="3">
        <f>G281-2</f>
        <v>66</v>
      </c>
      <c r="G281" s="3">
        <v>68</v>
      </c>
      <c r="H281" s="3">
        <f>G281+1</f>
        <v>69</v>
      </c>
      <c r="I281" s="3">
        <f>H281+1</f>
        <v>70</v>
      </c>
      <c r="J281" s="3">
        <v>83</v>
      </c>
      <c r="K281" s="3">
        <f>VLOOKUP($A281,'SegEnds_NonXtal_BW#'!$A:$Z,8,FALSE)+VLOOKUP($A281,A:AL,10,FALSE)-50</f>
        <v>99</v>
      </c>
      <c r="L281" s="3">
        <f>M281-1</f>
        <v>101</v>
      </c>
      <c r="M281" s="3">
        <v>102</v>
      </c>
      <c r="N281" s="3">
        <f>M281+2</f>
        <v>104</v>
      </c>
      <c r="O281" s="3">
        <f>N281+1</f>
        <v>105</v>
      </c>
      <c r="P281" s="3">
        <v>134</v>
      </c>
      <c r="Q281" s="3">
        <f>VLOOKUP($A281,'SegEnds_NonXtal_BW#'!$A:$Z,12,FALSE)+VLOOKUP($A281,A:AL,16,FALSE)-50</f>
        <v>140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3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151</v>
      </c>
      <c r="V281" s="3">
        <v>163</v>
      </c>
      <c r="W281" s="3">
        <f>IF(ISERROR(VLOOKUP($A281,'SegEnds_NonXtal_BW#'!$A:$Z,16,FALSE)+VLOOKUP($A281,A:AL,22,FALSE)-50),"-",(VLOOKUP($A281,'SegEnds_NonXtal_BW#'!$A:$Z,16,FALSE)+VLOOKUP($A281,A:AL,22,FALSE)-50))</f>
        <v>177</v>
      </c>
      <c r="X281" s="3">
        <f>IF(ISERROR(VLOOKUP($A281,'SegEnds_NonXtal_BW#'!$A:$Z,17,FALSE)+VLOOKUP($A281,A:AL,25,FALSE)-50),"-",(VLOOKUP($A281,'SegEnds_NonXtal_BW#'!$A:$Z,17,FALSE)+VLOOKUP($A281,A:AL,25,FALSE)-50))</f>
        <v>188</v>
      </c>
      <c r="Y281" s="3">
        <v>188</v>
      </c>
      <c r="Z281" s="3">
        <f>Y281+2</f>
        <v>190</v>
      </c>
      <c r="AA281" s="3">
        <f>IF(ISERROR(VLOOKUP($A281,'SegEnds_NonXtal_BW#'!$A:$Z,19,FALSE)+VLOOKUP($A281,A:AL,28,FALSE)-50),"-",(VLOOKUP($A281,'SegEnds_NonXtal_BW#'!$A:$Z,19,FALSE)+VLOOKUP($A281,A:AL,28,FALSE)-50))</f>
        <v>196</v>
      </c>
      <c r="AB281" s="3">
        <v>215</v>
      </c>
      <c r="AC281" s="3">
        <f>IF(ISERROR((VLOOKUP($A281,'SegEnds_NonXtal_BW#'!$A:$Z,20,FALSE)+VLOOKUP($A281,A:AL,28,FALSE)-50)),"-",(VLOOKUP($A281,'SegEnds_NonXtal_BW#'!$A:$Z,20,FALSE)+VLOOKUP($A281,A:AL,28,FALSE)-50))</f>
        <v>233</v>
      </c>
      <c r="AD281" s="3">
        <f>IF(ISERROR(VLOOKUP($A281,'SegEnds_NonXtal_BW#'!$A:$Z,21,FALSE)+VLOOKUP($A281,A:AL,31,FALSE)-50),"-",(VLOOKUP($A281,'SegEnds_NonXtal_BW#'!$A:$Z,21,FALSE)+VLOOKUP($A281,A:AL,31,FALSE)-50))</f>
        <v>239</v>
      </c>
      <c r="AE281" s="3">
        <v>266</v>
      </c>
      <c r="AF281" s="3">
        <f>IF(ISERROR((VLOOKUP($A281,'SegEnds_NonXtal_BW#'!$A:$Z,22,FALSE)+VLOOKUP($A281,A:AL,31,FALSE)-50)),"-",(VLOOKUP($A281,'SegEnds_NonXtal_BW#'!$A:$Z,22,FALSE)+VLOOKUP($A281,A:AL,31,FALSE)-50))</f>
        <v>277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323</v>
      </c>
      <c r="AM281" s="28" t="str">
        <f>VLOOKUP(A281,Classification!A:B,2,FALSE)</f>
        <v>A</v>
      </c>
      <c r="AN281" s="28" t="b">
        <f>AND(IF(Y281="-",IF(AA281-W281&gt;3,TRUE,FALSE),TRUE),IF(M281="-",IF(O281-K281&gt;3,TRUE,FALSE),TRUE),C281&lt;E281,OR(E281&lt;F281,F281="-"),OR(F281&lt;H281,F281="-"),OR(H281&lt;I281,H281="-"),I281&lt;K281,OR(K281&lt;L281,L281="-"),OR(L281&lt;N281,L281="-"),OR(N281&lt;O281,N281="-"),O281&lt;Q281,OR(Q281&lt;R281,R281="-"),OR(R281&lt;T281,R281="-"),OR(T281&lt;U281,T281="-"),U281&lt;W281,OR(W281&lt;X281,X281="-"),OR(X281&lt;Z281,X281="-"),OR(Z281&lt;AA281,Z281="-"),AA281&lt;AC281,AC281&lt;AD281,AD281&lt;AF281,AF281&lt;AG281,AG281&lt;AI281,OR(AI281&lt;AJ281,AJ281="-"),OR(AJ281&lt;AL281,AJ281="-"))</f>
        <v>1</v>
      </c>
      <c r="AO281" s="3" t="str">
        <f>IF(ISERROR(MATCH(A281,'SegEnds_Xtal_Prot#'!B:B, 0)), "NoXtal", "Xtal")</f>
        <v>NoXtal</v>
      </c>
      <c r="AP281" s="3">
        <f>IF(ISERROR(F281-E281),"-",F281-E281)</f>
        <v>1</v>
      </c>
      <c r="AQ281" s="3">
        <f>IF(ISERROR(I281-H281),"-",I281-H281)</f>
        <v>1</v>
      </c>
      <c r="AR281" s="3">
        <f>IF(ISERROR(L281-K281),"-",L281-K281)</f>
        <v>2</v>
      </c>
      <c r="AS281" s="3">
        <f>IF(ISERROR(O281-N281),"-",O281-N281)</f>
        <v>1</v>
      </c>
      <c r="AT281" s="3" t="str">
        <f>IF(ISERROR(R281-Q281),"-",R281-Q281)</f>
        <v>-</v>
      </c>
      <c r="AU281" s="3" t="str">
        <f>IF(ISERROR(U281-T281),"-",U281-T281)</f>
        <v>-</v>
      </c>
      <c r="AV281" s="3">
        <f>IF(ISERROR(X281-W281),"-",X281-W281)</f>
        <v>11</v>
      </c>
      <c r="AW281" s="3">
        <f>IF(ISERROR(AA281-Z281),"-",AA281-Z281)</f>
        <v>6</v>
      </c>
      <c r="AX281" s="3">
        <f>IF(ISERROR(AD281-AC281),"-",AD281-AC281)</f>
        <v>6</v>
      </c>
      <c r="AY281" s="3">
        <f>IF(ISERROR(AG281-AF281),"-",AG281-AF281)</f>
        <v>5</v>
      </c>
      <c r="AZ281" s="3">
        <f>IF(ISERROR(AJ281-AI281),"-",AJ281-AI281)</f>
        <v>1</v>
      </c>
      <c r="BA281" s="3">
        <f>IF(ISERROR(LEN(VLOOKUP(A281,Seqs!A:E,2,FALSE))-AL281),"-",LEN(VLOOKUP(A281,Seqs!A:E,2,FALSE))-AL281)</f>
        <v>5</v>
      </c>
      <c r="BB281" s="16">
        <f>J281-D281</f>
        <v>28</v>
      </c>
      <c r="BC281" s="9" t="str">
        <f>IF(ISERROR(V281-S281),"-",V281-S281)</f>
        <v>-</v>
      </c>
      <c r="BD281" s="3">
        <f>J281-D281</f>
        <v>28</v>
      </c>
      <c r="BE281" s="3">
        <f>AE281-AB281</f>
        <v>51</v>
      </c>
      <c r="BF281" s="3">
        <f>AH281-AE281</f>
        <v>38</v>
      </c>
    </row>
    <row r="282" spans="1:58" s="3" customFormat="1" x14ac:dyDescent="0.2">
      <c r="A282" s="3" t="s">
        <v>321</v>
      </c>
      <c r="B282" s="3" t="str">
        <f>LOWER(VLOOKUP(A282,Xtal_Templ!A:B,2,FALSE))</f>
        <v>oprd_human</v>
      </c>
      <c r="C282" s="3">
        <f>VLOOKUP($A282,'SegEnds_NonXtal_BW#'!$A:$Z,3,FALSE)+D282-50</f>
        <v>35</v>
      </c>
      <c r="D282" s="3">
        <v>63</v>
      </c>
      <c r="E282" s="3">
        <f>IF(ISERROR(VLOOKUP($A282,'SegEnds_NonXtal_BW#'!$A:$Z,4,FALSE)+VLOOKUP($A282,A:AL,4,FALSE)-50),"-",(VLOOKUP($A282,'SegEnds_NonXtal_BW#'!$A:$Z,4,FALSE)+VLOOKUP($A282,A:AL,4,FALSE)-50))</f>
        <v>73</v>
      </c>
      <c r="F282" s="3">
        <f>G282-2</f>
        <v>74</v>
      </c>
      <c r="G282" s="3">
        <v>76</v>
      </c>
      <c r="H282" s="3">
        <f>G282+1</f>
        <v>77</v>
      </c>
      <c r="I282" s="3">
        <f>H282+1</f>
        <v>78</v>
      </c>
      <c r="J282" s="3">
        <v>91</v>
      </c>
      <c r="K282" s="3">
        <f>VLOOKUP($A282,'SegEnds_NonXtal_BW#'!$A:$Z,8,FALSE)+VLOOKUP($A282,A:AL,10,FALSE)-50</f>
        <v>107</v>
      </c>
      <c r="L282" s="3">
        <f>M282-1</f>
        <v>109</v>
      </c>
      <c r="M282" s="3">
        <v>110</v>
      </c>
      <c r="N282" s="3">
        <f>M282+2</f>
        <v>112</v>
      </c>
      <c r="O282" s="3">
        <f>N282+1</f>
        <v>113</v>
      </c>
      <c r="P282" s="3">
        <v>142</v>
      </c>
      <c r="Q282" s="3">
        <f>VLOOKUP($A282,'SegEnds_NonXtal_BW#'!$A:$Z,12,FALSE)+VLOOKUP($A282,A:AL,16,FALSE)-50</f>
        <v>148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3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159</v>
      </c>
      <c r="V282" s="3">
        <v>171</v>
      </c>
      <c r="W282" s="3">
        <f>IF(ISERROR(VLOOKUP($A282,'SegEnds_NonXtal_BW#'!$A:$Z,16,FALSE)+VLOOKUP($A282,A:AL,22,FALSE)-50),"-",(VLOOKUP($A282,'SegEnds_NonXtal_BW#'!$A:$Z,16,FALSE)+VLOOKUP($A282,A:AL,22,FALSE)-50))</f>
        <v>185</v>
      </c>
      <c r="X282" s="3">
        <f>IF(ISERROR(VLOOKUP($A282,'SegEnds_NonXtal_BW#'!$A:$Z,17,FALSE)+VLOOKUP($A282,A:AL,25,FALSE)-50),"-",(VLOOKUP($A282,'SegEnds_NonXtal_BW#'!$A:$Z,17,FALSE)+VLOOKUP($A282,A:AL,25,FALSE)-50))</f>
        <v>197</v>
      </c>
      <c r="Y282" s="3">
        <v>197</v>
      </c>
      <c r="Z282" s="3">
        <f>Y282+2</f>
        <v>199</v>
      </c>
      <c r="AA282" s="3">
        <f>IF(ISERROR(VLOOKUP($A282,'SegEnds_NonXtal_BW#'!$A:$Z,19,FALSE)+VLOOKUP($A282,A:AL,28,FALSE)-50),"-",(VLOOKUP($A282,'SegEnds_NonXtal_BW#'!$A:$Z,19,FALSE)+VLOOKUP($A282,A:AL,28,FALSE)-50))</f>
        <v>205</v>
      </c>
      <c r="AB282" s="3">
        <v>224</v>
      </c>
      <c r="AC282" s="3">
        <f>IF(ISERROR((VLOOKUP($A282,'SegEnds_NonXtal_BW#'!$A:$Z,20,FALSE)+VLOOKUP($A282,A:AL,28,FALSE)-50)),"-",(VLOOKUP($A282,'SegEnds_NonXtal_BW#'!$A:$Z,20,FALSE)+VLOOKUP($A282,A:AL,28,FALSE)-50))</f>
        <v>242</v>
      </c>
      <c r="AD282" s="3">
        <f>IF(ISERROR(VLOOKUP($A282,'SegEnds_NonXtal_BW#'!$A:$Z,21,FALSE)+VLOOKUP($A282,A:AL,31,FALSE)-50),"-",(VLOOKUP($A282,'SegEnds_NonXtal_BW#'!$A:$Z,21,FALSE)+VLOOKUP($A282,A:AL,31,FALSE)-50))</f>
        <v>248</v>
      </c>
      <c r="AE282" s="3">
        <v>275</v>
      </c>
      <c r="AF282" s="3">
        <f>IF(ISERROR((VLOOKUP($A282,'SegEnds_NonXtal_BW#'!$A:$Z,22,FALSE)+VLOOKUP($A282,A:AL,31,FALSE)-50)),"-",(VLOOKUP($A282,'SegEnds_NonXtal_BW#'!$A:$Z,22,FALSE)+VLOOKUP($A282,A:AL,31,FALSE)-50))</f>
        <v>286</v>
      </c>
      <c r="AG282" s="3">
        <f>IF(ISERROR(VLOOKUP($A282,'SegEnds_NonXtal_BW#'!$A:$Z,23,FALSE)+VLOOKUP($A282,A:AL,34,FALSE)-50),"-",(VLOOKUP($A282,'SegEnds_NonXtal_BW#'!$A:$Z,23,FALSE)+VLOOKUP($A282,A:AL,34,FALSE)-50))</f>
        <v>291</v>
      </c>
      <c r="AH282" s="3">
        <v>313</v>
      </c>
      <c r="AI282" s="3">
        <f>IF(ISERROR((VLOOKUP($A282,'SegEnds_NonXtal_BW#'!$A:$Z,24,FALSE)+VLOOKUP($A282,A:AL,34,FALSE)-50)),"-",(VLOOKUP($A282,'SegEnds_NonXtal_BW#'!$A:$Z,24,FALSE)+VLOOKUP($A282,A:AL,34,FALSE)-50))</f>
        <v>319</v>
      </c>
      <c r="AJ282" s="3">
        <f>IF(ISERROR(VLOOKUP($A282,'SegEnds_NonXtal_BW#'!$A:$Z,25,FALSE)+VLOOKUP($A282,A:AL,37,FALSE)-50),"-",(VLOOKUP($A282,'SegEnds_NonXtal_BW#'!$A:$Z,25,FALSE)+VLOOKUP($A282,A:AL,37,FALSE)-50))</f>
        <v>320</v>
      </c>
      <c r="AK282" s="3">
        <v>323</v>
      </c>
      <c r="AL282" s="3">
        <f>IF(ISERROR((VLOOKUP($A282,'SegEnds_NonXtal_BW#'!$A:$Z,26,FALSE)+VLOOKUP($A282,A:AL,37,FALSE)-50)),"-",(VLOOKUP($A282,'SegEnds_NonXtal_BW#'!$A:$Z,26,FALSE)+VLOOKUP($A282,A:AL,37,FALSE)-50))</f>
        <v>333</v>
      </c>
      <c r="AM282" s="28" t="str">
        <f>VLOOKUP(A282,Classification!A:B,2,FALSE)</f>
        <v>A</v>
      </c>
      <c r="AN282" s="28" t="b">
        <f>AND(IF(Y282="-",IF(AA282-W282&gt;3,TRUE,FALSE),TRUE),IF(M282="-",IF(O282-K282&gt;3,TRUE,FALSE),TRUE),C282&lt;E282,OR(E282&lt;F282,F282="-"),OR(F282&lt;H282,F282="-"),OR(H282&lt;I282,H282="-"),I282&lt;K282,OR(K282&lt;L282,L282="-"),OR(L282&lt;N282,L282="-"),OR(N282&lt;O282,N282="-"),O282&lt;Q282,OR(Q282&lt;R282,R282="-"),OR(R282&lt;T282,R282="-"),OR(T282&lt;U282,T282="-"),U282&lt;W282,OR(W282&lt;X282,X282="-"),OR(X282&lt;Z282,X282="-"),OR(Z282&lt;AA282,Z282="-"),AA282&lt;AC282,AC282&lt;AD282,AD282&lt;AF282,AF282&lt;AG282,AG282&lt;AI282,OR(AI282&lt;AJ282,AJ282="-"),OR(AJ282&lt;AL282,AJ282="-"))</f>
        <v>1</v>
      </c>
      <c r="AO282" s="3" t="str">
        <f>IF(ISERROR(MATCH(A282,'SegEnds_Xtal_Prot#'!B:B, 0)), "NoXtal", "Xtal")</f>
        <v>NoXtal</v>
      </c>
      <c r="AP282" s="3">
        <f>IF(ISERROR(F282-E282),"-",F282-E282)</f>
        <v>1</v>
      </c>
      <c r="AQ282" s="3">
        <f>IF(ISERROR(I282-H282),"-",I282-H282)</f>
        <v>1</v>
      </c>
      <c r="AR282" s="3">
        <f>IF(ISERROR(L282-K282),"-",L282-K282)</f>
        <v>2</v>
      </c>
      <c r="AS282" s="3">
        <f>IF(ISERROR(O282-N282),"-",O282-N282)</f>
        <v>1</v>
      </c>
      <c r="AT282" s="3" t="str">
        <f>IF(ISERROR(R282-Q282),"-",R282-Q282)</f>
        <v>-</v>
      </c>
      <c r="AU282" s="3" t="str">
        <f>IF(ISERROR(U282-T282),"-",U282-T282)</f>
        <v>-</v>
      </c>
      <c r="AV282" s="3">
        <f>IF(ISERROR(X282-W282),"-",X282-W282)</f>
        <v>12</v>
      </c>
      <c r="AW282" s="3">
        <f>IF(ISERROR(AA282-Z282),"-",AA282-Z282)</f>
        <v>6</v>
      </c>
      <c r="AX282" s="3">
        <f>IF(ISERROR(AD282-AC282),"-",AD282-AC282)</f>
        <v>6</v>
      </c>
      <c r="AY282" s="3">
        <f>IF(ISERROR(AG282-AF282),"-",AG282-AF282)</f>
        <v>5</v>
      </c>
      <c r="AZ282" s="3">
        <f>IF(ISERROR(AJ282-AI282),"-",AJ282-AI282)</f>
        <v>1</v>
      </c>
      <c r="BA282" s="3">
        <f>IF(ISERROR(LEN(VLOOKUP(A282,Seqs!A:E,2,FALSE))-AL282),"-",LEN(VLOOKUP(A282,Seqs!A:E,2,FALSE))-AL282)</f>
        <v>0</v>
      </c>
      <c r="BB282" s="16">
        <f>J282-D282</f>
        <v>28</v>
      </c>
      <c r="BC282" s="9" t="str">
        <f>IF(ISERROR(V282-S282),"-",V282-S282)</f>
        <v>-</v>
      </c>
      <c r="BD282" s="3">
        <f>J282-D282</f>
        <v>28</v>
      </c>
      <c r="BE282" s="3">
        <f>AE282-AB282</f>
        <v>51</v>
      </c>
      <c r="BF282" s="3">
        <f>AH282-AE282</f>
        <v>38</v>
      </c>
    </row>
    <row r="283" spans="1:58" s="3" customFormat="1" x14ac:dyDescent="0.2">
      <c r="A283" s="3" t="s">
        <v>322</v>
      </c>
      <c r="B283" s="3" t="str">
        <f>LOWER(VLOOKUP(A283,Xtal_Templ!A:B,2,FALSE))</f>
        <v>ox1r_human</v>
      </c>
      <c r="C283" s="3">
        <f>VLOOKUP($A283,'SegEnds_NonXtal_BW#'!$A:$Z,3,FALSE)+D283-50</f>
        <v>43</v>
      </c>
      <c r="D283" s="3">
        <v>61</v>
      </c>
      <c r="E283" s="3">
        <f>IF(ISERROR(VLOOKUP($A283,'SegEnds_NonXtal_BW#'!$A:$Z,4,FALSE)+VLOOKUP($A283,A:AL,4,FALSE)-50),"-",(VLOOKUP($A283,'SegEnds_NonXtal_BW#'!$A:$Z,4,FALSE)+VLOOKUP($A283,A:AL,4,FALSE)-50))</f>
        <v>71</v>
      </c>
      <c r="F283" s="3">
        <f>G283-2</f>
        <v>72</v>
      </c>
      <c r="G283" s="3">
        <v>74</v>
      </c>
      <c r="H283" s="3">
        <f>G283+1</f>
        <v>75</v>
      </c>
      <c r="I283" s="3">
        <f>H283+1</f>
        <v>76</v>
      </c>
      <c r="J283" s="3">
        <v>89</v>
      </c>
      <c r="K283" s="3">
        <f>VLOOKUP($A283,'SegEnds_NonXtal_BW#'!$A:$Z,8,FALSE)+VLOOKUP($A283,A:AL,10,FALSE)-50</f>
        <v>106</v>
      </c>
      <c r="L283" s="3">
        <f>M283-1</f>
        <v>108</v>
      </c>
      <c r="M283" s="3">
        <v>109</v>
      </c>
      <c r="N283" s="3">
        <f>M283+2</f>
        <v>111</v>
      </c>
      <c r="O283" s="3">
        <f>N283+1</f>
        <v>112</v>
      </c>
      <c r="P283" s="3">
        <v>141</v>
      </c>
      <c r="Q283" s="3">
        <f>VLOOKUP($A283,'SegEnds_NonXtal_BW#'!$A:$Z,12,FALSE)+VLOOKUP($A283,A:AL,16,FALSE)-50</f>
        <v>147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3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154</v>
      </c>
      <c r="V283" s="3">
        <v>166</v>
      </c>
      <c r="W283" s="3">
        <f>IF(ISERROR(VLOOKUP($A283,'SegEnds_NonXtal_BW#'!$A:$Z,16,FALSE)+VLOOKUP($A283,A:AL,22,FALSE)-50),"-",(VLOOKUP($A283,'SegEnds_NonXtal_BW#'!$A:$Z,16,FALSE)+VLOOKUP($A283,A:AL,22,FALSE)-50))</f>
        <v>180</v>
      </c>
      <c r="X283" s="3">
        <f>IF(ISERROR(VLOOKUP($A283,'SegEnds_NonXtal_BW#'!$A:$Z,17,FALSE)+VLOOKUP($A283,A:AL,25,FALSE)-50),"-",(VLOOKUP($A283,'SegEnds_NonXtal_BW#'!$A:$Z,17,FALSE)+VLOOKUP($A283,A:AL,25,FALSE)-50))</f>
        <v>203</v>
      </c>
      <c r="Y283" s="3">
        <v>203</v>
      </c>
      <c r="Z283" s="3">
        <f>Y283+2</f>
        <v>205</v>
      </c>
      <c r="AA283" s="3">
        <f>IF(ISERROR(VLOOKUP($A283,'SegEnds_NonXtal_BW#'!$A:$Z,19,FALSE)+VLOOKUP($A283,A:AL,28,FALSE)-50),"-",(VLOOKUP($A283,'SegEnds_NonXtal_BW#'!$A:$Z,19,FALSE)+VLOOKUP($A283,A:AL,28,FALSE)-50))</f>
        <v>210</v>
      </c>
      <c r="AB283" s="3">
        <v>228</v>
      </c>
      <c r="AC283" s="3">
        <f>IF(ISERROR((VLOOKUP($A283,'SegEnds_NonXtal_BW#'!$A:$Z,20,FALSE)+VLOOKUP($A283,A:AL,28,FALSE)-50)),"-",(VLOOKUP($A283,'SegEnds_NonXtal_BW#'!$A:$Z,20,FALSE)+VLOOKUP($A283,A:AL,28,FALSE)-50))</f>
        <v>250</v>
      </c>
      <c r="AD283" s="3">
        <f>IF(ISERROR(VLOOKUP($A283,'SegEnds_NonXtal_BW#'!$A:$Z,21,FALSE)+VLOOKUP($A283,A:AL,31,FALSE)-50),"-",(VLOOKUP($A283,'SegEnds_NonXtal_BW#'!$A:$Z,21,FALSE)+VLOOKUP($A283,A:AL,31,FALSE)-50))</f>
        <v>259</v>
      </c>
      <c r="AE283" s="3">
        <v>285</v>
      </c>
      <c r="AF283" s="3">
        <f>IF(ISERROR((VLOOKUP($A283,'SegEnds_NonXtal_BW#'!$A:$Z,22,FALSE)+VLOOKUP($A283,A:AL,31,FALSE)-50)),"-",(VLOOKUP($A283,'SegEnds_NonXtal_BW#'!$A:$Z,22,FALSE)+VLOOKUP($A283,A:AL,31,FALSE)-50))</f>
        <v>296</v>
      </c>
      <c r="AG283" s="3">
        <f>IF(ISERROR(VLOOKUP($A283,'SegEnds_NonXtal_BW#'!$A:$Z,23,FALSE)+VLOOKUP($A283,A:AL,34,FALSE)-50),"-",(VLOOKUP($A283,'SegEnds_NonXtal_BW#'!$A:$Z,23,FALSE)+VLOOKUP($A283,A:AL,34,FALSE)-50))</f>
        <v>304</v>
      </c>
      <c r="AH283" s="3">
        <v>326</v>
      </c>
      <c r="AI283" s="3">
        <f>IF(ISERROR((VLOOKUP($A283,'SegEnds_NonXtal_BW#'!$A:$Z,24,FALSE)+VLOOKUP($A283,A:AL,34,FALSE)-50)),"-",(VLOOKUP($A283,'SegEnds_NonXtal_BW#'!$A:$Z,24,FALSE)+VLOOKUP($A283,A:AL,34,FALSE)-50))</f>
        <v>332</v>
      </c>
      <c r="AJ283" s="3">
        <f>IF(ISERROR(VLOOKUP($A283,'SegEnds_NonXtal_BW#'!$A:$Z,25,FALSE)+VLOOKUP($A283,A:AL,37,FALSE)-50),"-",(VLOOKUP($A283,'SegEnds_NonXtal_BW#'!$A:$Z,25,FALSE)+VLOOKUP($A283,A:AL,37,FALSE)-50))</f>
        <v>333</v>
      </c>
      <c r="AK283" s="3">
        <v>336</v>
      </c>
      <c r="AL283" s="3">
        <f>IF(ISERROR((VLOOKUP($A283,'SegEnds_NonXtal_BW#'!$A:$Z,26,FALSE)+VLOOKUP($A283,A:AL,37,FALSE)-50)),"-",(VLOOKUP($A283,'SegEnds_NonXtal_BW#'!$A:$Z,26,FALSE)+VLOOKUP($A283,A:AL,37,FALSE)-50))</f>
        <v>344</v>
      </c>
      <c r="AM283" s="28" t="str">
        <f>VLOOKUP(A283,Classification!A:B,2,FALSE)</f>
        <v>A</v>
      </c>
      <c r="AN283" s="28" t="b">
        <f>AND(IF(Y283="-",IF(AA283-W283&gt;3,TRUE,FALSE),TRUE),IF(M283="-",IF(O283-K283&gt;3,TRUE,FALSE),TRUE),C283&lt;E283,OR(E283&lt;F283,F283="-"),OR(F283&lt;H283,F283="-"),OR(H283&lt;I283,H283="-"),I283&lt;K283,OR(K283&lt;L283,L283="-"),OR(L283&lt;N283,L283="-"),OR(N283&lt;O283,N283="-"),O283&lt;Q283,OR(Q283&lt;R283,R283="-"),OR(R283&lt;T283,R283="-"),OR(T283&lt;U283,T283="-"),U283&lt;W283,OR(W283&lt;X283,X283="-"),OR(X283&lt;Z283,X283="-"),OR(Z283&lt;AA283,Z283="-"),AA283&lt;AC283,AC283&lt;AD283,AD283&lt;AF283,AF283&lt;AG283,AG283&lt;AI283,OR(AI283&lt;AJ283,AJ283="-"),OR(AJ283&lt;AL283,AJ283="-"))</f>
        <v>1</v>
      </c>
      <c r="AO283" s="3" t="str">
        <f>IF(ISERROR(MATCH(A283,'SegEnds_Xtal_Prot#'!B:B, 0)), "NoXtal", "Xtal")</f>
        <v>NoXtal</v>
      </c>
      <c r="AP283" s="3">
        <f>IF(ISERROR(F283-E283),"-",F283-E283)</f>
        <v>1</v>
      </c>
      <c r="AQ283" s="3">
        <f>IF(ISERROR(I283-H283),"-",I283-H283)</f>
        <v>1</v>
      </c>
      <c r="AR283" s="3">
        <f>IF(ISERROR(L283-K283),"-",L283-K283)</f>
        <v>2</v>
      </c>
      <c r="AS283" s="3">
        <f>IF(ISERROR(O283-N283),"-",O283-N283)</f>
        <v>1</v>
      </c>
      <c r="AT283" s="3" t="str">
        <f>IF(ISERROR(R283-Q283),"-",R283-Q283)</f>
        <v>-</v>
      </c>
      <c r="AU283" s="3" t="str">
        <f>IF(ISERROR(U283-T283),"-",U283-T283)</f>
        <v>-</v>
      </c>
      <c r="AV283" s="3">
        <f>IF(ISERROR(X283-W283),"-",X283-W283)</f>
        <v>23</v>
      </c>
      <c r="AW283" s="3">
        <f>IF(ISERROR(AA283-Z283),"-",AA283-Z283)</f>
        <v>5</v>
      </c>
      <c r="AX283" s="3">
        <f>IF(ISERROR(AD283-AC283),"-",AD283-AC283)</f>
        <v>9</v>
      </c>
      <c r="AY283" s="3">
        <f>IF(ISERROR(AG283-AF283),"-",AG283-AF283)</f>
        <v>8</v>
      </c>
      <c r="AZ283" s="3">
        <f>IF(ISERROR(AJ283-AI283),"-",AJ283-AI283)</f>
        <v>1</v>
      </c>
      <c r="BA283" s="3">
        <f>IF(ISERROR(LEN(VLOOKUP(A283,Seqs!A:E,2,FALSE))-AL283),"-",LEN(VLOOKUP(A283,Seqs!A:E,2,FALSE))-AL283)</f>
        <v>86</v>
      </c>
      <c r="BB283" s="16">
        <f>J283-D283</f>
        <v>28</v>
      </c>
      <c r="BC283" s="9" t="str">
        <f>IF(ISERROR(V283-S283),"-",V283-S283)</f>
        <v>-</v>
      </c>
      <c r="BD283" s="3">
        <f>J283-D283</f>
        <v>28</v>
      </c>
      <c r="BE283" s="3">
        <f>AE283-AB283</f>
        <v>57</v>
      </c>
    </row>
    <row r="284" spans="1:58" s="3" customFormat="1" x14ac:dyDescent="0.2">
      <c r="A284" s="3" t="s">
        <v>323</v>
      </c>
      <c r="B284" s="3" t="str">
        <f>LOWER(VLOOKUP(A284,Xtal_Templ!A:B,2,FALSE))</f>
        <v>ox2r_human</v>
      </c>
      <c r="C284" s="3">
        <f>VLOOKUP($A284,'SegEnds_NonXtal_BW#'!$A:$Z,3,FALSE)+D284-50</f>
        <v>146</v>
      </c>
      <c r="D284" s="3">
        <v>165</v>
      </c>
      <c r="E284" s="3">
        <f>IF(ISERROR(VLOOKUP($A284,'SegEnds_NonXtal_BW#'!$A:$Z,4,FALSE)+VLOOKUP($A284,A:AL,4,FALSE)-50),"-",(VLOOKUP($A284,'SegEnds_NonXtal_BW#'!$A:$Z,4,FALSE)+VLOOKUP($A284,A:AL,4,FALSE)-50))</f>
        <v>175</v>
      </c>
      <c r="F284" s="3">
        <f>G284-2</f>
        <v>176</v>
      </c>
      <c r="G284" s="3">
        <v>178</v>
      </c>
      <c r="H284" s="3">
        <f>G284+1</f>
        <v>179</v>
      </c>
      <c r="I284" s="3">
        <f>H284+1</f>
        <v>180</v>
      </c>
      <c r="J284" s="3">
        <v>193</v>
      </c>
      <c r="K284" s="3">
        <f>VLOOKUP($A284,'SegEnds_NonXtal_BW#'!$A:$Z,8,FALSE)+VLOOKUP($A284,A:AL,10,FALSE)-50</f>
        <v>210</v>
      </c>
      <c r="L284" s="3">
        <f>M284-1</f>
        <v>212</v>
      </c>
      <c r="M284" s="3">
        <v>213</v>
      </c>
      <c r="N284" s="3">
        <f>M284+2</f>
        <v>215</v>
      </c>
      <c r="O284" s="3">
        <f>N284+1</f>
        <v>216</v>
      </c>
      <c r="P284" s="3">
        <v>245</v>
      </c>
      <c r="Q284" s="3">
        <f>VLOOKUP($A284,'SegEnds_NonXtal_BW#'!$A:$Z,12,FALSE)+VLOOKUP($A284,A:AL,16,FALSE)-50</f>
        <v>251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3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258</v>
      </c>
      <c r="V284" s="3">
        <v>270</v>
      </c>
      <c r="W284" s="3">
        <f>IF(ISERROR(VLOOKUP($A284,'SegEnds_NonXtal_BW#'!$A:$Z,16,FALSE)+VLOOKUP($A284,A:AL,22,FALSE)-50),"-",(VLOOKUP($A284,'SegEnds_NonXtal_BW#'!$A:$Z,16,FALSE)+VLOOKUP($A284,A:AL,22,FALSE)-50))</f>
        <v>284</v>
      </c>
      <c r="X284" s="3">
        <f>IF(ISERROR(VLOOKUP($A284,'SegEnds_NonXtal_BW#'!$A:$Z,17,FALSE)+VLOOKUP($A284,A:AL,25,FALSE)-50),"-",(VLOOKUP($A284,'SegEnds_NonXtal_BW#'!$A:$Z,17,FALSE)+VLOOKUP($A284,A:AL,25,FALSE)-50))</f>
        <v>308</v>
      </c>
      <c r="Y284" s="3">
        <v>308</v>
      </c>
      <c r="Z284" s="3">
        <f>Y284+2</f>
        <v>310</v>
      </c>
      <c r="AA284" s="3">
        <f>IF(ISERROR(VLOOKUP($A284,'SegEnds_NonXtal_BW#'!$A:$Z,19,FALSE)+VLOOKUP($A284,A:AL,28,FALSE)-50),"-",(VLOOKUP($A284,'SegEnds_NonXtal_BW#'!$A:$Z,19,FALSE)+VLOOKUP($A284,A:AL,28,FALSE)-50))</f>
        <v>315</v>
      </c>
      <c r="AB284" s="3">
        <v>333</v>
      </c>
      <c r="AC284" s="3">
        <f>IF(ISERROR((VLOOKUP($A284,'SegEnds_NonXtal_BW#'!$A:$Z,20,FALSE)+VLOOKUP($A284,A:AL,28,FALSE)-50)),"-",(VLOOKUP($A284,'SegEnds_NonXtal_BW#'!$A:$Z,20,FALSE)+VLOOKUP($A284,A:AL,28,FALSE)-50))</f>
        <v>356</v>
      </c>
      <c r="AD284" s="3">
        <f>IF(ISERROR(VLOOKUP($A284,'SegEnds_NonXtal_BW#'!$A:$Z,21,FALSE)+VLOOKUP($A284,A:AL,31,FALSE)-50),"-",(VLOOKUP($A284,'SegEnds_NonXtal_BW#'!$A:$Z,21,FALSE)+VLOOKUP($A284,A:AL,31,FALSE)-50))</f>
        <v>365</v>
      </c>
      <c r="AE284" s="3">
        <v>391</v>
      </c>
      <c r="AF284" s="3">
        <f>IF(ISERROR((VLOOKUP($A284,'SegEnds_NonXtal_BW#'!$A:$Z,22,FALSE)+VLOOKUP($A284,A:AL,31,FALSE)-50)),"-",(VLOOKUP($A284,'SegEnds_NonXtal_BW#'!$A:$Z,22,FALSE)+VLOOKUP($A284,A:AL,31,FALSE)-50))</f>
        <v>402</v>
      </c>
      <c r="AG284" s="3">
        <f>IF(ISERROR(VLOOKUP($A284,'SegEnds_NonXtal_BW#'!$A:$Z,23,FALSE)+VLOOKUP($A284,A:AL,34,FALSE)-50),"-",(VLOOKUP($A284,'SegEnds_NonXtal_BW#'!$A:$Z,23,FALSE)+VLOOKUP($A284,A:AL,34,FALSE)-50))</f>
        <v>410</v>
      </c>
      <c r="AH284" s="3">
        <v>432</v>
      </c>
      <c r="AI284" s="3">
        <f>IF(ISERROR((VLOOKUP($A284,'SegEnds_NonXtal_BW#'!$A:$Z,24,FALSE)+VLOOKUP($A284,A:AL,34,FALSE)-50)),"-",(VLOOKUP($A284,'SegEnds_NonXtal_BW#'!$A:$Z,24,FALSE)+VLOOKUP($A284,A:AL,34,FALSE)-50))</f>
        <v>438</v>
      </c>
      <c r="AJ284" s="3">
        <f>IF(ISERROR(VLOOKUP($A284,'SegEnds_NonXtal_BW#'!$A:$Z,25,FALSE)+VLOOKUP($A284,A:AL,37,FALSE)-50),"-",(VLOOKUP($A284,'SegEnds_NonXtal_BW#'!$A:$Z,25,FALSE)+VLOOKUP($A284,A:AL,37,FALSE)-50))</f>
        <v>439</v>
      </c>
      <c r="AK284" s="3">
        <v>442</v>
      </c>
      <c r="AL284" s="3">
        <f>IF(ISERROR((VLOOKUP($A284,'SegEnds_NonXtal_BW#'!$A:$Z,26,FALSE)+VLOOKUP($A284,A:AL,37,FALSE)-50)),"-",(VLOOKUP($A284,'SegEnds_NonXtal_BW#'!$A:$Z,26,FALSE)+VLOOKUP($A284,A:AL,37,FALSE)-50))</f>
        <v>450</v>
      </c>
      <c r="AM284" s="28" t="str">
        <f>VLOOKUP(A284,Classification!A:B,2,FALSE)</f>
        <v>A</v>
      </c>
      <c r="AN284" s="28" t="b">
        <f>AND(IF(Y284="-",IF(AA284-W284&gt;3,TRUE,FALSE),TRUE),IF(M284="-",IF(O284-K284&gt;3,TRUE,FALSE),TRUE),C284&lt;E284,OR(E284&lt;F284,F284="-"),OR(F284&lt;H284,F284="-"),OR(H284&lt;I284,H284="-"),I284&lt;K284,OR(K284&lt;L284,L284="-"),OR(L284&lt;N284,L284="-"),OR(N284&lt;O284,N284="-"),O284&lt;Q284,OR(Q284&lt;R284,R284="-"),OR(R284&lt;T284,R284="-"),OR(T284&lt;U284,T284="-"),U284&lt;W284,OR(W284&lt;X284,X284="-"),OR(X284&lt;Z284,X284="-"),OR(Z284&lt;AA284,Z284="-"),AA284&lt;AC284,AC284&lt;AD284,AD284&lt;AF284,AF284&lt;AG284,AG284&lt;AI284,OR(AI284&lt;AJ284,AJ284="-"),OR(AJ284&lt;AL284,AJ284="-"))</f>
        <v>1</v>
      </c>
      <c r="AO284" s="3" t="str">
        <f>IF(ISERROR(MATCH(A284,'SegEnds_Xtal_Prot#'!B:B, 0)), "NoXtal", "Xtal")</f>
        <v>NoXtal</v>
      </c>
      <c r="AP284" s="3">
        <f>IF(ISERROR(F284-E284),"-",F284-E284)</f>
        <v>1</v>
      </c>
      <c r="AQ284" s="3">
        <f>IF(ISERROR(I284-H284),"-",I284-H284)</f>
        <v>1</v>
      </c>
      <c r="AR284" s="3">
        <f>IF(ISERROR(L284-K284),"-",L284-K284)</f>
        <v>2</v>
      </c>
      <c r="AS284" s="3">
        <f>IF(ISERROR(O284-N284),"-",O284-N284)</f>
        <v>1</v>
      </c>
      <c r="AT284" s="3" t="str">
        <f>IF(ISERROR(R284-Q284),"-",R284-Q284)</f>
        <v>-</v>
      </c>
      <c r="AU284" s="3" t="str">
        <f>IF(ISERROR(U284-T284),"-",U284-T284)</f>
        <v>-</v>
      </c>
      <c r="AV284" s="3">
        <f>IF(ISERROR(X284-W284),"-",X284-W284)</f>
        <v>24</v>
      </c>
      <c r="AW284" s="3">
        <f>IF(ISERROR(AA284-Z284),"-",AA284-Z284)</f>
        <v>5</v>
      </c>
      <c r="AX284" s="3">
        <f>IF(ISERROR(AD284-AC284),"-",AD284-AC284)</f>
        <v>9</v>
      </c>
      <c r="AY284" s="3">
        <f>IF(ISERROR(AG284-AF284),"-",AG284-AF284)</f>
        <v>8</v>
      </c>
      <c r="AZ284" s="3">
        <f>IF(ISERROR(AJ284-AI284),"-",AJ284-AI284)</f>
        <v>1</v>
      </c>
      <c r="BA284" s="3">
        <f>IF(ISERROR(LEN(VLOOKUP(A284,Seqs!A:E,2,FALSE))-AL284),"-",LEN(VLOOKUP(A284,Seqs!A:E,2,FALSE))-AL284)</f>
        <v>72</v>
      </c>
      <c r="BB284" s="16">
        <f>J284-D284</f>
        <v>28</v>
      </c>
      <c r="BC284" s="9" t="str">
        <f>IF(ISERROR(V284-S284),"-",V284-S284)</f>
        <v>-</v>
      </c>
      <c r="BD284" s="3">
        <f>J284-D284</f>
        <v>28</v>
      </c>
      <c r="BE284" s="3">
        <f>AE284-AB284</f>
        <v>58</v>
      </c>
    </row>
    <row r="285" spans="1:58" s="3" customFormat="1" x14ac:dyDescent="0.2">
      <c r="A285" s="3" t="s">
        <v>325</v>
      </c>
      <c r="B285" s="3" t="str">
        <f>LOWER(VLOOKUP(A285,Xtal_Templ!A:B,2,FALSE))</f>
        <v>ox1r_human</v>
      </c>
      <c r="C285" s="3">
        <f>VLOOKUP($A285,'SegEnds_NonXtal_BW#'!$A:$Z,3,FALSE)+D285-50</f>
        <v>40</v>
      </c>
      <c r="D285" s="3">
        <v>58</v>
      </c>
      <c r="E285" s="3">
        <f>IF(ISERROR(VLOOKUP($A285,'SegEnds_NonXtal_BW#'!$A:$Z,4,FALSE)+VLOOKUP($A285,A:AL,4,FALSE)-50),"-",(VLOOKUP($A285,'SegEnds_NonXtal_BW#'!$A:$Z,4,FALSE)+VLOOKUP($A285,A:AL,4,FALSE)-50))</f>
        <v>68</v>
      </c>
      <c r="F285" s="3">
        <f>G285-2</f>
        <v>69</v>
      </c>
      <c r="G285" s="3">
        <v>71</v>
      </c>
      <c r="H285" s="3">
        <f>G285+1</f>
        <v>72</v>
      </c>
      <c r="I285" s="3">
        <f>H285+1</f>
        <v>73</v>
      </c>
      <c r="J285" s="3">
        <v>86</v>
      </c>
      <c r="K285" s="3">
        <f>VLOOKUP($A285,'SegEnds_NonXtal_BW#'!$A:$Z,8,FALSE)+VLOOKUP($A285,A:AL,10,FALSE)-50</f>
        <v>103</v>
      </c>
      <c r="L285" s="3">
        <f>M285-1</f>
        <v>105</v>
      </c>
      <c r="M285" s="3">
        <v>106</v>
      </c>
      <c r="N285" s="3">
        <f>M285+2</f>
        <v>108</v>
      </c>
      <c r="O285" s="3">
        <f>N285+1</f>
        <v>109</v>
      </c>
      <c r="P285" s="3">
        <v>138</v>
      </c>
      <c r="Q285" s="3">
        <f>VLOOKUP($A285,'SegEnds_NonXtal_BW#'!$A:$Z,12,FALSE)+VLOOKUP($A285,A:AL,16,FALSE)-50</f>
        <v>144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3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198</v>
      </c>
      <c r="Y285" s="3">
        <v>198</v>
      </c>
      <c r="Z285" s="3">
        <f>Y285+2</f>
        <v>200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223</v>
      </c>
      <c r="AC285" s="3">
        <f>IF(ISERROR((VLOOKUP($A285,'SegEnds_NonXtal_BW#'!$A:$Z,20,FALSE)+VLOOKUP($A285,A:AL,28,FALSE)-50)),"-",(VLOOKUP($A285,'SegEnds_NonXtal_BW#'!$A:$Z,20,FALSE)+VLOOKUP($A285,A:AL,28,FALSE)-50))</f>
        <v>246</v>
      </c>
      <c r="AD285" s="3">
        <f>IF(ISERROR(VLOOKUP($A285,'SegEnds_NonXtal_BW#'!$A:$Z,21,FALSE)+VLOOKUP($A285,A:AL,31,FALSE)-50),"-",(VLOOKUP($A285,'SegEnds_NonXtal_BW#'!$A:$Z,21,FALSE)+VLOOKUP($A285,A:AL,31,FALSE)-50))</f>
        <v>250</v>
      </c>
      <c r="AE285" s="3">
        <v>278</v>
      </c>
      <c r="AF285" s="3">
        <f>IF(ISERROR((VLOOKUP($A285,'SegEnds_NonXtal_BW#'!$A:$Z,22,FALSE)+VLOOKUP($A285,A:AL,31,FALSE)-50)),"-",(VLOOKUP($A285,'SegEnds_NonXtal_BW#'!$A:$Z,22,FALSE)+VLOOKUP($A285,A:AL,31,FALSE)-50))</f>
        <v>289</v>
      </c>
      <c r="AG285" s="3">
        <f>IF(ISERROR(VLOOKUP($A285,'SegEnds_NonXtal_BW#'!$A:$Z,23,FALSE)+VLOOKUP($A285,A:AL,34,FALSE)-50),"-",(VLOOKUP($A285,'SegEnds_NonXtal_BW#'!$A:$Z,23,FALSE)+VLOOKUP($A285,A:AL,34,FALSE)-50))</f>
        <v>295</v>
      </c>
      <c r="AH285" s="3">
        <v>317</v>
      </c>
      <c r="AI285" s="3">
        <f>IF(ISERROR((VLOOKUP($A285,'SegEnds_NonXtal_BW#'!$A:$Z,24,FALSE)+VLOOKUP($A285,A:AL,34,FALSE)-50)),"-",(VLOOKUP($A285,'SegEnds_NonXtal_BW#'!$A:$Z,24,FALSE)+VLOOKUP($A285,A:AL,34,FALSE)-50))</f>
        <v>323</v>
      </c>
      <c r="AJ285" s="3">
        <f>IF(ISERROR(VLOOKUP($A285,'SegEnds_NonXtal_BW#'!$A:$Z,25,FALSE)+VLOOKUP($A285,A:AL,37,FALSE)-50),"-",(VLOOKUP($A285,'SegEnds_NonXtal_BW#'!$A:$Z,25,FALSE)+VLOOKUP($A285,A:AL,37,FALSE)-50))</f>
        <v>324</v>
      </c>
      <c r="AK285" s="3">
        <v>327</v>
      </c>
      <c r="AL285" s="3">
        <f>IF(ISERROR((VLOOKUP($A285,'SegEnds_NonXtal_BW#'!$A:$Z,26,FALSE)+VLOOKUP($A285,A:AL,37,FALSE)-50)),"-",(VLOOKUP($A285,'SegEnds_NonXtal_BW#'!$A:$Z,26,FALSE)+VLOOKUP($A285,A:AL,37,FALSE)-50))</f>
        <v>335</v>
      </c>
      <c r="AM285" s="28" t="str">
        <f>VLOOKUP(A285,Classification!A:B,2,FALSE)</f>
        <v>A</v>
      </c>
      <c r="AN285" s="28" t="b">
        <f>AND(IF(Y285="-",IF(AA285-W285&gt;3,TRUE,FALSE),TRUE),IF(M285="-",IF(O285-K285&gt;3,TRUE,FALSE),TRUE),C285&lt;E285,OR(E285&lt;F285,F285="-"),OR(F285&lt;H285,F285="-"),OR(H285&lt;I285,H285="-"),I285&lt;K285,OR(K285&lt;L285,L285="-"),OR(L285&lt;N285,L285="-"),OR(N285&lt;O285,N285="-"),O285&lt;Q285,OR(Q285&lt;R285,R285="-"),OR(R285&lt;T285,R285="-"),OR(T285&lt;U285,T285="-"),U285&lt;W285,OR(W285&lt;X285,X285="-"),OR(X285&lt;Z285,X285="-"),OR(Z285&lt;AA285,Z285="-"),AA285&lt;AC285,AC285&lt;AD285,AD285&lt;AF285,AF285&lt;AG285,AG285&lt;AI285,OR(AI285&lt;AJ285,AJ285="-"),OR(AJ285&lt;AL285,AJ285="-"))</f>
        <v>1</v>
      </c>
      <c r="AO285" s="3" t="str">
        <f>IF(ISERROR(MATCH(A285,'SegEnds_Xtal_Prot#'!B:B, 0)), "NoXtal", "Xtal")</f>
        <v>NoXtal</v>
      </c>
      <c r="AP285" s="3">
        <f>IF(ISERROR(F285-E285),"-",F285-E285)</f>
        <v>1</v>
      </c>
      <c r="AQ285" s="3">
        <f>IF(ISERROR(I285-H285),"-",I285-H285)</f>
        <v>1</v>
      </c>
      <c r="AR285" s="3">
        <f>IF(ISERROR(L285-K285),"-",L285-K285)</f>
        <v>2</v>
      </c>
      <c r="AS285" s="3">
        <f>IF(ISERROR(O285-N285),"-",O285-N285)</f>
        <v>1</v>
      </c>
      <c r="AT285" s="3" t="str">
        <f>IF(ISERROR(R285-Q285),"-",R285-Q285)</f>
        <v>-</v>
      </c>
      <c r="AU285" s="3" t="str">
        <f>IF(ISERROR(U285-T285),"-",U285-T285)</f>
        <v>-</v>
      </c>
      <c r="AV285" s="3">
        <f>IF(ISERROR(X285-W285),"-",X285-W285)</f>
        <v>21</v>
      </c>
      <c r="AW285" s="3">
        <f>IF(ISERROR(AA285-Z285),"-",AA285-Z285)</f>
        <v>5</v>
      </c>
      <c r="AX285" s="3">
        <f>IF(ISERROR(AD285-AC285),"-",AD285-AC285)</f>
        <v>4</v>
      </c>
      <c r="AY285" s="3">
        <f>IF(ISERROR(AG285-AF285),"-",AG285-AF285)</f>
        <v>6</v>
      </c>
      <c r="AZ285" s="3">
        <f>IF(ISERROR(AJ285-AI285),"-",AJ285-AI285)</f>
        <v>1</v>
      </c>
      <c r="BA285" s="3">
        <f>IF(ISERROR(LEN(VLOOKUP(A285,Seqs!A:E,2,FALSE))-AL285),"-",LEN(VLOOKUP(A285,Seqs!A:E,2,FALSE))-AL285)</f>
        <v>49</v>
      </c>
      <c r="BB285" s="16">
        <f>J285-D285</f>
        <v>28</v>
      </c>
      <c r="BC285" s="9" t="str">
        <f>IF(ISERROR(V285-S285),"-",V285-S285)</f>
        <v>-</v>
      </c>
      <c r="BD285" s="3">
        <f>J285-D285</f>
        <v>28</v>
      </c>
      <c r="BE285" s="3">
        <f>AE285-AB285</f>
        <v>55</v>
      </c>
    </row>
    <row r="286" spans="1:58" s="3" customFormat="1" x14ac:dyDescent="0.2">
      <c r="A286" s="3" t="s">
        <v>326</v>
      </c>
      <c r="B286" s="3" t="str">
        <f>LOWER(VLOOKUP(A286,Xtal_Templ!A:B,2,FALSE))</f>
        <v>ox1r_human</v>
      </c>
      <c r="C286" s="3">
        <f>VLOOKUP($A286,'SegEnds_NonXtal_BW#'!$A:$Z,3,FALSE)+D286-50</f>
        <v>50</v>
      </c>
      <c r="D286" s="3">
        <v>68</v>
      </c>
      <c r="E286" s="3">
        <f>IF(ISERROR(VLOOKUP($A286,'SegEnds_NonXtal_BW#'!$A:$Z,4,FALSE)+VLOOKUP($A286,A:AL,4,FALSE)-50),"-",(VLOOKUP($A286,'SegEnds_NonXtal_BW#'!$A:$Z,4,FALSE)+VLOOKUP($A286,A:AL,4,FALSE)-50))</f>
        <v>78</v>
      </c>
      <c r="F286" s="3">
        <f>G286-2</f>
        <v>79</v>
      </c>
      <c r="G286" s="3">
        <v>81</v>
      </c>
      <c r="H286" s="3">
        <f>G286+1</f>
        <v>82</v>
      </c>
      <c r="I286" s="3">
        <f>H286+1</f>
        <v>83</v>
      </c>
      <c r="J286" s="3">
        <v>96</v>
      </c>
      <c r="K286" s="3">
        <f>VLOOKUP($A286,'SegEnds_NonXtal_BW#'!$A:$Z,8,FALSE)+VLOOKUP($A286,A:AL,10,FALSE)-50</f>
        <v>113</v>
      </c>
      <c r="L286" s="3">
        <f>M286-1</f>
        <v>115</v>
      </c>
      <c r="M286" s="3">
        <v>116</v>
      </c>
      <c r="N286" s="3">
        <f>M286+2</f>
        <v>118</v>
      </c>
      <c r="O286" s="3">
        <f>N286+1</f>
        <v>119</v>
      </c>
      <c r="P286" s="3">
        <v>148</v>
      </c>
      <c r="Q286" s="3">
        <f>VLOOKUP($A286,'SegEnds_NonXtal_BW#'!$A:$Z,12,FALSE)+VLOOKUP($A286,A:AL,16,FALSE)-50</f>
        <v>154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3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161</v>
      </c>
      <c r="V286" s="3">
        <v>173</v>
      </c>
      <c r="W286" s="3">
        <f>IF(ISERROR(VLOOKUP($A286,'SegEnds_NonXtal_BW#'!$A:$Z,16,FALSE)+VLOOKUP($A286,A:AL,22,FALSE)-50),"-",(VLOOKUP($A286,'SegEnds_NonXtal_BW#'!$A:$Z,16,FALSE)+VLOOKUP($A286,A:AL,22,FALSE)-50))</f>
        <v>187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>Y286+2</f>
        <v>205</v>
      </c>
      <c r="AA286" s="3">
        <f>IF(ISERROR(VLOOKUP($A286,'SegEnds_NonXtal_BW#'!$A:$Z,19,FALSE)+VLOOKUP($A286,A:AL,28,FALSE)-50),"-",(VLOOKUP($A286,'SegEnds_NonXtal_BW#'!$A:$Z,19,FALSE)+VLOOKUP($A286,A:AL,28,FALSE)-50))</f>
        <v>213</v>
      </c>
      <c r="AB286" s="3">
        <v>231</v>
      </c>
      <c r="AC286" s="3">
        <f>IF(ISERROR((VLOOKUP($A286,'SegEnds_NonXtal_BW#'!$A:$Z,20,FALSE)+VLOOKUP($A286,A:AL,28,FALSE)-50)),"-",(VLOOKUP($A286,'SegEnds_NonXtal_BW#'!$A:$Z,20,FALSE)+VLOOKUP($A286,A:AL,28,FALSE)-50))</f>
        <v>253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283</v>
      </c>
      <c r="AF286" s="3">
        <f>IF(ISERROR((VLOOKUP($A286,'SegEnds_NonXtal_BW#'!$A:$Z,22,FALSE)+VLOOKUP($A286,A:AL,31,FALSE)-50)),"-",(VLOOKUP($A286,'SegEnds_NonXtal_BW#'!$A:$Z,22,FALSE)+VLOOKUP($A286,A:AL,31,FALSE)-50))</f>
        <v>294</v>
      </c>
      <c r="AG286" s="3">
        <f>IF(ISERROR(VLOOKUP($A286,'SegEnds_NonXtal_BW#'!$A:$Z,23,FALSE)+VLOOKUP($A286,A:AL,34,FALSE)-50),"-",(VLOOKUP($A286,'SegEnds_NonXtal_BW#'!$A:$Z,23,FALSE)+VLOOKUP($A286,A:AL,34,FALSE)-50))</f>
        <v>300</v>
      </c>
      <c r="AH286" s="3">
        <v>322</v>
      </c>
      <c r="AI286" s="3">
        <f>IF(ISERROR((VLOOKUP($A286,'SegEnds_NonXtal_BW#'!$A:$Z,24,FALSE)+VLOOKUP($A286,A:AL,34,FALSE)-50)),"-",(VLOOKUP($A286,'SegEnds_NonXtal_BW#'!$A:$Z,24,FALSE)+VLOOKUP($A286,A:AL,34,FALSE)-50))</f>
        <v>328</v>
      </c>
      <c r="AJ286" s="3">
        <f>IF(ISERROR(VLOOKUP($A286,'SegEnds_NonXtal_BW#'!$A:$Z,25,FALSE)+VLOOKUP($A286,A:AL,37,FALSE)-50),"-",(VLOOKUP($A286,'SegEnds_NonXtal_BW#'!$A:$Z,25,FALSE)+VLOOKUP($A286,A:AL,37,FALSE)-50))</f>
        <v>329</v>
      </c>
      <c r="AK286" s="3">
        <v>332</v>
      </c>
      <c r="AL286" s="3">
        <f>IF(ISERROR((VLOOKUP($A286,'SegEnds_NonXtal_BW#'!$A:$Z,26,FALSE)+VLOOKUP($A286,A:AL,37,FALSE)-50)),"-",(VLOOKUP($A286,'SegEnds_NonXtal_BW#'!$A:$Z,26,FALSE)+VLOOKUP($A286,A:AL,37,FALSE)-50))</f>
        <v>340</v>
      </c>
      <c r="AM286" s="28" t="str">
        <f>VLOOKUP(A286,Classification!A:B,2,FALSE)</f>
        <v>A</v>
      </c>
      <c r="AN286" s="28" t="b">
        <f>AND(IF(Y286="-",IF(AA286-W286&gt;3,TRUE,FALSE),TRUE),IF(M286="-",IF(O286-K286&gt;3,TRUE,FALSE),TRUE),C286&lt;E286,OR(E286&lt;F286,F286="-"),OR(F286&lt;H286,F286="-"),OR(H286&lt;I286,H286="-"),I286&lt;K286,OR(K286&lt;L286,L286="-"),OR(L286&lt;N286,L286="-"),OR(N286&lt;O286,N286="-"),O286&lt;Q286,OR(Q286&lt;R286,R286="-"),OR(R286&lt;T286,R286="-"),OR(T286&lt;U286,T286="-"),U286&lt;W286,OR(W286&lt;X286,X286="-"),OR(X286&lt;Z286,X286="-"),OR(Z286&lt;AA286,Z286="-"),AA286&lt;AC286,AC286&lt;AD286,AD286&lt;AF286,AF286&lt;AG286,AG286&lt;AI286,OR(AI286&lt;AJ286,AJ286="-"),OR(AJ286&lt;AL286,AJ286="-"))</f>
        <v>1</v>
      </c>
      <c r="AO286" s="3" t="str">
        <f>IF(ISERROR(MATCH(A286,'SegEnds_Xtal_Prot#'!B:B, 0)), "NoXtal", "Xtal")</f>
        <v>NoXtal</v>
      </c>
      <c r="AP286" s="3">
        <f>IF(ISERROR(F286-E286),"-",F286-E286)</f>
        <v>1</v>
      </c>
      <c r="AQ286" s="3">
        <f>IF(ISERROR(I286-H286),"-",I286-H286)</f>
        <v>1</v>
      </c>
      <c r="AR286" s="3">
        <f>IF(ISERROR(L286-K286),"-",L286-K286)</f>
        <v>2</v>
      </c>
      <c r="AS286" s="3">
        <f>IF(ISERROR(O286-N286),"-",O286-N286)</f>
        <v>1</v>
      </c>
      <c r="AT286" s="3" t="str">
        <f>IF(ISERROR(R286-Q286),"-",R286-Q286)</f>
        <v>-</v>
      </c>
      <c r="AU286" s="3" t="str">
        <f>IF(ISERROR(U286-T286),"-",U286-T286)</f>
        <v>-</v>
      </c>
      <c r="AV286" s="3">
        <f>IF(ISERROR(X286-W286),"-",X286-W286)</f>
        <v>16</v>
      </c>
      <c r="AW286" s="3">
        <f>IF(ISERROR(AA286-Z286),"-",AA286-Z286)</f>
        <v>8</v>
      </c>
      <c r="AX286" s="3">
        <f>IF(ISERROR(AD286-AC286),"-",AD286-AC286)</f>
        <v>4</v>
      </c>
      <c r="AY286" s="3">
        <f>IF(ISERROR(AG286-AF286),"-",AG286-AF286)</f>
        <v>6</v>
      </c>
      <c r="AZ286" s="3">
        <f>IF(ISERROR(AJ286-AI286),"-",AJ286-AI286)</f>
        <v>1</v>
      </c>
      <c r="BA286" s="3">
        <f>IF(ISERROR(LEN(VLOOKUP(A286,Seqs!A:E,2,FALSE))-AL286),"-",LEN(VLOOKUP(A286,Seqs!A:E,2,FALSE))-AL286)</f>
        <v>41</v>
      </c>
      <c r="BB286" s="16">
        <f>J286-D286</f>
        <v>28</v>
      </c>
      <c r="BC286" s="9" t="str">
        <f>IF(ISERROR(V286-S286),"-",V286-S286)</f>
        <v>-</v>
      </c>
      <c r="BD286" s="3">
        <f>J286-D286</f>
        <v>28</v>
      </c>
      <c r="BE286" s="3">
        <f>AE286-AB286</f>
        <v>52</v>
      </c>
    </row>
    <row r="287" spans="1:58" s="3" customFormat="1" x14ac:dyDescent="0.2">
      <c r="A287" s="3" t="s">
        <v>327</v>
      </c>
      <c r="B287" s="3" t="str">
        <f>LOWER(VLOOKUP(A287,Xtal_Templ!A:B,2,FALSE))</f>
        <v>ox2r_human</v>
      </c>
      <c r="C287" s="3">
        <f>VLOOKUP($A287,'SegEnds_NonXtal_BW#'!$A:$Z,3,FALSE)+D287-50</f>
        <v>40</v>
      </c>
      <c r="D287" s="3">
        <v>59</v>
      </c>
      <c r="E287" s="3">
        <f>IF(ISERROR(VLOOKUP($A287,'SegEnds_NonXtal_BW#'!$A:$Z,4,FALSE)+VLOOKUP($A287,A:AL,4,FALSE)-50),"-",(VLOOKUP($A287,'SegEnds_NonXtal_BW#'!$A:$Z,4,FALSE)+VLOOKUP($A287,A:AL,4,FALSE)-50))</f>
        <v>69</v>
      </c>
      <c r="F287" s="3">
        <f>G287-2</f>
        <v>70</v>
      </c>
      <c r="G287" s="3">
        <v>72</v>
      </c>
      <c r="H287" s="3">
        <f>G287+1</f>
        <v>73</v>
      </c>
      <c r="I287" s="3">
        <f>H287+1</f>
        <v>74</v>
      </c>
      <c r="J287" s="3">
        <v>87</v>
      </c>
      <c r="K287" s="3">
        <f>VLOOKUP($A287,'SegEnds_NonXtal_BW#'!$A:$Z,8,FALSE)+VLOOKUP($A287,A:AL,10,FALSE)-50</f>
        <v>104</v>
      </c>
      <c r="L287" s="3">
        <f>M287-1</f>
        <v>106</v>
      </c>
      <c r="M287" s="3">
        <v>107</v>
      </c>
      <c r="N287" s="3">
        <f>M287+2</f>
        <v>109</v>
      </c>
      <c r="O287" s="3">
        <f>N287+1</f>
        <v>110</v>
      </c>
      <c r="P287" s="3">
        <v>139</v>
      </c>
      <c r="Q287" s="3">
        <f>VLOOKUP($A287,'SegEnds_NonXtal_BW#'!$A:$Z,12,FALSE)+VLOOKUP($A287,A:AL,16,FALSE)-50</f>
        <v>145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152</v>
      </c>
      <c r="V287" s="3">
        <v>164</v>
      </c>
      <c r="W287" s="3">
        <f>IF(ISERROR(VLOOKUP($A287,'SegEnds_NonXtal_BW#'!$A:$Z,16,FALSE)+VLOOKUP($A287,A:AL,22,FALSE)-50),"-",(VLOOKUP($A287,'SegEnds_NonXtal_BW#'!$A:$Z,16,FALSE)+VLOOKUP($A287,A:AL,22,FALSE)-50))</f>
        <v>178</v>
      </c>
      <c r="X287" s="3">
        <f>IF(ISERROR(VLOOKUP($A287,'SegEnds_NonXtal_BW#'!$A:$Z,17,FALSE)+VLOOKUP($A287,A:AL,25,FALSE)-50),"-",(VLOOKUP($A287,'SegEnds_NonXtal_BW#'!$A:$Z,17,FALSE)+VLOOKUP($A287,A:AL,25,FALSE)-50))</f>
        <v>201</v>
      </c>
      <c r="Y287" s="3">
        <v>201</v>
      </c>
      <c r="Z287" s="3">
        <f>Y287+2</f>
        <v>203</v>
      </c>
      <c r="AA287" s="3">
        <f>IF(ISERROR(VLOOKUP($A287,'SegEnds_NonXtal_BW#'!$A:$Z,19,FALSE)+VLOOKUP($A287,A:AL,28,FALSE)-50),"-",(VLOOKUP($A287,'SegEnds_NonXtal_BW#'!$A:$Z,19,FALSE)+VLOOKUP($A287,A:AL,28,FALSE)-50))</f>
        <v>208</v>
      </c>
      <c r="AB287" s="3">
        <v>226</v>
      </c>
      <c r="AC287" s="3">
        <f>IF(ISERROR((VLOOKUP($A287,'SegEnds_NonXtal_BW#'!$A:$Z,20,FALSE)+VLOOKUP($A287,A:AL,28,FALSE)-50)),"-",(VLOOKUP($A287,'SegEnds_NonXtal_BW#'!$A:$Z,20,FALSE)+VLOOKUP($A287,A:AL,28,FALSE)-50))</f>
        <v>248</v>
      </c>
      <c r="AD287" s="3">
        <f>IF(ISERROR(VLOOKUP($A287,'SegEnds_NonXtal_BW#'!$A:$Z,21,FALSE)+VLOOKUP($A287,A:AL,31,FALSE)-50),"-",(VLOOKUP($A287,'SegEnds_NonXtal_BW#'!$A:$Z,21,FALSE)+VLOOKUP($A287,A:AL,31,FALSE)-50))</f>
        <v>254</v>
      </c>
      <c r="AE287" s="3">
        <v>280</v>
      </c>
      <c r="AF287" s="3">
        <f>IF(ISERROR((VLOOKUP($A287,'SegEnds_NonXtal_BW#'!$A:$Z,22,FALSE)+VLOOKUP($A287,A:AL,31,FALSE)-50)),"-",(VLOOKUP($A287,'SegEnds_NonXtal_BW#'!$A:$Z,22,FALSE)+VLOOKUP($A287,A:AL,31,FALSE)-50))</f>
        <v>291</v>
      </c>
      <c r="AG287" s="3">
        <f>IF(ISERROR(VLOOKUP($A287,'SegEnds_NonXtal_BW#'!$A:$Z,23,FALSE)+VLOOKUP($A287,A:AL,34,FALSE)-50),"-",(VLOOKUP($A287,'SegEnds_NonXtal_BW#'!$A:$Z,23,FALSE)+VLOOKUP($A287,A:AL,34,FALSE)-50))</f>
        <v>297</v>
      </c>
      <c r="AH287" s="3">
        <v>319</v>
      </c>
      <c r="AI287" s="3">
        <f>IF(ISERROR((VLOOKUP($A287,'SegEnds_NonXtal_BW#'!$A:$Z,24,FALSE)+VLOOKUP($A287,A:AL,34,FALSE)-50)),"-",(VLOOKUP($A287,'SegEnds_NonXtal_BW#'!$A:$Z,24,FALSE)+VLOOKUP($A287,A:AL,34,FALSE)-50))</f>
        <v>325</v>
      </c>
      <c r="AJ287" s="3">
        <f>IF(ISERROR(VLOOKUP($A287,'SegEnds_NonXtal_BW#'!$A:$Z,25,FALSE)+VLOOKUP($A287,A:AL,37,FALSE)-50),"-",(VLOOKUP($A287,'SegEnds_NonXtal_BW#'!$A:$Z,25,FALSE)+VLOOKUP($A287,A:AL,37,FALSE)-50))</f>
        <v>326</v>
      </c>
      <c r="AK287" s="3">
        <v>329</v>
      </c>
      <c r="AL287" s="3">
        <f>IF(ISERROR((VLOOKUP($A287,'SegEnds_NonXtal_BW#'!$A:$Z,26,FALSE)+VLOOKUP($A287,A:AL,37,FALSE)-50)),"-",(VLOOKUP($A287,'SegEnds_NonXtal_BW#'!$A:$Z,26,FALSE)+VLOOKUP($A287,A:AL,37,FALSE)-50))</f>
        <v>337</v>
      </c>
      <c r="AM287" s="28" t="str">
        <f>VLOOKUP(A287,Classification!A:B,2,FALSE)</f>
        <v>A</v>
      </c>
      <c r="AN287" s="28" t="b">
        <f>AND(IF(Y287="-",IF(AA287-W287&gt;3,TRUE,FALSE),TRUE),IF(M287="-",IF(O287-K287&gt;3,TRUE,FALSE),TRUE),C287&lt;E287,OR(E287&lt;F287,F287="-"),OR(F287&lt;H287,F287="-"),OR(H287&lt;I287,H287="-"),I287&lt;K287,OR(K287&lt;L287,L287="-"),OR(L287&lt;N287,L287="-"),OR(N287&lt;O287,N287="-"),O287&lt;Q287,OR(Q287&lt;R287,R287="-"),OR(R287&lt;T287,R287="-"),OR(T287&lt;U287,T287="-"),U287&lt;W287,OR(W287&lt;X287,X287="-"),OR(X287&lt;Z287,X287="-"),OR(Z287&lt;AA287,Z287="-"),AA287&lt;AC287,AC287&lt;AD287,AD287&lt;AF287,AF287&lt;AG287,AG287&lt;AI287,OR(AI287&lt;AJ287,AJ287="-"),OR(AJ287&lt;AL287,AJ287="-"))</f>
        <v>1</v>
      </c>
      <c r="AO287" s="3" t="str">
        <f>IF(ISERROR(MATCH(A287,'SegEnds_Xtal_Prot#'!B:B, 0)), "NoXtal", "Xtal")</f>
        <v>NoXtal</v>
      </c>
      <c r="AP287" s="3">
        <f>IF(ISERROR(F287-E287),"-",F287-E287)</f>
        <v>1</v>
      </c>
      <c r="AQ287" s="3">
        <f>IF(ISERROR(I287-H287),"-",I287-H287)</f>
        <v>1</v>
      </c>
      <c r="AR287" s="3">
        <f>IF(ISERROR(L287-K287),"-",L287-K287)</f>
        <v>2</v>
      </c>
      <c r="AS287" s="3">
        <f>IF(ISERROR(O287-N287),"-",O287-N287)</f>
        <v>1</v>
      </c>
      <c r="AT287" s="3" t="str">
        <f>IF(ISERROR(R287-Q287),"-",R287-Q287)</f>
        <v>-</v>
      </c>
      <c r="AU287" s="3" t="str">
        <f>IF(ISERROR(U287-T287),"-",U287-T287)</f>
        <v>-</v>
      </c>
      <c r="AV287" s="3">
        <f>IF(ISERROR(X287-W287),"-",X287-W287)</f>
        <v>23</v>
      </c>
      <c r="AW287" s="3">
        <f>IF(ISERROR(AA287-Z287),"-",AA287-Z287)</f>
        <v>5</v>
      </c>
      <c r="AX287" s="3">
        <f>IF(ISERROR(AD287-AC287),"-",AD287-AC287)</f>
        <v>6</v>
      </c>
      <c r="AY287" s="3">
        <f>IF(ISERROR(AG287-AF287),"-",AG287-AF287)</f>
        <v>6</v>
      </c>
      <c r="AZ287" s="3">
        <f>IF(ISERROR(AJ287-AI287),"-",AJ287-AI287)</f>
        <v>1</v>
      </c>
      <c r="BA287" s="3">
        <f>IF(ISERROR(LEN(VLOOKUP(A287,Seqs!A:E,2,FALSE))-AL287),"-",LEN(VLOOKUP(A287,Seqs!A:E,2,FALSE))-AL287)</f>
        <v>38</v>
      </c>
      <c r="BB287" s="16">
        <f>J287-D287</f>
        <v>28</v>
      </c>
      <c r="BC287" s="9" t="str">
        <f>IF(ISERROR(V287-S287),"-",V287-S287)</f>
        <v>-</v>
      </c>
      <c r="BD287" s="3">
        <f>J287-D287</f>
        <v>28</v>
      </c>
      <c r="BE287" s="3">
        <f>AE287-AB287</f>
        <v>54</v>
      </c>
    </row>
    <row r="288" spans="1:58" s="3" customFormat="1" x14ac:dyDescent="0.2">
      <c r="A288" s="3" t="s">
        <v>328</v>
      </c>
      <c r="B288" s="3" t="str">
        <f>LOWER(VLOOKUP(A288,Xtal_Templ!A:B,2,FALSE))</f>
        <v>ox2r_human</v>
      </c>
      <c r="C288" s="3">
        <f>VLOOKUP($A288,'SegEnds_NonXtal_BW#'!$A:$Z,3,FALSE)+D288-50</f>
        <v>40</v>
      </c>
      <c r="D288" s="3">
        <v>59</v>
      </c>
      <c r="E288" s="3">
        <f>IF(ISERROR(VLOOKUP($A288,'SegEnds_NonXtal_BW#'!$A:$Z,4,FALSE)+VLOOKUP($A288,A:AL,4,FALSE)-50),"-",(VLOOKUP($A288,'SegEnds_NonXtal_BW#'!$A:$Z,4,FALSE)+VLOOKUP($A288,A:AL,4,FALSE)-50))</f>
        <v>69</v>
      </c>
      <c r="F288" s="3">
        <f>G288-2</f>
        <v>70</v>
      </c>
      <c r="G288" s="3">
        <v>72</v>
      </c>
      <c r="H288" s="3">
        <f>G288+1</f>
        <v>73</v>
      </c>
      <c r="I288" s="3">
        <f>H288+1</f>
        <v>74</v>
      </c>
      <c r="J288" s="3">
        <v>87</v>
      </c>
      <c r="K288" s="3">
        <f>VLOOKUP($A288,'SegEnds_NonXtal_BW#'!$A:$Z,8,FALSE)+VLOOKUP($A288,A:AL,10,FALSE)-50</f>
        <v>104</v>
      </c>
      <c r="L288" s="3">
        <f>M288-1</f>
        <v>106</v>
      </c>
      <c r="M288" s="3">
        <v>107</v>
      </c>
      <c r="N288" s="3">
        <f>M288+2</f>
        <v>109</v>
      </c>
      <c r="O288" s="3">
        <f>N288+1</f>
        <v>110</v>
      </c>
      <c r="P288" s="3">
        <v>139</v>
      </c>
      <c r="Q288" s="3">
        <f>VLOOKUP($A288,'SegEnds_NonXtal_BW#'!$A:$Z,12,FALSE)+VLOOKUP($A288,A:AL,16,FALSE)-50</f>
        <v>145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152</v>
      </c>
      <c r="V288" s="3">
        <v>164</v>
      </c>
      <c r="W288" s="3">
        <f>IF(ISERROR(VLOOKUP($A288,'SegEnds_NonXtal_BW#'!$A:$Z,16,FALSE)+VLOOKUP($A288,A:AL,22,FALSE)-50),"-",(VLOOKUP($A288,'SegEnds_NonXtal_BW#'!$A:$Z,16,FALSE)+VLOOKUP($A288,A:AL,22,FALSE)-50))</f>
        <v>178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>Y288+2</f>
        <v>200</v>
      </c>
      <c r="AA288" s="3">
        <f>IF(ISERROR(VLOOKUP($A288,'SegEnds_NonXtal_BW#'!$A:$Z,19,FALSE)+VLOOKUP($A288,A:AL,28,FALSE)-50),"-",(VLOOKUP($A288,'SegEnds_NonXtal_BW#'!$A:$Z,19,FALSE)+VLOOKUP($A288,A:AL,28,FALSE)-50))</f>
        <v>205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249</v>
      </c>
      <c r="AD288" s="3">
        <f>IF(ISERROR(VLOOKUP($A288,'SegEnds_NonXtal_BW#'!$A:$Z,21,FALSE)+VLOOKUP($A288,A:AL,31,FALSE)-50),"-",(VLOOKUP($A288,'SegEnds_NonXtal_BW#'!$A:$Z,21,FALSE)+VLOOKUP($A288,A:AL,31,FALSE)-50))</f>
        <v>357</v>
      </c>
      <c r="AE288" s="3">
        <v>383</v>
      </c>
      <c r="AF288" s="3">
        <f>IF(ISERROR((VLOOKUP($A288,'SegEnds_NonXtal_BW#'!$A:$Z,22,FALSE)+VLOOKUP($A288,A:AL,31,FALSE)-50)),"-",(VLOOKUP($A288,'SegEnds_NonXtal_BW#'!$A:$Z,22,FALSE)+VLOOKUP($A288,A:AL,31,FALSE)-50))</f>
        <v>394</v>
      </c>
      <c r="AG288" s="3">
        <f>IF(ISERROR(VLOOKUP($A288,'SegEnds_NonXtal_BW#'!$A:$Z,23,FALSE)+VLOOKUP($A288,A:AL,34,FALSE)-50),"-",(VLOOKUP($A288,'SegEnds_NonXtal_BW#'!$A:$Z,23,FALSE)+VLOOKUP($A288,A:AL,34,FALSE)-50))</f>
        <v>400</v>
      </c>
      <c r="AH288" s="3">
        <v>422</v>
      </c>
      <c r="AI288" s="3">
        <f>IF(ISERROR((VLOOKUP($A288,'SegEnds_NonXtal_BW#'!$A:$Z,24,FALSE)+VLOOKUP($A288,A:AL,34,FALSE)-50)),"-",(VLOOKUP($A288,'SegEnds_NonXtal_BW#'!$A:$Z,24,FALSE)+VLOOKUP($A288,A:AL,34,FALSE)-50))</f>
        <v>428</v>
      </c>
      <c r="AJ288" s="3">
        <f>IF(ISERROR(VLOOKUP($A288,'SegEnds_NonXtal_BW#'!$A:$Z,25,FALSE)+VLOOKUP($A288,A:AL,37,FALSE)-50),"-",(VLOOKUP($A288,'SegEnds_NonXtal_BW#'!$A:$Z,25,FALSE)+VLOOKUP($A288,A:AL,37,FALSE)-50))</f>
        <v>429</v>
      </c>
      <c r="AK288" s="3">
        <v>432</v>
      </c>
      <c r="AL288" s="3">
        <f>IF(ISERROR((VLOOKUP($A288,'SegEnds_NonXtal_BW#'!$A:$Z,26,FALSE)+VLOOKUP($A288,A:AL,37,FALSE)-50)),"-",(VLOOKUP($A288,'SegEnds_NonXtal_BW#'!$A:$Z,26,FALSE)+VLOOKUP($A288,A:AL,37,FALSE)-50))</f>
        <v>440</v>
      </c>
      <c r="AM288" s="28" t="str">
        <f>VLOOKUP(A288,Classification!A:B,2,FALSE)</f>
        <v>A</v>
      </c>
      <c r="AN288" s="28" t="b">
        <f>AND(IF(Y288="-",IF(AA288-W288&gt;3,TRUE,FALSE),TRUE),IF(M288="-",IF(O288-K288&gt;3,TRUE,FALSE),TRUE),C288&lt;E288,OR(E288&lt;F288,F288="-"),OR(F288&lt;H288,F288="-"),OR(H288&lt;I288,H288="-"),I288&lt;K288,OR(K288&lt;L288,L288="-"),OR(L288&lt;N288,L288="-"),OR(N288&lt;O288,N288="-"),O288&lt;Q288,OR(Q288&lt;R288,R288="-"),OR(R288&lt;T288,R288="-"),OR(T288&lt;U288,T288="-"),U288&lt;W288,OR(W288&lt;X288,X288="-"),OR(X288&lt;Z288,X288="-"),OR(Z288&lt;AA288,Z288="-"),AA288&lt;AC288,AC288&lt;AD288,AD288&lt;AF288,AF288&lt;AG288,AG288&lt;AI288,OR(AI288&lt;AJ288,AJ288="-"),OR(AJ288&lt;AL288,AJ288="-"))</f>
        <v>1</v>
      </c>
      <c r="AO288" s="3" t="str">
        <f>IF(ISERROR(MATCH(A288,'SegEnds_Xtal_Prot#'!B:B, 0)), "NoXtal", "Xtal")</f>
        <v>NoXtal</v>
      </c>
      <c r="AP288" s="3">
        <f>IF(ISERROR(F288-E288),"-",F288-E288)</f>
        <v>1</v>
      </c>
      <c r="AQ288" s="3">
        <f>IF(ISERROR(I288-H288),"-",I288-H288)</f>
        <v>1</v>
      </c>
      <c r="AR288" s="3">
        <f>IF(ISERROR(L288-K288),"-",L288-K288)</f>
        <v>2</v>
      </c>
      <c r="AS288" s="3">
        <f>IF(ISERROR(O288-N288),"-",O288-N288)</f>
        <v>1</v>
      </c>
      <c r="AT288" s="3" t="str">
        <f>IF(ISERROR(R288-Q288),"-",R288-Q288)</f>
        <v>-</v>
      </c>
      <c r="AU288" s="3" t="str">
        <f>IF(ISERROR(U288-T288),"-",U288-T288)</f>
        <v>-</v>
      </c>
      <c r="AV288" s="3">
        <f>IF(ISERROR(X288-W288),"-",X288-W288)</f>
        <v>20</v>
      </c>
      <c r="AW288" s="3">
        <f>IF(ISERROR(AA288-Z288),"-",AA288-Z288)</f>
        <v>5</v>
      </c>
      <c r="AX288" s="3">
        <f>IF(ISERROR(AD288-AC288),"-",AD288-AC288)</f>
        <v>108</v>
      </c>
      <c r="AY288" s="3">
        <f>IF(ISERROR(AG288-AF288),"-",AG288-AF288)</f>
        <v>6</v>
      </c>
      <c r="AZ288" s="3">
        <f>IF(ISERROR(AJ288-AI288),"-",AJ288-AI288)</f>
        <v>1</v>
      </c>
      <c r="BA288" s="3">
        <f>IF(ISERROR(LEN(VLOOKUP(A288,Seqs!A:E,2,FALSE))-AL288),"-",LEN(VLOOKUP(A288,Seqs!A:E,2,FALSE))-AL288)</f>
        <v>5</v>
      </c>
      <c r="BB288" s="16">
        <f>J288-D288</f>
        <v>28</v>
      </c>
      <c r="BC288" s="9" t="str">
        <f>IF(ISERROR(V288-S288),"-",V288-S288)</f>
        <v>-</v>
      </c>
      <c r="BD288" s="3">
        <f>J288-D288</f>
        <v>28</v>
      </c>
      <c r="BE288" s="3">
        <f>AE288-AB288</f>
        <v>160</v>
      </c>
      <c r="BF288" s="3">
        <f>AH288-AE288</f>
        <v>39</v>
      </c>
    </row>
    <row r="289" spans="1:59" s="3" customFormat="1" x14ac:dyDescent="0.2">
      <c r="A289" s="3" t="s">
        <v>329</v>
      </c>
      <c r="B289" s="3" t="str">
        <f>LOWER(VLOOKUP(A289,Xtal_Templ!A:B,2,FALSE))</f>
        <v>ox2r_human</v>
      </c>
      <c r="C289" s="3">
        <f>VLOOKUP($A289,'SegEnds_NonXtal_BW#'!$A:$Z,3,FALSE)+D289-50</f>
        <v>34</v>
      </c>
      <c r="D289" s="3">
        <v>53</v>
      </c>
      <c r="E289" s="3">
        <f>IF(ISERROR(VLOOKUP($A289,'SegEnds_NonXtal_BW#'!$A:$Z,4,FALSE)+VLOOKUP($A289,A:AL,4,FALSE)-50),"-",(VLOOKUP($A289,'SegEnds_NonXtal_BW#'!$A:$Z,4,FALSE)+VLOOKUP($A289,A:AL,4,FALSE)-50))</f>
        <v>63</v>
      </c>
      <c r="F289" s="3">
        <f>G289-2</f>
        <v>65</v>
      </c>
      <c r="G289" s="3">
        <v>67</v>
      </c>
      <c r="H289" s="3">
        <f>G289+1</f>
        <v>68</v>
      </c>
      <c r="I289" s="3">
        <f>H289+1</f>
        <v>69</v>
      </c>
      <c r="J289" s="3">
        <v>82</v>
      </c>
      <c r="K289" s="3">
        <f>VLOOKUP($A289,'SegEnds_NonXtal_BW#'!$A:$Z,8,FALSE)+VLOOKUP($A289,A:AL,10,FALSE)-50</f>
        <v>99</v>
      </c>
      <c r="L289" s="3">
        <f>M289-1</f>
        <v>101</v>
      </c>
      <c r="M289" s="3">
        <v>102</v>
      </c>
      <c r="N289" s="3">
        <f>M289+2</f>
        <v>104</v>
      </c>
      <c r="O289" s="3">
        <f>N289+1</f>
        <v>105</v>
      </c>
      <c r="P289" s="3">
        <v>134</v>
      </c>
      <c r="Q289" s="3">
        <f>VLOOKUP($A289,'SegEnds_NonXtal_BW#'!$A:$Z,12,FALSE)+VLOOKUP($A289,A:AL,16,FALSE)-50</f>
        <v>140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147</v>
      </c>
      <c r="V289" s="3">
        <v>159</v>
      </c>
      <c r="W289" s="3">
        <f>IF(ISERROR(VLOOKUP($A289,'SegEnds_NonXtal_BW#'!$A:$Z,16,FALSE)+VLOOKUP($A289,A:AL,22,FALSE)-50),"-",(VLOOKUP($A289,'SegEnds_NonXtal_BW#'!$A:$Z,16,FALSE)+VLOOKUP($A289,A:AL,22,FALSE)-50))</f>
        <v>173</v>
      </c>
      <c r="X289" s="3" t="str">
        <f>IF(ISERROR(VLOOKUP($A289,'SegEnds_NonXtal_BW#'!$A:$Z,17,FALSE)+VLOOKUP($A289,A:AL,25,FALSE)-50),"-",(VLOOKUP($A289,'SegEnds_NonXtal_BW#'!$A:$Z,17,FALSE)+VLOOKUP($A289,A:AL,25,FALSE)-50))</f>
        <v>-</v>
      </c>
      <c r="Y289" s="3" t="s">
        <v>23</v>
      </c>
      <c r="Z289" s="3" t="str">
        <f>IF(ISERROR(VLOOKUP($A289,'SegEnds_NonXtal_BW#'!$A:$Z,18,FALSE)+VLOOKUP($A289,A:AL,25,FALSE)-50),"-",(VLOOKUP($A289,'SegEnds_NonXtal_BW#'!$A:$Z,18,FALSE)+VLOOKUP($A289,A:AL,25,FALSE)-50))</f>
        <v>-</v>
      </c>
      <c r="AA289" s="3">
        <f>IF(ISERROR(VLOOKUP($A289,'SegEnds_NonXtal_BW#'!$A:$Z,19,FALSE)+VLOOKUP($A289,A:AL,28,FALSE)-50),"-",(VLOOKUP($A289,'SegEnds_NonXtal_BW#'!$A:$Z,19,FALSE)+VLOOKUP($A289,A:AL,28,FALSE)-50))</f>
        <v>203</v>
      </c>
      <c r="AB289" s="3">
        <v>221</v>
      </c>
      <c r="AC289" s="3">
        <f>IF(ISERROR((VLOOKUP($A289,'SegEnds_NonXtal_BW#'!$A:$Z,20,FALSE)+VLOOKUP($A289,A:AL,28,FALSE)-50)),"-",(VLOOKUP($A289,'SegEnds_NonXtal_BW#'!$A:$Z,20,FALSE)+VLOOKUP($A289,A:AL,28,FALSE)-50))</f>
        <v>244</v>
      </c>
      <c r="AD289" s="3">
        <f>IF(ISERROR(VLOOKUP($A289,'SegEnds_NonXtal_BW#'!$A:$Z,21,FALSE)+VLOOKUP($A289,A:AL,31,FALSE)-50),"-",(VLOOKUP($A289,'SegEnds_NonXtal_BW#'!$A:$Z,21,FALSE)+VLOOKUP($A289,A:AL,31,FALSE)-50))</f>
        <v>248</v>
      </c>
      <c r="AE289" s="3">
        <v>276</v>
      </c>
      <c r="AF289" s="3">
        <f>IF(ISERROR((VLOOKUP($A289,'SegEnds_NonXtal_BW#'!$A:$Z,22,FALSE)+VLOOKUP($A289,A:AL,31,FALSE)-50)),"-",(VLOOKUP($A289,'SegEnds_NonXtal_BW#'!$A:$Z,22,FALSE)+VLOOKUP($A289,A:AL,31,FALSE)-50))</f>
        <v>287</v>
      </c>
      <c r="AG289" s="3" t="str">
        <f>IF(ISERROR(VLOOKUP($A289,'SegEnds_NonXtal_BW#'!$A:$Z,23,FALSE)+VLOOKUP($A289,A:AL,34,FALSE)-50),"-",(VLOOKUP($A289,'SegEnds_NonXtal_BW#'!$A:$Z,23,FALSE)+VLOOKUP($A289,A:AL,34,FALSE)-50))</f>
        <v>-</v>
      </c>
      <c r="AH289" s="3" t="s">
        <v>23</v>
      </c>
      <c r="AI289" s="3" t="str">
        <f>IF(ISERROR((VLOOKUP($A289,'SegEnds_NonXtal_BW#'!$A:$Z,24,FALSE)+VLOOKUP($A289,A:AL,34,FALSE)-50)),"-",(VLOOKUP($A289,'SegEnds_NonXtal_BW#'!$A:$Z,24,FALSE)+VLOOKUP($A289,A:AL,34,FALSE)-50))</f>
        <v>-</v>
      </c>
      <c r="AJ289" s="3" t="str">
        <f>IF(ISERROR(VLOOKUP($A289,'SegEnds_NonXtal_BW#'!$A:$Z,25,FALSE)+VLOOKUP($A289,A:AL,37,FALSE)-50),"-",(VLOOKUP($A289,'SegEnds_NonXtal_BW#'!$A:$Z,25,FALSE)+VLOOKUP($A289,A:AL,37,FALSE)-50))</f>
        <v>-</v>
      </c>
      <c r="AK289" s="3" t="s">
        <v>23</v>
      </c>
      <c r="AL289" s="3" t="str">
        <f>IF(ISERROR((VLOOKUP($A289,'SegEnds_NonXtal_BW#'!$A:$Z,26,FALSE)+VLOOKUP($A289,A:AL,37,FALSE)-50)),"-",(VLOOKUP($A289,'SegEnds_NonXtal_BW#'!$A:$Z,26,FALSE)+VLOOKUP($A289,A:AL,37,FALSE)-50))</f>
        <v>-</v>
      </c>
      <c r="AM289" s="28" t="str">
        <f>VLOOKUP(A289,Classification!A:B,2,FALSE)</f>
        <v>A</v>
      </c>
      <c r="AN289" s="28" t="b">
        <f>AND(IF(Y289="-",IF(AA289-W289&gt;3,TRUE,FALSE),TRUE),IF(M289="-",IF(O289-K289&gt;3,TRUE,FALSE),TRUE),C289&lt;E289,OR(E289&lt;F289,F289="-"),OR(F289&lt;H289,F289="-"),OR(H289&lt;I289,H289="-"),I289&lt;K289,OR(K289&lt;L289,L289="-"),OR(L289&lt;N289,L289="-"),OR(N289&lt;O289,N289="-"),O289&lt;Q289,OR(Q289&lt;R289,R289="-"),OR(R289&lt;T289,R289="-"),OR(T289&lt;U289,T289="-"),U289&lt;W289,OR(W289&lt;X289,X289="-"),OR(X289&lt;Z289,X289="-"),OR(Z289&lt;AA289,Z289="-"),AA289&lt;AC289,AC289&lt;AD289,AD289&lt;AF289,AF289&lt;AG289,AG289&lt;AI289,OR(AI289&lt;AJ289,AJ289="-"),OR(AJ289&lt;AL289,AJ289="-"))</f>
        <v>0</v>
      </c>
      <c r="AO289" s="3" t="str">
        <f>IF(ISERROR(MATCH(A289,'SegEnds_Xtal_Prot#'!B:B, 0)), "NoXtal", "Xtal")</f>
        <v>NoXtal</v>
      </c>
      <c r="AP289" s="3">
        <f>IF(ISERROR(F289-E289),"-",F289-E289)</f>
        <v>2</v>
      </c>
      <c r="AQ289" s="3">
        <f>IF(ISERROR(I289-H289),"-",I289-H289)</f>
        <v>1</v>
      </c>
      <c r="AR289" s="3">
        <f>IF(ISERROR(L289-K289),"-",L289-K289)</f>
        <v>2</v>
      </c>
      <c r="AS289" s="3">
        <f>IF(ISERROR(O289-N289),"-",O289-N289)</f>
        <v>1</v>
      </c>
      <c r="AT289" s="3" t="str">
        <f>IF(ISERROR(R289-Q289),"-",R289-Q289)</f>
        <v>-</v>
      </c>
      <c r="AU289" s="3" t="str">
        <f>IF(ISERROR(U289-T289),"-",U289-T289)</f>
        <v>-</v>
      </c>
      <c r="AV289" s="3" t="str">
        <f>IF(ISERROR(X289-W289),"-",X289-W289)</f>
        <v>-</v>
      </c>
      <c r="AW289" s="3" t="str">
        <f>IF(ISERROR(AA289-Z289),"-",AA289-Z289)</f>
        <v>-</v>
      </c>
      <c r="AX289" s="3">
        <f>IF(ISERROR(AD289-AC289),"-",AD289-AC289)</f>
        <v>4</v>
      </c>
      <c r="AY289" s="3" t="str">
        <f>IF(ISERROR(AG289-AF289),"-",AG289-AF289)</f>
        <v>-</v>
      </c>
      <c r="AZ289" s="3" t="str">
        <f>IF(ISERROR(AJ289-AI289),"-",AJ289-AI289)</f>
        <v>-</v>
      </c>
      <c r="BA289" s="3" t="str">
        <f>IF(ISERROR(LEN(VLOOKUP(A289,Seqs!A:E,2,FALSE))-AL289),"-",LEN(VLOOKUP(A289,Seqs!A:E,2,FALSE))-AL289)</f>
        <v>-</v>
      </c>
      <c r="BB289" s="16">
        <f>J289-D289</f>
        <v>29</v>
      </c>
      <c r="BC289" s="9" t="str">
        <f>IF(ISERROR(V289-S289),"-",V289-S289)</f>
        <v>-</v>
      </c>
      <c r="BD289" s="3">
        <f>J289-D289</f>
        <v>29</v>
      </c>
      <c r="BE289" s="3">
        <f>AE289-AB289</f>
        <v>55</v>
      </c>
      <c r="BG289" s="3" t="s">
        <v>1312</v>
      </c>
    </row>
    <row r="290" spans="1:59" s="3" customFormat="1" x14ac:dyDescent="0.2">
      <c r="A290" s="3" t="s">
        <v>332</v>
      </c>
      <c r="B290" s="3" t="str">
        <f>LOWER(VLOOKUP(A290,Xtal_Templ!A:B,2,FALSE))</f>
        <v>opsd_bovin</v>
      </c>
      <c r="C290" s="3">
        <f>VLOOKUP($A290,'SegEnds_NonXtal_BW#'!$A:$Z,3,FALSE)+D290-50</f>
        <v>38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>G290-2</f>
        <v>70</v>
      </c>
      <c r="G290" s="3">
        <v>72</v>
      </c>
      <c r="H290" s="3">
        <f>G290+1</f>
        <v>73</v>
      </c>
      <c r="I290" s="3">
        <f>H290+1</f>
        <v>74</v>
      </c>
      <c r="J290" s="3">
        <v>87</v>
      </c>
      <c r="K290" s="3">
        <f>VLOOKUP($A290,'SegEnds_NonXtal_BW#'!$A:$Z,8,FALSE)+VLOOKUP($A290,A:AL,10,FALSE)-50</f>
        <v>104</v>
      </c>
      <c r="L290" s="3">
        <f>M290-1</f>
        <v>106</v>
      </c>
      <c r="M290" s="3">
        <v>107</v>
      </c>
      <c r="N290" s="3">
        <f>M290+2</f>
        <v>109</v>
      </c>
      <c r="O290" s="3">
        <f>N290+1</f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150</v>
      </c>
      <c r="V290" s="3">
        <v>162</v>
      </c>
      <c r="W290" s="3">
        <f>IF(ISERROR(VLOOKUP($A290,'SegEnds_NonXtal_BW#'!$A:$Z,16,FALSE)+VLOOKUP($A290,A:AL,22,FALSE)-50),"-",(VLOOKUP($A290,'SegEnds_NonXtal_BW#'!$A:$Z,16,FALSE)+VLOOKUP($A290,A:AL,22,FALSE)-50))</f>
        <v>174</v>
      </c>
      <c r="X290" s="3">
        <f>IF(ISERROR(VLOOKUP($A290,'SegEnds_NonXtal_BW#'!$A:$Z,17,FALSE)+VLOOKUP($A290,A:AL,25,FALSE)-50),"-",(VLOOKUP($A290,'SegEnds_NonXtal_BW#'!$A:$Z,17,FALSE)+VLOOKUP($A290,A:AL,25,FALSE)-50))</f>
        <v>188</v>
      </c>
      <c r="Y290" s="3">
        <v>188</v>
      </c>
      <c r="Z290" s="3">
        <f>Y290+2</f>
        <v>190</v>
      </c>
      <c r="AA290" s="3">
        <f>IF(ISERROR(VLOOKUP($A290,'SegEnds_NonXtal_BW#'!$A:$Z,19,FALSE)+VLOOKUP($A290,A:AL,28,FALSE)-50),"-",(VLOOKUP($A290,'SegEnds_NonXtal_BW#'!$A:$Z,19,FALSE)+VLOOKUP($A290,A:AL,28,FALSE)-50))</f>
        <v>198</v>
      </c>
      <c r="AB290" s="3">
        <v>214</v>
      </c>
      <c r="AC290" s="3">
        <f>IF(ISERROR((VLOOKUP($A290,'SegEnds_NonXtal_BW#'!$A:$Z,20,FALSE)+VLOOKUP($A290,A:AL,28,FALSE)-50)),"-",(VLOOKUP($A290,'SegEnds_NonXtal_BW#'!$A:$Z,20,FALSE)+VLOOKUP($A290,A:AL,28,FALSE)-50))</f>
        <v>237</v>
      </c>
      <c r="AD290" s="3">
        <f>IF(ISERROR(VLOOKUP($A290,'SegEnds_NonXtal_BW#'!$A:$Z,21,FALSE)+VLOOKUP($A290,A:AL,31,FALSE)-50),"-",(VLOOKUP($A290,'SegEnds_NonXtal_BW#'!$A:$Z,21,FALSE)+VLOOKUP($A290,A:AL,31,FALSE)-50))</f>
        <v>242</v>
      </c>
      <c r="AE290" s="3">
        <v>270</v>
      </c>
      <c r="AF290" s="3">
        <f>IF(ISERROR((VLOOKUP($A290,'SegEnds_NonXtal_BW#'!$A:$Z,22,FALSE)+VLOOKUP($A290,A:AL,31,FALSE)-50)),"-",(VLOOKUP($A290,'SegEnds_NonXtal_BW#'!$A:$Z,22,FALSE)+VLOOKUP($A290,A:AL,31,FALSE)-50))</f>
        <v>281</v>
      </c>
      <c r="AG290" s="3">
        <f>IF(ISERROR(VLOOKUP($A290,'SegEnds_NonXtal_BW#'!$A:$Z,23,FALSE)+VLOOKUP($A290,A:AL,34,FALSE)-50),"-",(VLOOKUP($A290,'SegEnds_NonXtal_BW#'!$A:$Z,23,FALSE)+VLOOKUP($A290,A:AL,34,FALSE)-50))</f>
        <v>287</v>
      </c>
      <c r="AH290" s="3">
        <v>306</v>
      </c>
      <c r="AI290" s="3">
        <f>IF(ISERROR((VLOOKUP($A290,'SegEnds_NonXtal_BW#'!$A:$Z,24,FALSE)+VLOOKUP($A290,A:AL,34,FALSE)-50)),"-",(VLOOKUP($A290,'SegEnds_NonXtal_BW#'!$A:$Z,24,FALSE)+VLOOKUP($A290,A:AL,34,FALSE)-50))</f>
        <v>312</v>
      </c>
      <c r="AJ290" s="3">
        <f>IF(ISERROR(VLOOKUP($A290,'SegEnds_NonXtal_BW#'!$A:$Z,25,FALSE)+VLOOKUP($A290,A:AL,37,FALSE)-50),"-",(VLOOKUP($A290,'SegEnds_NonXtal_BW#'!$A:$Z,25,FALSE)+VLOOKUP($A290,A:AL,37,FALSE)-50))</f>
        <v>313</v>
      </c>
      <c r="AK290" s="3">
        <v>316</v>
      </c>
      <c r="AL290" s="3">
        <f>IF(ISERROR((VLOOKUP($A290,'SegEnds_NonXtal_BW#'!$A:$Z,26,FALSE)+VLOOKUP($A290,A:AL,37,FALSE)-50)),"-",(VLOOKUP($A290,'SegEnds_NonXtal_BW#'!$A:$Z,26,FALSE)+VLOOKUP($A290,A:AL,37,FALSE)-50))</f>
        <v>325</v>
      </c>
      <c r="AM290" s="28" t="str">
        <f>VLOOKUP(A290,Classification!A:B,2,FALSE)</f>
        <v>A</v>
      </c>
      <c r="AN290" s="28" t="b">
        <f>AND(IF(Y290="-",IF(AA290-W290&gt;3,TRUE,FALSE),TRUE),IF(M290="-",IF(O290-K290&gt;3,TRUE,FALSE),TRUE),C290&lt;E290,OR(E290&lt;F290,F290="-"),OR(F290&lt;H290,F290="-"),OR(H290&lt;I290,H290="-"),I290&lt;K290,OR(K290&lt;L290,L290="-"),OR(L290&lt;N290,L290="-"),OR(N290&lt;O290,N290="-"),O290&lt;Q290,OR(Q290&lt;R290,R290="-"),OR(R290&lt;T290,R290="-"),OR(T290&lt;U290,T290="-"),U290&lt;W290,OR(W290&lt;X290,X290="-"),OR(X290&lt;Z290,X290="-"),OR(Z290&lt;AA290,Z290="-"),AA290&lt;AC290,AC290&lt;AD290,AD290&lt;AF290,AF290&lt;AG290,AG290&lt;AI290,OR(AI290&lt;AJ290,AJ290="-"),OR(AJ290&lt;AL290,AJ290="-"))</f>
        <v>1</v>
      </c>
      <c r="AO290" s="3" t="str">
        <f>IF(ISERROR(MATCH(A290,'SegEnds_Xtal_Prot#'!B:B, 0)), "NoXtal", "Xtal")</f>
        <v>NoXtal</v>
      </c>
      <c r="AP290" s="3">
        <f>IF(ISERROR(F290-E290),"-",F290-E290)</f>
        <v>1</v>
      </c>
      <c r="AQ290" s="3">
        <f>IF(ISERROR(I290-H290),"-",I290-H290)</f>
        <v>1</v>
      </c>
      <c r="AR290" s="3">
        <f>IF(ISERROR(L290-K290),"-",L290-K290)</f>
        <v>2</v>
      </c>
      <c r="AS290" s="3">
        <f>IF(ISERROR(O290-N290),"-",O290-N290)</f>
        <v>1</v>
      </c>
      <c r="AT290" s="3" t="str">
        <f>IF(ISERROR(R290-Q290),"-",R290-Q290)</f>
        <v>-</v>
      </c>
      <c r="AU290" s="3" t="str">
        <f>IF(ISERROR(U290-T290),"-",U290-T290)</f>
        <v>-</v>
      </c>
      <c r="AV290" s="3">
        <f>IF(ISERROR(X290-W290),"-",X290-W290)</f>
        <v>14</v>
      </c>
      <c r="AW290" s="3">
        <f>IF(ISERROR(AA290-Z290),"-",AA290-Z290)</f>
        <v>8</v>
      </c>
      <c r="AX290" s="3">
        <f>IF(ISERROR(AD290-AC290),"-",AD290-AC290)</f>
        <v>5</v>
      </c>
      <c r="AY290" s="3">
        <f>IF(ISERROR(AG290-AF290),"-",AG290-AF290)</f>
        <v>6</v>
      </c>
      <c r="AZ290" s="3">
        <f>IF(ISERROR(AJ290-AI290),"-",AJ290-AI290)</f>
        <v>1</v>
      </c>
      <c r="BA290" s="3">
        <f>IF(ISERROR(LEN(VLOOKUP(A290,Seqs!A:E,2,FALSE))-AL290),"-",LEN(VLOOKUP(A290,Seqs!A:E,2,FALSE))-AL290)</f>
        <v>77</v>
      </c>
      <c r="BB290" s="16">
        <f>J290-D290</f>
        <v>28</v>
      </c>
      <c r="BC290" s="9" t="str">
        <f>IF(ISERROR(V290-S290),"-",V290-S290)</f>
        <v>-</v>
      </c>
      <c r="BD290" s="3">
        <f>J290-D290</f>
        <v>28</v>
      </c>
      <c r="BE290" s="3">
        <f>AE290-AB290</f>
        <v>56</v>
      </c>
    </row>
    <row r="291" spans="1:59" s="3" customFormat="1" x14ac:dyDescent="0.2">
      <c r="A291" s="3" t="s">
        <v>344</v>
      </c>
      <c r="B291" s="3" t="str">
        <f>LOWER(VLOOKUP(A291,Xtal_Templ!A:B,2,FALSE))</f>
        <v>ox1r_human</v>
      </c>
      <c r="C291" s="3">
        <f>VLOOKUP($A291,'SegEnds_NonXtal_BW#'!$A:$Z,3,FALSE)+D291-50</f>
        <v>39</v>
      </c>
      <c r="D291" s="3">
        <v>57</v>
      </c>
      <c r="E291" s="3">
        <f>IF(ISERROR(VLOOKUP($A291,'SegEnds_NonXtal_BW#'!$A:$Z,4,FALSE)+VLOOKUP($A291,A:AL,4,FALSE)-50),"-",(VLOOKUP($A291,'SegEnds_NonXtal_BW#'!$A:$Z,4,FALSE)+VLOOKUP($A291,A:AL,4,FALSE)-50))</f>
        <v>67</v>
      </c>
      <c r="F291" s="3">
        <f>G291-2</f>
        <v>68</v>
      </c>
      <c r="G291" s="3">
        <v>70</v>
      </c>
      <c r="H291" s="3">
        <f>G291+1</f>
        <v>71</v>
      </c>
      <c r="I291" s="3">
        <f>H291+1</f>
        <v>72</v>
      </c>
      <c r="J291" s="3">
        <v>85</v>
      </c>
      <c r="K291" s="3">
        <f>VLOOKUP($A291,'SegEnds_NonXtal_BW#'!$A:$Z,8,FALSE)+VLOOKUP($A291,A:AL,10,FALSE)-50</f>
        <v>101</v>
      </c>
      <c r="L291" s="3">
        <f>M291-1</f>
        <v>102</v>
      </c>
      <c r="M291" s="3">
        <v>103</v>
      </c>
      <c r="N291" s="3">
        <f>M291+2</f>
        <v>105</v>
      </c>
      <c r="O291" s="3">
        <f>N291+1</f>
        <v>106</v>
      </c>
      <c r="P291" s="3">
        <v>137</v>
      </c>
      <c r="Q291" s="3">
        <f>VLOOKUP($A291,'SegEnds_NonXtal_BW#'!$A:$Z,12,FALSE)+VLOOKUP($A291,A:AL,16,FALSE)-50</f>
        <v>143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149</v>
      </c>
      <c r="V291" s="3">
        <v>161</v>
      </c>
      <c r="W291" s="3">
        <f>IF(ISERROR(VLOOKUP($A291,'SegEnds_NonXtal_BW#'!$A:$Z,16,FALSE)+VLOOKUP($A291,A:AL,22,FALSE)-50),"-",(VLOOKUP($A291,'SegEnds_NonXtal_BW#'!$A:$Z,16,FALSE)+VLOOKUP($A291,A:AL,22,FALSE)-50))</f>
        <v>175</v>
      </c>
      <c r="X291" s="3">
        <f>IF(ISERROR(VLOOKUP($A291,'SegEnds_NonXtal_BW#'!$A:$Z,17,FALSE)+VLOOKUP($A291,A:AL,25,FALSE)-50),"-",(VLOOKUP($A291,'SegEnds_NonXtal_BW#'!$A:$Z,17,FALSE)+VLOOKUP($A291,A:AL,25,FALSE)-50))</f>
        <v>187</v>
      </c>
      <c r="Y291" s="3">
        <v>187</v>
      </c>
      <c r="Z291" s="3">
        <f>Y291+2</f>
        <v>189</v>
      </c>
      <c r="AA291" s="3">
        <f>IF(ISERROR(VLOOKUP($A291,'SegEnds_NonXtal_BW#'!$A:$Z,19,FALSE)+VLOOKUP($A291,A:AL,28,FALSE)-50),"-",(VLOOKUP($A291,'SegEnds_NonXtal_BW#'!$A:$Z,19,FALSE)+VLOOKUP($A291,A:AL,28,FALSE)-50))</f>
        <v>194</v>
      </c>
      <c r="AB291" s="3">
        <v>212</v>
      </c>
      <c r="AC291" s="3">
        <f>IF(ISERROR((VLOOKUP($A291,'SegEnds_NonXtal_BW#'!$A:$Z,20,FALSE)+VLOOKUP($A291,A:AL,28,FALSE)-50)),"-",(VLOOKUP($A291,'SegEnds_NonXtal_BW#'!$A:$Z,20,FALSE)+VLOOKUP($A291,A:AL,28,FALSE)-50))</f>
        <v>238</v>
      </c>
      <c r="AD291" s="3">
        <f>IF(ISERROR(VLOOKUP($A291,'SegEnds_NonXtal_BW#'!$A:$Z,21,FALSE)+VLOOKUP($A291,A:AL,31,FALSE)-50),"-",(VLOOKUP($A291,'SegEnds_NonXtal_BW#'!$A:$Z,21,FALSE)+VLOOKUP($A291,A:AL,31,FALSE)-50))</f>
        <v>264</v>
      </c>
      <c r="AE291" s="3">
        <v>290</v>
      </c>
      <c r="AF291" s="3">
        <f>IF(ISERROR((VLOOKUP($A291,'SegEnds_NonXtal_BW#'!$A:$Z,22,FALSE)+VLOOKUP($A291,A:AL,31,FALSE)-50)),"-",(VLOOKUP($A291,'SegEnds_NonXtal_BW#'!$A:$Z,22,FALSE)+VLOOKUP($A291,A:AL,31,FALSE)-50))</f>
        <v>301</v>
      </c>
      <c r="AG291" s="3">
        <f>IF(ISERROR(VLOOKUP($A291,'SegEnds_NonXtal_BW#'!$A:$Z,23,FALSE)+VLOOKUP($A291,A:AL,34,FALSE)-50),"-",(VLOOKUP($A291,'SegEnds_NonXtal_BW#'!$A:$Z,23,FALSE)+VLOOKUP($A291,A:AL,34,FALSE)-50))</f>
        <v>307</v>
      </c>
      <c r="AH291" s="3">
        <v>326</v>
      </c>
      <c r="AI291" s="3">
        <f>IF(ISERROR((VLOOKUP($A291,'SegEnds_NonXtal_BW#'!$A:$Z,24,FALSE)+VLOOKUP($A291,A:AL,34,FALSE)-50)),"-",(VLOOKUP($A291,'SegEnds_NonXtal_BW#'!$A:$Z,24,FALSE)+VLOOKUP($A291,A:AL,34,FALSE)-50))</f>
        <v>332</v>
      </c>
      <c r="AJ291" s="3">
        <f>IF(ISERROR(VLOOKUP($A291,'SegEnds_NonXtal_BW#'!$A:$Z,25,FALSE)+VLOOKUP($A291,A:AL,37,FALSE)-50),"-",(VLOOKUP($A291,'SegEnds_NonXtal_BW#'!$A:$Z,25,FALSE)+VLOOKUP($A291,A:AL,37,FALSE)-50))</f>
        <v>333</v>
      </c>
      <c r="AK291" s="3">
        <v>336</v>
      </c>
      <c r="AL291" s="3">
        <f>IF(ISERROR((VLOOKUP($A291,'SegEnds_NonXtal_BW#'!$A:$Z,26,FALSE)+VLOOKUP($A291,A:AL,37,FALSE)-50)),"-",(VLOOKUP($A291,'SegEnds_NonXtal_BW#'!$A:$Z,26,FALSE)+VLOOKUP($A291,A:AL,37,FALSE)-50))</f>
        <v>344</v>
      </c>
      <c r="AM291" s="28" t="str">
        <f>VLOOKUP(A291,Classification!A:B,2,FALSE)</f>
        <v>A</v>
      </c>
      <c r="AN291" s="28" t="b">
        <f>AND(IF(Y291="-",IF(AA291-W291&gt;3,TRUE,FALSE),TRUE),IF(M291="-",IF(O291-K291&gt;3,TRUE,FALSE),TRUE),C291&lt;E291,OR(E291&lt;F291,F291="-"),OR(F291&lt;H291,F291="-"),OR(H291&lt;I291,H291="-"),I291&lt;K291,OR(K291&lt;L291,L291="-"),OR(L291&lt;N291,L291="-"),OR(N291&lt;O291,N291="-"),O291&lt;Q291,OR(Q291&lt;R291,R291="-"),OR(R291&lt;T291,R291="-"),OR(T291&lt;U291,T291="-"),U291&lt;W291,OR(W291&lt;X291,X291="-"),OR(X291&lt;Z291,X291="-"),OR(Z291&lt;AA291,Z291="-"),AA291&lt;AC291,AC291&lt;AD291,AD291&lt;AF291,AF291&lt;AG291,AG291&lt;AI291,OR(AI291&lt;AJ291,AJ291="-"),OR(AJ291&lt;AL291,AJ291="-"))</f>
        <v>1</v>
      </c>
      <c r="AO291" s="3" t="str">
        <f>IF(ISERROR(MATCH(A291,'SegEnds_Xtal_Prot#'!B:B, 0)), "NoXtal", "Xtal")</f>
        <v>NoXtal</v>
      </c>
      <c r="AP291" s="3">
        <f>IF(ISERROR(F291-E291),"-",F291-E291)</f>
        <v>1</v>
      </c>
      <c r="AQ291" s="3">
        <f>IF(ISERROR(I291-H291),"-",I291-H291)</f>
        <v>1</v>
      </c>
      <c r="AR291" s="3">
        <f>IF(ISERROR(L291-K291),"-",L291-K291)</f>
        <v>1</v>
      </c>
      <c r="AS291" s="3">
        <f>IF(ISERROR(O291-N291),"-",O291-N291)</f>
        <v>1</v>
      </c>
      <c r="AT291" s="3" t="str">
        <f>IF(ISERROR(R291-Q291),"-",R291-Q291)</f>
        <v>-</v>
      </c>
      <c r="AU291" s="3" t="str">
        <f>IF(ISERROR(U291-T291),"-",U291-T291)</f>
        <v>-</v>
      </c>
      <c r="AV291" s="3">
        <f>IF(ISERROR(X291-W291),"-",X291-W291)</f>
        <v>12</v>
      </c>
      <c r="AW291" s="3">
        <f>IF(ISERROR(AA291-Z291),"-",AA291-Z291)</f>
        <v>5</v>
      </c>
      <c r="AX291" s="3">
        <f>IF(ISERROR(AD291-AC291),"-",AD291-AC291)</f>
        <v>26</v>
      </c>
      <c r="AY291" s="3">
        <f>IF(ISERROR(AG291-AF291),"-",AG291-AF291)</f>
        <v>6</v>
      </c>
      <c r="AZ291" s="3">
        <f>IF(ISERROR(AJ291-AI291),"-",AJ291-AI291)</f>
        <v>1</v>
      </c>
      <c r="BA291" s="3">
        <f>IF(ISERROR(LEN(VLOOKUP(A291,Seqs!A:E,2,FALSE))-AL291),"-",LEN(VLOOKUP(A291,Seqs!A:E,2,FALSE))-AL291)</f>
        <v>45</v>
      </c>
      <c r="BB291" s="16">
        <f>J291-D291</f>
        <v>28</v>
      </c>
      <c r="BC291" s="9" t="str">
        <f>IF(ISERROR(V291-S291),"-",V291-S291)</f>
        <v>-</v>
      </c>
      <c r="BD291" s="3">
        <f>J291-D291</f>
        <v>28</v>
      </c>
      <c r="BE291" s="3">
        <f>AE291-AB291</f>
        <v>78</v>
      </c>
    </row>
    <row r="292" spans="1:59" s="3" customFormat="1" x14ac:dyDescent="0.2">
      <c r="A292" s="3" t="s">
        <v>367</v>
      </c>
      <c r="B292" s="3" t="str">
        <f>LOWER(VLOOKUP(A292,Xtal_Templ!A:B,2,FALSE))</f>
        <v>ox1r_human</v>
      </c>
      <c r="C292" s="3">
        <f>VLOOKUP($A292,'SegEnds_NonXtal_BW#'!$A:$Z,3,FALSE)+D292-50</f>
        <v>62</v>
      </c>
      <c r="D292" s="3">
        <v>80</v>
      </c>
      <c r="E292" s="3">
        <f>IF(ISERROR(VLOOKUP($A292,'SegEnds_NonXtal_BW#'!$A:$Z,4,FALSE)+VLOOKUP($A292,A:AL,4,FALSE)-50),"-",(VLOOKUP($A292,'SegEnds_NonXtal_BW#'!$A:$Z,4,FALSE)+VLOOKUP($A292,A:AL,4,FALSE)-50))</f>
        <v>90</v>
      </c>
      <c r="F292" s="3">
        <f>G292-2</f>
        <v>91</v>
      </c>
      <c r="G292" s="3">
        <v>93</v>
      </c>
      <c r="H292" s="3">
        <f>G292+1</f>
        <v>94</v>
      </c>
      <c r="I292" s="3">
        <f>H292+1</f>
        <v>95</v>
      </c>
      <c r="J292" s="3">
        <v>108</v>
      </c>
      <c r="K292" s="3">
        <f>VLOOKUP($A292,'SegEnds_NonXtal_BW#'!$A:$Z,8,FALSE)+VLOOKUP($A292,A:AL,10,FALSE)-50</f>
        <v>125</v>
      </c>
      <c r="L292" s="3">
        <f>M292-1</f>
        <v>129</v>
      </c>
      <c r="M292" s="3">
        <v>130</v>
      </c>
      <c r="N292" s="3">
        <f>M292+2</f>
        <v>132</v>
      </c>
      <c r="O292" s="3">
        <f>N292+1</f>
        <v>133</v>
      </c>
      <c r="P292" s="3">
        <v>162</v>
      </c>
      <c r="Q292" s="3">
        <f>VLOOKUP($A292,'SegEnds_NonXtal_BW#'!$A:$Z,12,FALSE)+VLOOKUP($A292,A:AL,16,FALSE)-50</f>
        <v>168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175</v>
      </c>
      <c r="V292" s="3">
        <v>187</v>
      </c>
      <c r="W292" s="3">
        <f>IF(ISERROR(VLOOKUP($A292,'SegEnds_NonXtal_BW#'!$A:$Z,16,FALSE)+VLOOKUP($A292,A:AL,22,FALSE)-50),"-",(VLOOKUP($A292,'SegEnds_NonXtal_BW#'!$A:$Z,16,FALSE)+VLOOKUP($A292,A:AL,22,FALSE)-50))</f>
        <v>201</v>
      </c>
      <c r="X292" s="3">
        <f>IF(ISERROR(VLOOKUP($A292,'SegEnds_NonXtal_BW#'!$A:$Z,17,FALSE)+VLOOKUP($A292,A:AL,25,FALSE)-50),"-",(VLOOKUP($A292,'SegEnds_NonXtal_BW#'!$A:$Z,17,FALSE)+VLOOKUP($A292,A:AL,25,FALSE)-50))</f>
        <v>217</v>
      </c>
      <c r="Y292" s="3">
        <v>217</v>
      </c>
      <c r="Z292" s="3">
        <f>Y292+2</f>
        <v>219</v>
      </c>
      <c r="AA292" s="3">
        <f>IF(ISERROR(VLOOKUP($A292,'SegEnds_NonXtal_BW#'!$A:$Z,19,FALSE)+VLOOKUP($A292,A:AL,28,FALSE)-50),"-",(VLOOKUP($A292,'SegEnds_NonXtal_BW#'!$A:$Z,19,FALSE)+VLOOKUP($A292,A:AL,28,FALSE)-50))</f>
        <v>226</v>
      </c>
      <c r="AB292" s="3">
        <v>244</v>
      </c>
      <c r="AC292" s="3">
        <f>IF(ISERROR((VLOOKUP($A292,'SegEnds_NonXtal_BW#'!$A:$Z,20,FALSE)+VLOOKUP($A292,A:AL,28,FALSE)-50)),"-",(VLOOKUP($A292,'SegEnds_NonXtal_BW#'!$A:$Z,20,FALSE)+VLOOKUP($A292,A:AL,28,FALSE)-50))</f>
        <v>267</v>
      </c>
      <c r="AD292" s="3">
        <f>IF(ISERROR(VLOOKUP($A292,'SegEnds_NonXtal_BW#'!$A:$Z,21,FALSE)+VLOOKUP($A292,A:AL,31,FALSE)-50),"-",(VLOOKUP($A292,'SegEnds_NonXtal_BW#'!$A:$Z,21,FALSE)+VLOOKUP($A292,A:AL,31,FALSE)-50))</f>
        <v>271</v>
      </c>
      <c r="AE292" s="3">
        <v>299</v>
      </c>
      <c r="AF292" s="3">
        <f>IF(ISERROR((VLOOKUP($A292,'SegEnds_NonXtal_BW#'!$A:$Z,22,FALSE)+VLOOKUP($A292,A:AL,31,FALSE)-50)),"-",(VLOOKUP($A292,'SegEnds_NonXtal_BW#'!$A:$Z,22,FALSE)+VLOOKUP($A292,A:AL,31,FALSE)-50))</f>
        <v>310</v>
      </c>
      <c r="AG292" s="3">
        <f>IF(ISERROR(VLOOKUP($A292,'SegEnds_NonXtal_BW#'!$A:$Z,23,FALSE)+VLOOKUP($A292,A:AL,34,FALSE)-50),"-",(VLOOKUP($A292,'SegEnds_NonXtal_BW#'!$A:$Z,23,FALSE)+VLOOKUP($A292,A:AL,34,FALSE)-50))</f>
        <v>317</v>
      </c>
      <c r="AH292" s="3">
        <v>339</v>
      </c>
      <c r="AI292" s="3">
        <f>IF(ISERROR((VLOOKUP($A292,'SegEnds_NonXtal_BW#'!$A:$Z,24,FALSE)+VLOOKUP($A292,A:AL,34,FALSE)-50)),"-",(VLOOKUP($A292,'SegEnds_NonXtal_BW#'!$A:$Z,24,FALSE)+VLOOKUP($A292,A:AL,34,FALSE)-50))</f>
        <v>345</v>
      </c>
      <c r="AJ292" s="3">
        <v>347</v>
      </c>
      <c r="AK292" s="3">
        <v>350</v>
      </c>
      <c r="AL292" s="3">
        <v>358</v>
      </c>
      <c r="AM292" s="28" t="str">
        <f>VLOOKUP(A292,Classification!A:B,2,FALSE)</f>
        <v>A</v>
      </c>
      <c r="AN292" s="28" t="b">
        <f>AND(IF(Y292="-",IF(AA292-W292&gt;3,TRUE,FALSE),TRUE),IF(M292="-",IF(O292-K292&gt;3,TRUE,FALSE),TRUE),C292&lt;E292,OR(E292&lt;F292,F292="-"),OR(F292&lt;H292,F292="-"),OR(H292&lt;I292,H292="-"),I292&lt;K292,OR(K292&lt;L292,L292="-"),OR(L292&lt;N292,L292="-"),OR(N292&lt;O292,N292="-"),O292&lt;Q292,OR(Q292&lt;R292,R292="-"),OR(R292&lt;T292,R292="-"),OR(T292&lt;U292,T292="-"),U292&lt;W292,OR(W292&lt;X292,X292="-"),OR(X292&lt;Z292,X292="-"),OR(Z292&lt;AA292,Z292="-"),AA292&lt;AC292,AC292&lt;AD292,AD292&lt;AF292,AF292&lt;AG292,AG292&lt;AI292,OR(AI292&lt;AJ292,AJ292="-"),OR(AJ292&lt;AL292,AJ292="-"))</f>
        <v>1</v>
      </c>
      <c r="AO292" s="3" t="str">
        <f>IF(ISERROR(MATCH(A292,'SegEnds_Xtal_Prot#'!B:B, 0)), "NoXtal", "Xtal")</f>
        <v>NoXtal</v>
      </c>
      <c r="AP292" s="3">
        <f>IF(ISERROR(F292-E292),"-",F292-E292)</f>
        <v>1</v>
      </c>
      <c r="AQ292" s="3">
        <f>IF(ISERROR(I292-H292),"-",I292-H292)</f>
        <v>1</v>
      </c>
      <c r="AR292" s="3">
        <f>IF(ISERROR(L292-K292),"-",L292-K292)</f>
        <v>4</v>
      </c>
      <c r="AS292" s="3">
        <f>IF(ISERROR(O292-N292),"-",O292-N292)</f>
        <v>1</v>
      </c>
      <c r="AT292" s="3" t="str">
        <f>IF(ISERROR(R292-Q292),"-",R292-Q292)</f>
        <v>-</v>
      </c>
      <c r="AU292" s="3" t="str">
        <f>IF(ISERROR(U292-T292),"-",U292-T292)</f>
        <v>-</v>
      </c>
      <c r="AV292" s="3">
        <f>IF(ISERROR(X292-W292),"-",X292-W292)</f>
        <v>16</v>
      </c>
      <c r="AW292" s="3">
        <f>IF(ISERROR(AA292-Z292),"-",AA292-Z292)</f>
        <v>7</v>
      </c>
      <c r="AX292" s="3">
        <f>IF(ISERROR(AD292-AC292),"-",AD292-AC292)</f>
        <v>4</v>
      </c>
      <c r="AY292" s="3">
        <f>IF(ISERROR(AG292-AF292),"-",AG292-AF292)</f>
        <v>7</v>
      </c>
      <c r="AZ292" s="3">
        <f>IF(ISERROR(AJ292-AI292),"-",AJ292-AI292)</f>
        <v>2</v>
      </c>
      <c r="BA292" s="3">
        <f>IF(ISERROR(LEN(VLOOKUP(A292,Seqs!A:E,2,FALSE))-AL292),"-",LEN(VLOOKUP(A292,Seqs!A:E,2,FALSE))-AL292)</f>
        <v>35</v>
      </c>
      <c r="BB292" s="16">
        <f>J292-D292</f>
        <v>28</v>
      </c>
      <c r="BC292" s="9" t="str">
        <f>IF(ISERROR(V292-S292),"-",V292-S292)</f>
        <v>-</v>
      </c>
      <c r="BD292" s="3">
        <f>J292-D292</f>
        <v>28</v>
      </c>
      <c r="BE292" s="3">
        <f>AE292-AB292</f>
        <v>55</v>
      </c>
    </row>
    <row r="293" spans="1:59" s="3" customFormat="1" x14ac:dyDescent="0.2">
      <c r="A293" s="3" t="s">
        <v>368</v>
      </c>
      <c r="B293" s="3" t="str">
        <f>LOWER(VLOOKUP(A293,Xtal_Templ!A:B,2,FALSE))</f>
        <v>ox2r_human</v>
      </c>
      <c r="C293" s="3">
        <f>VLOOKUP($A293,'SegEnds_NonXtal_BW#'!$A:$Z,3,FALSE)+D293-50</f>
        <v>52</v>
      </c>
      <c r="D293" s="3">
        <v>71</v>
      </c>
      <c r="E293" s="3">
        <f>IF(ISERROR(VLOOKUP($A293,'SegEnds_NonXtal_BW#'!$A:$Z,4,FALSE)+VLOOKUP($A293,A:AL,4,FALSE)-50),"-",(VLOOKUP($A293,'SegEnds_NonXtal_BW#'!$A:$Z,4,FALSE)+VLOOKUP($A293,A:AL,4,FALSE)-50))</f>
        <v>81</v>
      </c>
      <c r="F293" s="3">
        <f>G293-2</f>
        <v>82</v>
      </c>
      <c r="G293" s="3">
        <v>84</v>
      </c>
      <c r="H293" s="3">
        <f>G293+1</f>
        <v>85</v>
      </c>
      <c r="I293" s="3">
        <f>H293+1</f>
        <v>86</v>
      </c>
      <c r="J293" s="3">
        <v>99</v>
      </c>
      <c r="K293" s="3">
        <f>VLOOKUP($A293,'SegEnds_NonXtal_BW#'!$A:$Z,8,FALSE)+VLOOKUP($A293,A:AL,10,FALSE)-50</f>
        <v>116</v>
      </c>
      <c r="L293" s="3">
        <f>M293-1</f>
        <v>120</v>
      </c>
      <c r="M293" s="3">
        <v>121</v>
      </c>
      <c r="N293" s="3">
        <f>M293+2</f>
        <v>123</v>
      </c>
      <c r="O293" s="3">
        <f>N293+1</f>
        <v>124</v>
      </c>
      <c r="P293" s="3">
        <v>153</v>
      </c>
      <c r="Q293" s="3">
        <f>VLOOKUP($A293,'SegEnds_NonXtal_BW#'!$A:$Z,12,FALSE)+VLOOKUP($A293,A:AL,16,FALSE)-50</f>
        <v>159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166</v>
      </c>
      <c r="V293" s="3">
        <v>178</v>
      </c>
      <c r="W293" s="3">
        <f>IF(ISERROR(VLOOKUP($A293,'SegEnds_NonXtal_BW#'!$A:$Z,16,FALSE)+VLOOKUP($A293,A:AL,22,FALSE)-50),"-",(VLOOKUP($A293,'SegEnds_NonXtal_BW#'!$A:$Z,16,FALSE)+VLOOKUP($A293,A:AL,22,FALSE)-50))</f>
        <v>192</v>
      </c>
      <c r="X293" s="3">
        <f>IF(ISERROR(VLOOKUP($A293,'SegEnds_NonXtal_BW#'!$A:$Z,17,FALSE)+VLOOKUP($A293,A:AL,25,FALSE)-50),"-",(VLOOKUP($A293,'SegEnds_NonXtal_BW#'!$A:$Z,17,FALSE)+VLOOKUP($A293,A:AL,25,FALSE)-50))</f>
        <v>208</v>
      </c>
      <c r="Y293" s="3">
        <v>208</v>
      </c>
      <c r="Z293" s="3">
        <f>Y293+2</f>
        <v>210</v>
      </c>
      <c r="AA293" s="3">
        <f>IF(ISERROR(VLOOKUP($A293,'SegEnds_NonXtal_BW#'!$A:$Z,19,FALSE)+VLOOKUP($A293,A:AL,28,FALSE)-50),"-",(VLOOKUP($A293,'SegEnds_NonXtal_BW#'!$A:$Z,19,FALSE)+VLOOKUP($A293,A:AL,28,FALSE)-50))</f>
        <v>217</v>
      </c>
      <c r="AB293" s="3">
        <v>235</v>
      </c>
      <c r="AC293" s="3">
        <f>IF(ISERROR((VLOOKUP($A293,'SegEnds_NonXtal_BW#'!$A:$Z,20,FALSE)+VLOOKUP($A293,A:AL,28,FALSE)-50)),"-",(VLOOKUP($A293,'SegEnds_NonXtal_BW#'!$A:$Z,20,FALSE)+VLOOKUP($A293,A:AL,28,FALSE)-50))</f>
        <v>258</v>
      </c>
      <c r="AD293" s="3">
        <f>IF(ISERROR(VLOOKUP($A293,'SegEnds_NonXtal_BW#'!$A:$Z,21,FALSE)+VLOOKUP($A293,A:AL,31,FALSE)-50),"-",(VLOOKUP($A293,'SegEnds_NonXtal_BW#'!$A:$Z,21,FALSE)+VLOOKUP($A293,A:AL,31,FALSE)-50))</f>
        <v>262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308</v>
      </c>
      <c r="AH293" s="3">
        <v>330</v>
      </c>
      <c r="AI293" s="3">
        <f>IF(ISERROR((VLOOKUP($A293,'SegEnds_NonXtal_BW#'!$A:$Z,24,FALSE)+VLOOKUP($A293,A:AL,34,FALSE)-50)),"-",(VLOOKUP($A293,'SegEnds_NonXtal_BW#'!$A:$Z,24,FALSE)+VLOOKUP($A293,A:AL,34,FALSE)-50))</f>
        <v>336</v>
      </c>
      <c r="AJ293" s="3">
        <v>338</v>
      </c>
      <c r="AK293" s="3">
        <v>341</v>
      </c>
      <c r="AL293" s="3">
        <v>349</v>
      </c>
      <c r="AM293" s="28" t="str">
        <f>VLOOKUP(A293,Classification!A:B,2,FALSE)</f>
        <v>A</v>
      </c>
      <c r="AN293" s="28" t="b">
        <f>AND(IF(Y293="-",IF(AA293-W293&gt;3,TRUE,FALSE),TRUE),IF(M293="-",IF(O293-K293&gt;3,TRUE,FALSE),TRUE),C293&lt;E293,OR(E293&lt;F293,F293="-"),OR(F293&lt;H293,F293="-"),OR(H293&lt;I293,H293="-"),I293&lt;K293,OR(K293&lt;L293,L293="-"),OR(L293&lt;N293,L293="-"),OR(N293&lt;O293,N293="-"),O293&lt;Q293,OR(Q293&lt;R293,R293="-"),OR(R293&lt;T293,R293="-"),OR(T293&lt;U293,T293="-"),U293&lt;W293,OR(W293&lt;X293,X293="-"),OR(X293&lt;Z293,X293="-"),OR(Z293&lt;AA293,Z293="-"),AA293&lt;AC293,AC293&lt;AD293,AD293&lt;AF293,AF293&lt;AG293,AG293&lt;AI293,OR(AI293&lt;AJ293,AJ293="-"),OR(AJ293&lt;AL293,AJ293="-"))</f>
        <v>1</v>
      </c>
      <c r="AO293" s="3" t="str">
        <f>IF(ISERROR(MATCH(A293,'SegEnds_Xtal_Prot#'!B:B, 0)), "NoXtal", "Xtal")</f>
        <v>NoXtal</v>
      </c>
      <c r="AP293" s="3">
        <f>IF(ISERROR(F293-E293),"-",F293-E293)</f>
        <v>1</v>
      </c>
      <c r="AQ293" s="3">
        <f>IF(ISERROR(I293-H293),"-",I293-H293)</f>
        <v>1</v>
      </c>
      <c r="AR293" s="3">
        <f>IF(ISERROR(L293-K293),"-",L293-K293)</f>
        <v>4</v>
      </c>
      <c r="AS293" s="3">
        <f>IF(ISERROR(O293-N293),"-",O293-N293)</f>
        <v>1</v>
      </c>
      <c r="AT293" s="3" t="str">
        <f>IF(ISERROR(R293-Q293),"-",R293-Q293)</f>
        <v>-</v>
      </c>
      <c r="AU293" s="3" t="str">
        <f>IF(ISERROR(U293-T293),"-",U293-T293)</f>
        <v>-</v>
      </c>
      <c r="AV293" s="3">
        <f>IF(ISERROR(X293-W293),"-",X293-W293)</f>
        <v>16</v>
      </c>
      <c r="AW293" s="3">
        <f>IF(ISERROR(AA293-Z293),"-",AA293-Z293)</f>
        <v>7</v>
      </c>
      <c r="AX293" s="3">
        <f>IF(ISERROR(AD293-AC293),"-",AD293-AC293)</f>
        <v>4</v>
      </c>
      <c r="AY293" s="3">
        <f>IF(ISERROR(AG293-AF293),"-",AG293-AF293)</f>
        <v>7</v>
      </c>
      <c r="AZ293" s="3">
        <f>IF(ISERROR(AJ293-AI293),"-",AJ293-AI293)</f>
        <v>2</v>
      </c>
      <c r="BA293" s="3">
        <f>IF(ISERROR(LEN(VLOOKUP(A293,Seqs!A:E,2,FALSE))-AL293),"-",LEN(VLOOKUP(A293,Seqs!A:E,2,FALSE))-AL293)</f>
        <v>35</v>
      </c>
      <c r="BB293" s="16">
        <f>J293-D293</f>
        <v>28</v>
      </c>
      <c r="BC293" s="9" t="str">
        <f>IF(ISERROR(V293-S293),"-",V293-S293)</f>
        <v>-</v>
      </c>
      <c r="BD293" s="3">
        <f>J293-D293</f>
        <v>28</v>
      </c>
      <c r="BE293" s="3">
        <f>AE293-AB293</f>
        <v>55</v>
      </c>
    </row>
    <row r="294" spans="1:59" s="3" customFormat="1" x14ac:dyDescent="0.2">
      <c r="A294" s="3" t="s">
        <v>373</v>
      </c>
      <c r="B294" s="3" t="str">
        <f>LOWER(VLOOKUP(A294,Xtal_Templ!A:B,2,FALSE))</f>
        <v>agtr1_human</v>
      </c>
      <c r="C294" s="3">
        <f>VLOOKUP($A294,'SegEnds_NonXtal_BW#'!$A:$Z,3,FALSE)+D294-50</f>
        <v>79</v>
      </c>
      <c r="D294" s="3">
        <v>99</v>
      </c>
      <c r="E294" s="3">
        <f>IF(ISERROR(VLOOKUP($A294,'SegEnds_NonXtal_BW#'!$A:$Z,4,FALSE)+VLOOKUP($A294,A:AL,4,FALSE)-50),"-",(VLOOKUP($A294,'SegEnds_NonXtal_BW#'!$A:$Z,4,FALSE)+VLOOKUP($A294,A:AL,4,FALSE)-50))</f>
        <v>109</v>
      </c>
      <c r="F294" s="3">
        <f>G294-2</f>
        <v>110</v>
      </c>
      <c r="G294" s="3">
        <v>112</v>
      </c>
      <c r="H294" s="3">
        <f>G294+1</f>
        <v>113</v>
      </c>
      <c r="I294" s="3">
        <f>H294+1</f>
        <v>114</v>
      </c>
      <c r="J294" s="3">
        <v>128</v>
      </c>
      <c r="K294" s="3">
        <f>VLOOKUP($A294,'SegEnds_NonXtal_BW#'!$A:$Z,8,FALSE)+VLOOKUP($A294,A:AL,10,FALSE)-50</f>
        <v>144</v>
      </c>
      <c r="L294" s="3">
        <f>M294-1</f>
        <v>147</v>
      </c>
      <c r="M294" s="3">
        <v>148</v>
      </c>
      <c r="N294" s="3">
        <f>M294+2</f>
        <v>150</v>
      </c>
      <c r="O294" s="3">
        <f>N294+1</f>
        <v>151</v>
      </c>
      <c r="P294" s="3">
        <v>180</v>
      </c>
      <c r="Q294" s="3">
        <f>VLOOKUP($A294,'SegEnds_NonXtal_BW#'!$A:$Z,12,FALSE)+VLOOKUP($A294,A:AL,16,FALSE)-50</f>
        <v>186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210</v>
      </c>
      <c r="V294" s="3">
        <v>222</v>
      </c>
      <c r="W294" s="3">
        <f>IF(ISERROR(VLOOKUP($A294,'SegEnds_NonXtal_BW#'!$A:$Z,16,FALSE)+VLOOKUP($A294,A:AL,22,FALSE)-50),"-",(VLOOKUP($A294,'SegEnds_NonXtal_BW#'!$A:$Z,16,FALSE)+VLOOKUP($A294,A:AL,22,FALSE)-50))</f>
        <v>236</v>
      </c>
      <c r="X294" s="3">
        <f>IF(ISERROR(VLOOKUP($A294,'SegEnds_NonXtal_BW#'!$A:$Z,17,FALSE)+VLOOKUP($A294,A:AL,25,FALSE)-50),"-",(VLOOKUP($A294,'SegEnds_NonXtal_BW#'!$A:$Z,17,FALSE)+VLOOKUP($A294,A:AL,25,FALSE)-50))</f>
        <v>247</v>
      </c>
      <c r="Y294" s="3">
        <v>247</v>
      </c>
      <c r="Z294" s="3">
        <f>Y294+2</f>
        <v>249</v>
      </c>
      <c r="AA294" s="3">
        <f>IF(ISERROR(VLOOKUP($A294,'SegEnds_NonXtal_BW#'!$A:$Z,19,FALSE)+VLOOKUP($A294,A:AL,28,FALSE)-50),"-",(VLOOKUP($A294,'SegEnds_NonXtal_BW#'!$A:$Z,19,FALSE)+VLOOKUP($A294,A:AL,28,FALSE)-50))</f>
        <v>263</v>
      </c>
      <c r="AB294" s="3">
        <v>279</v>
      </c>
      <c r="AC294" s="3">
        <f>IF(ISERROR((VLOOKUP($A294,'SegEnds_NonXtal_BW#'!$A:$Z,20,FALSE)+VLOOKUP($A294,A:AL,28,FALSE)-50)),"-",(VLOOKUP($A294,'SegEnds_NonXtal_BW#'!$A:$Z,20,FALSE)+VLOOKUP($A294,A:AL,28,FALSE)-50))</f>
        <v>303</v>
      </c>
      <c r="AD294" s="3">
        <f>IF(ISERROR(VLOOKUP($A294,'SegEnds_NonXtal_BW#'!$A:$Z,21,FALSE)+VLOOKUP($A294,A:AL,31,FALSE)-50),"-",(VLOOKUP($A294,'SegEnds_NonXtal_BW#'!$A:$Z,21,FALSE)+VLOOKUP($A294,A:AL,31,FALSE)-50))</f>
        <v>312</v>
      </c>
      <c r="AE294" s="3">
        <v>341</v>
      </c>
      <c r="AF294" s="3">
        <f>IF(ISERROR((VLOOKUP($A294,'SegEnds_NonXtal_BW#'!$A:$Z,22,FALSE)+VLOOKUP($A294,A:AL,31,FALSE)-50)),"-",(VLOOKUP($A294,'SegEnds_NonXtal_BW#'!$A:$Z,22,FALSE)+VLOOKUP($A294,A:AL,31,FALSE)-50))</f>
        <v>355</v>
      </c>
      <c r="AG294" s="3">
        <f>IF(ISERROR(VLOOKUP($A294,'SegEnds_NonXtal_BW#'!$A:$Z,23,FALSE)+VLOOKUP($A294,A:AL,34,FALSE)-50),"-",(VLOOKUP($A294,'SegEnds_NonXtal_BW#'!$A:$Z,23,FALSE)+VLOOKUP($A294,A:AL,34,FALSE)-50))</f>
        <v>360</v>
      </c>
      <c r="AH294" s="3">
        <v>386</v>
      </c>
      <c r="AI294" s="3">
        <f>IF(ISERROR((VLOOKUP($A294,'SegEnds_NonXtal_BW#'!$A:$Z,24,FALSE)+VLOOKUP($A294,A:AL,34,FALSE)-50)),"-",(VLOOKUP($A294,'SegEnds_NonXtal_BW#'!$A:$Z,24,FALSE)+VLOOKUP($A294,A:AL,34,FALSE)-50))</f>
        <v>392</v>
      </c>
      <c r="AJ294" s="3">
        <f>IF(ISERROR(VLOOKUP($A294,'SegEnds_NonXtal_BW#'!$A:$Z,25,FALSE)+VLOOKUP($A294,A:AL,37,FALSE)-50),"-",(VLOOKUP($A294,'SegEnds_NonXtal_BW#'!$A:$Z,25,FALSE)+VLOOKUP($A294,A:AL,37,FALSE)-50))</f>
        <v>393</v>
      </c>
      <c r="AK294" s="3">
        <v>396</v>
      </c>
      <c r="AL294" s="3">
        <f>IF(ISERROR((VLOOKUP($A294,'SegEnds_NonXtal_BW#'!$A:$Z,26,FALSE)+VLOOKUP($A294,A:AL,37,FALSE)-50)),"-",(VLOOKUP($A294,'SegEnds_NonXtal_BW#'!$A:$Z,26,FALSE)+VLOOKUP($A294,A:AL,37,FALSE)-50))</f>
        <v>407</v>
      </c>
      <c r="AM294" s="28" t="str">
        <f>VLOOKUP(A294,Classification!A:B,2,FALSE)</f>
        <v>A</v>
      </c>
      <c r="AN294" s="28" t="b">
        <f>AND(IF(Y294="-",IF(AA294-W294&gt;3,TRUE,FALSE),TRUE),IF(M294="-",IF(O294-K294&gt;3,TRUE,FALSE),TRUE),C294&lt;E294,OR(E294&lt;F294,F294="-"),OR(F294&lt;H294,F294="-"),OR(H294&lt;I294,H294="-"),I294&lt;K294,OR(K294&lt;L294,L294="-"),OR(L294&lt;N294,L294="-"),OR(N294&lt;O294,N294="-"),O294&lt;Q294,OR(Q294&lt;R294,R294="-"),OR(R294&lt;T294,R294="-"),OR(T294&lt;U294,T294="-"),U294&lt;W294,OR(W294&lt;X294,X294="-"),OR(X294&lt;Z294,X294="-"),OR(Z294&lt;AA294,Z294="-"),AA294&lt;AC294,AC294&lt;AD294,AD294&lt;AF294,AF294&lt;AG294,AG294&lt;AI294,OR(AI294&lt;AJ294,AJ294="-"),OR(AJ294&lt;AL294,AJ294="-"))</f>
        <v>1</v>
      </c>
      <c r="AO294" s="3" t="str">
        <f>IF(ISERROR(MATCH(A294,'SegEnds_Xtal_Prot#'!B:B, 0)), "NoXtal", "Xtal")</f>
        <v>NoXtal</v>
      </c>
      <c r="AP294" s="3">
        <f>IF(ISERROR(F294-E294),"-",F294-E294)</f>
        <v>1</v>
      </c>
      <c r="AQ294" s="3">
        <f>IF(ISERROR(I294-H294),"-",I294-H294)</f>
        <v>1</v>
      </c>
      <c r="AR294" s="3">
        <f>IF(ISERROR(L294-K294),"-",L294-K294)</f>
        <v>3</v>
      </c>
      <c r="AS294" s="3">
        <f>IF(ISERROR(O294-N294),"-",O294-N294)</f>
        <v>1</v>
      </c>
      <c r="AT294" s="3" t="str">
        <f>IF(ISERROR(R294-Q294),"-",R294-Q294)</f>
        <v>-</v>
      </c>
      <c r="AU294" s="3" t="str">
        <f>IF(ISERROR(U294-T294),"-",U294-T294)</f>
        <v>-</v>
      </c>
      <c r="AV294" s="3">
        <f>IF(ISERROR(X294-W294),"-",X294-W294)</f>
        <v>11</v>
      </c>
      <c r="AW294" s="3">
        <f>IF(ISERROR(AA294-Z294),"-",AA294-Z294)</f>
        <v>14</v>
      </c>
      <c r="AX294" s="3">
        <f>IF(ISERROR(AD294-AC294),"-",AD294-AC294)</f>
        <v>9</v>
      </c>
      <c r="AY294" s="3">
        <f>IF(ISERROR(AG294-AF294),"-",AG294-AF294)</f>
        <v>5</v>
      </c>
      <c r="AZ294" s="3">
        <f>IF(ISERROR(AJ294-AI294),"-",AJ294-AI294)</f>
        <v>1</v>
      </c>
      <c r="BA294" s="3">
        <f>IF(ISERROR(LEN(VLOOKUP(A294,Seqs!A:E,2,FALSE))-AL294),"-",LEN(VLOOKUP(A294,Seqs!A:E,2,FALSE))-AL294)</f>
        <v>62</v>
      </c>
      <c r="BB294" s="16">
        <f>J294-D294</f>
        <v>29</v>
      </c>
      <c r="BC294" s="9" t="str">
        <f>IF(ISERROR(V294-S294),"-",V294-S294)</f>
        <v>-</v>
      </c>
      <c r="BD294" s="3">
        <f>J294-D294</f>
        <v>29</v>
      </c>
      <c r="BE294" s="3">
        <f>AE294-AB294</f>
        <v>62</v>
      </c>
    </row>
    <row r="295" spans="1:59" s="3" customFormat="1" x14ac:dyDescent="0.2">
      <c r="A295" s="3" t="s">
        <v>924</v>
      </c>
      <c r="B295" s="3" t="str">
        <f>LOWER(VLOOKUP(A295,Xtal_Templ!A:B,2,FALSE))</f>
        <v>us28_hcmva</v>
      </c>
      <c r="C295" s="3">
        <f>VLOOKUP($A295,'SegEnds_NonXtal_BW#'!$A:$Z,3,FALSE)+D295-50</f>
        <v>26</v>
      </c>
      <c r="D295" s="3">
        <v>51</v>
      </c>
      <c r="E295" s="3">
        <f>IF(ISERROR(VLOOKUP($A295,'SegEnds_NonXtal_BW#'!$A:$Z,4,FALSE)+VLOOKUP($A295,A:AL,4,FALSE)-50),"-",(VLOOKUP($A295,'SegEnds_NonXtal_BW#'!$A:$Z,4,FALSE)+VLOOKUP($A295,A:AL,4,FALSE)-50))</f>
        <v>61</v>
      </c>
      <c r="F295" s="3">
        <f>G295-2</f>
        <v>62</v>
      </c>
      <c r="G295" s="3">
        <v>64</v>
      </c>
      <c r="H295" s="3">
        <f>G295+1</f>
        <v>65</v>
      </c>
      <c r="I295" s="3">
        <f>H295+1</f>
        <v>66</v>
      </c>
      <c r="J295" s="3">
        <v>79</v>
      </c>
      <c r="K295" s="3">
        <f>VLOOKUP($A295,'SegEnds_NonXtal_BW#'!$A:$Z,8,FALSE)+VLOOKUP($A295,A:AL,10,FALSE)-50</f>
        <v>95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103</v>
      </c>
      <c r="P295" s="3">
        <v>129</v>
      </c>
      <c r="Q295" s="3">
        <f>VLOOKUP($A295,'SegEnds_NonXtal_BW#'!$A:$Z,12,FALSE)+VLOOKUP($A295,A:AL,16,FALSE)-50</f>
        <v>135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140</v>
      </c>
      <c r="V295" s="3">
        <v>152</v>
      </c>
      <c r="W295" s="3">
        <f>IF(ISERROR(VLOOKUP($A295,'SegEnds_NonXtal_BW#'!$A:$Z,16,FALSE)+VLOOKUP($A295,A:AL,22,FALSE)-50),"-",(VLOOKUP($A295,'SegEnds_NonXtal_BW#'!$A:$Z,16,FALSE)+VLOOKUP($A295,A:AL,22,FALSE)-50))</f>
        <v>165</v>
      </c>
      <c r="X295" s="3">
        <f>IF(ISERROR(VLOOKUP($A295,'SegEnds_NonXtal_BW#'!$A:$Z,17,FALSE)+VLOOKUP($A295,A:AL,25,FALSE)-50),"-",(VLOOKUP($A295,'SegEnds_NonXtal_BW#'!$A:$Z,17,FALSE)+VLOOKUP($A295,A:AL,25,FALSE)-50))</f>
        <v>173</v>
      </c>
      <c r="Y295" s="3">
        <v>173</v>
      </c>
      <c r="Z295" s="3">
        <f>Y295+2</f>
        <v>175</v>
      </c>
      <c r="AA295" s="3">
        <f>IF(ISERROR(VLOOKUP($A295,'SegEnds_NonXtal_BW#'!$A:$Z,19,FALSE)+VLOOKUP($A295,A:AL,28,FALSE)-50),"-",(VLOOKUP($A295,'SegEnds_NonXtal_BW#'!$A:$Z,19,FALSE)+VLOOKUP($A295,A:AL,28,FALSE)-50))</f>
        <v>182</v>
      </c>
      <c r="AB295" s="3">
        <v>200</v>
      </c>
      <c r="AC295" s="3">
        <f>IF(ISERROR((VLOOKUP($A295,'SegEnds_NonXtal_BW#'!$A:$Z,20,FALSE)+VLOOKUP($A295,A:AL,28,FALSE)-50)),"-",(VLOOKUP($A295,'SegEnds_NonXtal_BW#'!$A:$Z,20,FALSE)+VLOOKUP($A295,A:AL,28,FALSE)-50))</f>
        <v>218</v>
      </c>
      <c r="AD295" s="3">
        <f>IF(ISERROR(VLOOKUP($A295,'SegEnds_NonXtal_BW#'!$A:$Z,21,FALSE)+VLOOKUP($A295,A:AL,31,FALSE)-50),"-",(VLOOKUP($A295,'SegEnds_NonXtal_BW#'!$A:$Z,21,FALSE)+VLOOKUP($A295,A:AL,31,FALSE)-50))</f>
        <v>222</v>
      </c>
      <c r="AE295" s="3">
        <v>243</v>
      </c>
      <c r="AF295" s="3">
        <f>IF(ISERROR((VLOOKUP($A295,'SegEnds_NonXtal_BW#'!$A:$Z,22,FALSE)+VLOOKUP($A295,A:AL,31,FALSE)-50)),"-",(VLOOKUP($A295,'SegEnds_NonXtal_BW#'!$A:$Z,22,FALSE)+VLOOKUP($A295,A:AL,31,FALSE)-50))</f>
        <v>257</v>
      </c>
      <c r="AG295" s="3">
        <f>IF(ISERROR(VLOOKUP($A295,'SegEnds_NonXtal_BW#'!$A:$Z,23,FALSE)+VLOOKUP($A295,A:AL,34,FALSE)-50),"-",(VLOOKUP($A295,'SegEnds_NonXtal_BW#'!$A:$Z,23,FALSE)+VLOOKUP($A295,A:AL,34,FALSE)-50))</f>
        <v>262</v>
      </c>
      <c r="AH295" s="3">
        <v>288</v>
      </c>
      <c r="AI295" s="3">
        <f>IF(ISERROR((VLOOKUP($A295,'SegEnds_NonXtal_BW#'!$A:$Z,24,FALSE)+VLOOKUP($A295,A:AL,34,FALSE)-50)),"-",(VLOOKUP($A295,'SegEnds_NonXtal_BW#'!$A:$Z,24,FALSE)+VLOOKUP($A295,A:AL,34,FALSE)-50))</f>
        <v>294</v>
      </c>
      <c r="AJ295" s="3">
        <f>IF(ISERROR(VLOOKUP($A295,'SegEnds_NonXtal_BW#'!$A:$Z,25,FALSE)+VLOOKUP($A295,A:AL,37,FALSE)-50),"-",(VLOOKUP($A295,'SegEnds_NonXtal_BW#'!$A:$Z,25,FALSE)+VLOOKUP($A295,A:AL,37,FALSE)-50))</f>
        <v>295</v>
      </c>
      <c r="AK295" s="3">
        <v>298</v>
      </c>
      <c r="AL295" s="3">
        <f>IF(ISERROR((VLOOKUP($A295,'SegEnds_NonXtal_BW#'!$A:$Z,26,FALSE)+VLOOKUP($A295,A:AL,37,FALSE)-50)),"-",(VLOOKUP($A295,'SegEnds_NonXtal_BW#'!$A:$Z,26,FALSE)+VLOOKUP($A295,A:AL,37,FALSE)-50))</f>
        <v>310</v>
      </c>
      <c r="AM295" s="28" t="str">
        <f>VLOOKUP(A295,Classification!A:B,2,FALSE)</f>
        <v>A</v>
      </c>
      <c r="AN295" s="28" t="b">
        <f>AND(IF(Y295="-",IF(AA295-W295&gt;3,TRUE,FALSE),TRUE),IF(M295="-",IF(O295-K295&gt;3,TRUE,FALSE),TRUE),C295&lt;E295,OR(E295&lt;F295,F295="-"),OR(F295&lt;H295,F295="-"),OR(H295&lt;I295,H295="-"),I295&lt;K295,OR(K295&lt;L295,L295="-"),OR(L295&lt;N295,L295="-"),OR(N295&lt;O295,N295="-"),O295&lt;Q295,OR(Q295&lt;R295,R295="-"),OR(R295&lt;T295,R295="-"),OR(T295&lt;U295,T295="-"),U295&lt;W295,OR(W295&lt;X295,X295="-"),OR(X295&lt;Z295,X295="-"),OR(Z295&lt;AA295,Z295="-"),AA295&lt;AC295,AC295&lt;AD295,AD295&lt;AF295,AF295&lt;AG295,AG295&lt;AI295,OR(AI295&lt;AJ295,AJ295="-"),OR(AJ295&lt;AL295,AJ295="-"))</f>
        <v>1</v>
      </c>
      <c r="AO295" s="3" t="str">
        <f>IF(ISERROR(MATCH(A295,'SegEnds_Xtal_Prot#'!B:B, 0)), "NoXtal", "Xtal")</f>
        <v>Xtal</v>
      </c>
      <c r="AP295" s="3">
        <f>IF(ISERROR(F295-E295),"-",F295-E295)</f>
        <v>1</v>
      </c>
      <c r="AQ295" s="3">
        <f>IF(ISERROR(I295-H295),"-",I295-H295)</f>
        <v>1</v>
      </c>
      <c r="AR295" s="3" t="str">
        <f>IF(ISERROR(L295-K295),"-",L295-K295)</f>
        <v>-</v>
      </c>
      <c r="AS295" s="3" t="str">
        <f>IF(ISERROR(O295-N295),"-",O295-N295)</f>
        <v>-</v>
      </c>
      <c r="AT295" s="3" t="str">
        <f>IF(ISERROR(R295-Q295),"-",R295-Q295)</f>
        <v>-</v>
      </c>
      <c r="AU295" s="3" t="str">
        <f>IF(ISERROR(U295-T295),"-",U295-T295)</f>
        <v>-</v>
      </c>
      <c r="AV295" s="3">
        <f>IF(ISERROR(X295-W295),"-",X295-W295)</f>
        <v>8</v>
      </c>
      <c r="AW295" s="3">
        <f>IF(ISERROR(AA295-Z295),"-",AA295-Z295)</f>
        <v>7</v>
      </c>
      <c r="AX295" s="3">
        <f>IF(ISERROR(AD295-AC295),"-",AD295-AC295)</f>
        <v>4</v>
      </c>
      <c r="AY295" s="3">
        <f>IF(ISERROR(AG295-AF295),"-",AG295-AF295)</f>
        <v>5</v>
      </c>
      <c r="AZ295" s="3">
        <f>IF(ISERROR(AJ295-AI295),"-",AJ295-AI295)</f>
        <v>1</v>
      </c>
      <c r="BA295" s="3">
        <f>IF(ISERROR(LEN(VLOOKUP(A295,Seqs!A:E,2,FALSE))-AL295),"-",LEN(VLOOKUP(A295,Seqs!A:E,2,FALSE))-AL295)</f>
        <v>44</v>
      </c>
      <c r="BB295" s="16">
        <f>J295-D295</f>
        <v>28</v>
      </c>
      <c r="BC295" s="9" t="str">
        <f>IF(ISERROR(V295-S295),"-",V295-S295)</f>
        <v>-</v>
      </c>
      <c r="BD295" s="3">
        <f>J295-D295</f>
        <v>28</v>
      </c>
      <c r="BE295" s="3">
        <f>AE295-AB295</f>
        <v>43</v>
      </c>
    </row>
    <row r="296" spans="1:59" s="3" customFormat="1" x14ac:dyDescent="0.2">
      <c r="A296" s="3" t="s">
        <v>401</v>
      </c>
      <c r="B296" s="3" t="str">
        <f>LOWER(VLOOKUP(A296,Xtal_Templ!A:B,2,FALSE))</f>
        <v>calcr_human</v>
      </c>
      <c r="C296" s="3">
        <f>VLOOKUP($A296,'SegEnds_NonXtal_BW#'!$A:$Z,3,FALSE)+D296-50</f>
        <v>132</v>
      </c>
      <c r="D296" s="3">
        <v>163</v>
      </c>
      <c r="E296" s="3">
        <f>IF(ISERROR(VLOOKUP($A296,'SegEnds_NonXtal_BW#'!$A:$Z,4,FALSE)+VLOOKUP($A296,A:AL,4,FALSE)-50),"-",(VLOOKUP($A296,'SegEnds_NonXtal_BW#'!$A:$Z,4,FALSE)+VLOOKUP($A296,A:AL,4,FALSE)-50))</f>
        <v>173</v>
      </c>
      <c r="F296" s="3">
        <f>G296-2</f>
        <v>174</v>
      </c>
      <c r="G296" s="3">
        <v>176</v>
      </c>
      <c r="H296" s="3">
        <f>G296+1</f>
        <v>177</v>
      </c>
      <c r="I296" s="3">
        <f>H296+1</f>
        <v>178</v>
      </c>
      <c r="J296" s="3">
        <v>191</v>
      </c>
      <c r="K296" s="3">
        <f>VLOOKUP($A296,'SegEnds_NonXtal_BW#'!$A:$Z,8,FALSE)+VLOOKUP($A296,A:AL,10,FALSE)-50</f>
        <v>205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215</v>
      </c>
      <c r="P296" s="3">
        <v>244</v>
      </c>
      <c r="Q296" s="3">
        <f>VLOOKUP($A296,'SegEnds_NonXtal_BW#'!$A:$Z,12,FALSE)+VLOOKUP($A296,A:AL,16,FALSE)-50</f>
        <v>250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258</v>
      </c>
      <c r="V296" s="3">
        <v>267</v>
      </c>
      <c r="W296" s="3">
        <f>IF(ISERROR(VLOOKUP($A296,'SegEnds_NonXtal_BW#'!$A:$Z,16,FALSE)+VLOOKUP($A296,A:AL,22,FALSE)-50),"-",(VLOOKUP($A296,'SegEnds_NonXtal_BW#'!$A:$Z,16,FALSE)+VLOOKUP($A296,A:AL,22,FALSE)-50))</f>
        <v>285</v>
      </c>
      <c r="X296" s="3">
        <f>IF(ISERROR(VLOOKUP($A296,'SegEnds_NonXtal_BW#'!$A:$Z,17,FALSE)+VLOOKUP($A296,A:AL,25,FALSE)-50),"-",(VLOOKUP($A296,'SegEnds_NonXtal_BW#'!$A:$Z,17,FALSE)+VLOOKUP($A296,A:AL,25,FALSE)-50))</f>
        <v>289</v>
      </c>
      <c r="Y296" s="3">
        <v>289</v>
      </c>
      <c r="Z296" s="3">
        <f>Y296+2</f>
        <v>291</v>
      </c>
      <c r="AA296" s="3">
        <f>IF(ISERROR(VLOOKUP($A296,'SegEnds_NonXtal_BW#'!$A:$Z,19,FALSE)+VLOOKUP($A296,A:AL,28,FALSE)-50),"-",(VLOOKUP($A296,'SegEnds_NonXtal_BW#'!$A:$Z,19,FALSE)+VLOOKUP($A296,A:AL,28,FALSE)-50))</f>
        <v>298</v>
      </c>
      <c r="AB296" s="3">
        <v>308</v>
      </c>
      <c r="AC296" s="3">
        <f>IF(ISERROR((VLOOKUP($A296,'SegEnds_NonXtal_BW#'!$A:$Z,20,FALSE)+VLOOKUP($A296,A:AL,28,FALSE)-50)),"-",(VLOOKUP($A296,'SegEnds_NonXtal_BW#'!$A:$Z,20,FALSE)+VLOOKUP($A296,A:AL,28,FALSE)-50))</f>
        <v>328</v>
      </c>
      <c r="AD296" s="3">
        <f>IF(ISERROR(VLOOKUP($A296,'SegEnds_NonXtal_BW#'!$A:$Z,21,FALSE)+VLOOKUP($A296,A:AL,31,FALSE)-50),"-",(VLOOKUP($A296,'SegEnds_NonXtal_BW#'!$A:$Z,21,FALSE)+VLOOKUP($A296,A:AL,31,FALSE)-50))</f>
        <v>338</v>
      </c>
      <c r="AE296" s="3">
        <v>358</v>
      </c>
      <c r="AF296" s="3">
        <f>IF(ISERROR((VLOOKUP($A296,'SegEnds_NonXtal_BW#'!$A:$Z,22,FALSE)+VLOOKUP($A296,A:AL,31,FALSE)-50)),"-",(VLOOKUP($A296,'SegEnds_NonXtal_BW#'!$A:$Z,22,FALSE)+VLOOKUP($A296,A:AL,31,FALSE)-50))</f>
        <v>361</v>
      </c>
      <c r="AG296" s="3">
        <f>IF(ISERROR(VLOOKUP($A296,'SegEnds_NonXtal_BW#'!$A:$Z,23,FALSE)+VLOOKUP($A296,A:AL,34,FALSE)-50),"-",(VLOOKUP($A296,'SegEnds_NonXtal_BW#'!$A:$Z,23,FALSE)+VLOOKUP($A296,A:AL,34,FALSE)-50))</f>
        <v>366</v>
      </c>
      <c r="AH296" s="3">
        <v>388</v>
      </c>
      <c r="AI296" s="3">
        <f>IF(ISERROR((VLOOKUP($A296,'SegEnds_NonXtal_BW#'!$A:$Z,24,FALSE)+VLOOKUP($A296,A:AL,34,FALSE)-50)),"-",(VLOOKUP($A296,'SegEnds_NonXtal_BW#'!$A:$Z,24,FALSE)+VLOOKUP($A296,A:AL,34,FALSE)-50))</f>
        <v>394</v>
      </c>
      <c r="AJ296" s="3">
        <f>IF(ISERROR(VLOOKUP($A296,'SegEnds_NonXtal_BW#'!$A:$Z,25,FALSE)+VLOOKUP($A296,A:AL,37,FALSE)-50),"-",(VLOOKUP($A296,'SegEnds_NonXtal_BW#'!$A:$Z,25,FALSE)+VLOOKUP($A296,A:AL,37,FALSE)-50))</f>
        <v>395</v>
      </c>
      <c r="AK296" s="3">
        <v>398</v>
      </c>
      <c r="AL296" s="3">
        <f>IF(ISERROR((VLOOKUP($A296,'SegEnds_NonXtal_BW#'!$A:$Z,26,FALSE)+VLOOKUP($A296,A:AL,37,FALSE)-50)),"-",(VLOOKUP($A296,'SegEnds_NonXtal_BW#'!$A:$Z,26,FALSE)+VLOOKUP($A296,A:AL,37,FALSE)-50))</f>
        <v>420</v>
      </c>
      <c r="AM296" s="28" t="str">
        <f>VLOOKUP(A296,Classification!A:B,2,FALSE)</f>
        <v>B1</v>
      </c>
      <c r="AN296" s="28" t="b">
        <f>AND(IF(Y296="-",IF(AA296-W296&gt;3,TRUE,FALSE),TRUE),IF(M296="-",IF(O296-K296&gt;3,TRUE,FALSE),TRUE),C296&lt;E296,OR(E296&lt;F296,F296="-"),OR(F296&lt;H296,F296="-"),OR(H296&lt;I296,H296="-"),I296&lt;K296,OR(K296&lt;L296,L296="-"),OR(L296&lt;N296,L296="-"),OR(N296&lt;O296,N296="-"),O296&lt;Q296,OR(Q296&lt;R296,R296="-"),OR(R296&lt;T296,R296="-"),OR(T296&lt;U296,T296="-"),U296&lt;W296,OR(W296&lt;X296,X296="-"),OR(X296&lt;Z296,X296="-"),OR(Z296&lt;AA296,Z296="-"),AA296&lt;AC296,AC296&lt;AD296,AD296&lt;AF296,AF296&lt;AG296,AG296&lt;AI296,OR(AI296&lt;AJ296,AJ296="-"),OR(AJ296&lt;AL296,AJ296="-"))</f>
        <v>1</v>
      </c>
      <c r="AO296" s="3" t="str">
        <f>IF(ISERROR(MATCH(A296,'SegEnds_Xtal_Prot#'!B:B, 0)), "NoXtal", "Xtal")</f>
        <v>Xtal</v>
      </c>
      <c r="AP296" s="3">
        <f>IF(ISERROR(F296-E296),"-",F296-E296)</f>
        <v>1</v>
      </c>
      <c r="AQ296" s="3">
        <f>IF(ISERROR(I296-H296),"-",I296-H296)</f>
        <v>1</v>
      </c>
      <c r="AR296" s="3" t="str">
        <f>IF(ISERROR(L296-K296),"-",L296-K296)</f>
        <v>-</v>
      </c>
      <c r="AS296" s="3" t="str">
        <f>IF(ISERROR(O296-N296),"-",O296-N296)</f>
        <v>-</v>
      </c>
      <c r="AT296" s="3" t="str">
        <f>IF(ISERROR(R296-Q296),"-",R296-Q296)</f>
        <v>-</v>
      </c>
      <c r="AU296" s="3" t="str">
        <f>IF(ISERROR(U296-T296),"-",U296-T296)</f>
        <v>-</v>
      </c>
      <c r="AV296" s="3">
        <f>IF(ISERROR(X296-W296),"-",X296-W296)</f>
        <v>4</v>
      </c>
      <c r="AW296" s="3">
        <f>IF(ISERROR(AA296-Z296),"-",AA296-Z296)</f>
        <v>7</v>
      </c>
      <c r="AX296" s="3">
        <f>IF(ISERROR(AD296-AC296),"-",AD296-AC296)</f>
        <v>10</v>
      </c>
      <c r="AY296" s="3">
        <f>IF(ISERROR(AG296-AF296),"-",AG296-AF296)</f>
        <v>5</v>
      </c>
      <c r="AZ296" s="3">
        <f>IF(ISERROR(AJ296-AI296),"-",AJ296-AI296)</f>
        <v>1</v>
      </c>
      <c r="BA296" s="3">
        <f>IF(ISERROR(LEN(VLOOKUP(A296,Seqs!A:E,2,FALSE))-AL296),"-",LEN(VLOOKUP(A296,Seqs!A:E,2,FALSE))-AL296)</f>
        <v>54</v>
      </c>
      <c r="BB296" s="16">
        <f>J296-D296</f>
        <v>28</v>
      </c>
      <c r="BC296" s="9" t="str">
        <f>IF(ISERROR(V296-S296),"-",V296-S296)</f>
        <v>-</v>
      </c>
      <c r="BD296" s="3">
        <f>J296-D296</f>
        <v>28</v>
      </c>
      <c r="BE296" s="3">
        <f>AE296-AB296</f>
        <v>50</v>
      </c>
    </row>
    <row r="297" spans="1:59" s="3" customFormat="1" ht="17" customHeight="1" x14ac:dyDescent="0.2">
      <c r="A297" s="3" t="s">
        <v>402</v>
      </c>
      <c r="B297" s="3" t="str">
        <f>LOWER(VLOOKUP(A297,Xtal_Templ!A:B,2,FALSE))</f>
        <v>calcr_human</v>
      </c>
      <c r="C297" s="3">
        <f>VLOOKUP($A297,'SegEnds_NonXtal_BW#'!$A:$Z,3,FALSE)+D297-50</f>
        <v>125</v>
      </c>
      <c r="D297" s="3">
        <v>156</v>
      </c>
      <c r="E297" s="3">
        <f>IF(ISERROR(VLOOKUP($A297,'SegEnds_NonXtal_BW#'!$A:$Z,4,FALSE)+VLOOKUP($A297,A:AL,4,FALSE)-50),"-",(VLOOKUP($A297,'SegEnds_NonXtal_BW#'!$A:$Z,4,FALSE)+VLOOKUP($A297,A:AL,4,FALSE)-50))</f>
        <v>166</v>
      </c>
      <c r="F297" s="3">
        <f>G297-2</f>
        <v>167</v>
      </c>
      <c r="G297" s="3">
        <v>169</v>
      </c>
      <c r="H297" s="3">
        <f>G297+1</f>
        <v>170</v>
      </c>
      <c r="I297" s="3">
        <f>H297+1</f>
        <v>171</v>
      </c>
      <c r="J297" s="3">
        <v>184</v>
      </c>
      <c r="K297" s="3">
        <f>VLOOKUP($A297,'SegEnds_NonXtal_BW#'!$A:$Z,8,FALSE)+VLOOKUP($A297,A:AL,10,FALSE)-50</f>
        <v>198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208</v>
      </c>
      <c r="P297" s="3">
        <v>237</v>
      </c>
      <c r="Q297" s="3">
        <f>VLOOKUP($A297,'SegEnds_NonXtal_BW#'!$A:$Z,12,FALSE)+VLOOKUP($A297,A:AL,16,FALSE)-50</f>
        <v>243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251</v>
      </c>
      <c r="V297" s="3">
        <v>260</v>
      </c>
      <c r="W297" s="3">
        <f>IF(ISERROR(VLOOKUP($A297,'SegEnds_NonXtal_BW#'!$A:$Z,16,FALSE)+VLOOKUP($A297,A:AL,22,FALSE)-50),"-",(VLOOKUP($A297,'SegEnds_NonXtal_BW#'!$A:$Z,16,FALSE)+VLOOKUP($A297,A:AL,22,FALSE)-50))</f>
        <v>278</v>
      </c>
      <c r="X297" s="3">
        <f>IF(ISERROR(VLOOKUP($A297,'SegEnds_NonXtal_BW#'!$A:$Z,17,FALSE)+VLOOKUP($A297,A:AL,25,FALSE)-50),"-",(VLOOKUP($A297,'SegEnds_NonXtal_BW#'!$A:$Z,17,FALSE)+VLOOKUP($A297,A:AL,25,FALSE)-50))</f>
        <v>282</v>
      </c>
      <c r="Y297" s="3">
        <v>282</v>
      </c>
      <c r="Z297" s="3">
        <f>Y297+2</f>
        <v>284</v>
      </c>
      <c r="AA297" s="3">
        <f>IF(ISERROR(VLOOKUP($A297,'SegEnds_NonXtal_BW#'!$A:$Z,19,FALSE)+VLOOKUP($A297,A:AL,28,FALSE)-50),"-",(VLOOKUP($A297,'SegEnds_NonXtal_BW#'!$A:$Z,19,FALSE)+VLOOKUP($A297,A:AL,28,FALSE)-50))</f>
        <v>290</v>
      </c>
      <c r="AB297" s="3">
        <v>301</v>
      </c>
      <c r="AC297" s="3">
        <f>IF(ISERROR((VLOOKUP($A297,'SegEnds_NonXtal_BW#'!$A:$Z,20,FALSE)+VLOOKUP($A297,A:AL,28,FALSE)-50)),"-",(VLOOKUP($A297,'SegEnds_NonXtal_BW#'!$A:$Z,20,FALSE)+VLOOKUP($A297,A:AL,28,FALSE)-50))</f>
        <v>321</v>
      </c>
      <c r="AD297" s="3">
        <f>IF(ISERROR(VLOOKUP($A297,'SegEnds_NonXtal_BW#'!$A:$Z,21,FALSE)+VLOOKUP($A297,A:AL,31,FALSE)-50),"-",(VLOOKUP($A297,'SegEnds_NonXtal_BW#'!$A:$Z,21,FALSE)+VLOOKUP($A297,A:AL,31,FALSE)-50))</f>
        <v>331</v>
      </c>
      <c r="AE297" s="3">
        <v>351</v>
      </c>
      <c r="AF297" s="3">
        <f>IF(ISERROR((VLOOKUP($A297,'SegEnds_NonXtal_BW#'!$A:$Z,22,FALSE)+VLOOKUP($A297,A:AL,31,FALSE)-50)),"-",(VLOOKUP($A297,'SegEnds_NonXtal_BW#'!$A:$Z,22,FALSE)+VLOOKUP($A297,A:AL,31,FALSE)-50))</f>
        <v>354</v>
      </c>
      <c r="AG297" s="3">
        <f>IF(ISERROR(VLOOKUP($A297,'SegEnds_NonXtal_BW#'!$A:$Z,23,FALSE)+VLOOKUP($A297,A:AL,34,FALSE)-50),"-",(VLOOKUP($A297,'SegEnds_NonXtal_BW#'!$A:$Z,23,FALSE)+VLOOKUP($A297,A:AL,34,FALSE)-50))</f>
        <v>359</v>
      </c>
      <c r="AH297" s="3">
        <v>381</v>
      </c>
      <c r="AI297" s="3">
        <f>IF(ISERROR((VLOOKUP($A297,'SegEnds_NonXtal_BW#'!$A:$Z,24,FALSE)+VLOOKUP($A297,A:AL,34,FALSE)-50)),"-",(VLOOKUP($A297,'SegEnds_NonXtal_BW#'!$A:$Z,24,FALSE)+VLOOKUP($A297,A:AL,34,FALSE)-50))</f>
        <v>387</v>
      </c>
      <c r="AJ297" s="3">
        <f>IF(ISERROR(VLOOKUP($A297,'SegEnds_NonXtal_BW#'!$A:$Z,25,FALSE)+VLOOKUP($A297,A:AL,37,FALSE)-50),"-",(VLOOKUP($A297,'SegEnds_NonXtal_BW#'!$A:$Z,25,FALSE)+VLOOKUP($A297,A:AL,37,FALSE)-50))</f>
        <v>388</v>
      </c>
      <c r="AK297" s="3">
        <v>391</v>
      </c>
      <c r="AL297" s="3">
        <f>IF(ISERROR((VLOOKUP($A297,'SegEnds_NonXtal_BW#'!$A:$Z,26,FALSE)+VLOOKUP($A297,A:AL,37,FALSE)-50)),"-",(VLOOKUP($A297,'SegEnds_NonXtal_BW#'!$A:$Z,26,FALSE)+VLOOKUP($A297,A:AL,37,FALSE)-50))</f>
        <v>413</v>
      </c>
      <c r="AM297" s="28" t="str">
        <f>VLOOKUP(A297,Classification!A:B,2,FALSE)</f>
        <v>B1</v>
      </c>
      <c r="AN297" s="28" t="b">
        <f>AND(IF(Y297="-",IF(AA297-W297&gt;3,TRUE,FALSE),TRUE),IF(M297="-",IF(O297-K297&gt;3,TRUE,FALSE),TRUE),C297&lt;E297,OR(E297&lt;F297,F297="-"),OR(F297&lt;H297,F297="-"),OR(H297&lt;I297,H297="-"),I297&lt;K297,OR(K297&lt;L297,L297="-"),OR(L297&lt;N297,L297="-"),OR(N297&lt;O297,N297="-"),O297&lt;Q297,OR(Q297&lt;R297,R297="-"),OR(R297&lt;T297,R297="-"),OR(T297&lt;U297,T297="-"),U297&lt;W297,OR(W297&lt;X297,X297="-"),OR(X297&lt;Z297,X297="-"),OR(Z297&lt;AA297,Z297="-"),AA297&lt;AC297,AC297&lt;AD297,AD297&lt;AF297,AF297&lt;AG297,AG297&lt;AI297,OR(AI297&lt;AJ297,AJ297="-"),OR(AJ297&lt;AL297,AJ297="-"))</f>
        <v>1</v>
      </c>
      <c r="AO297" s="3" t="str">
        <f>IF(ISERROR(MATCH(A297,'SegEnds_Xtal_Prot#'!B:B, 0)), "NoXtal", "Xtal")</f>
        <v>NoXtal</v>
      </c>
      <c r="AP297" s="3">
        <f>IF(ISERROR(F297-E297),"-",F297-E297)</f>
        <v>1</v>
      </c>
      <c r="AQ297" s="3">
        <f>IF(ISERROR(I297-H297),"-",I297-H297)</f>
        <v>1</v>
      </c>
      <c r="AR297" s="3" t="str">
        <f>IF(ISERROR(L297-K297),"-",L297-K297)</f>
        <v>-</v>
      </c>
      <c r="AS297" s="3" t="str">
        <f>IF(ISERROR(O297-N297),"-",O297-N297)</f>
        <v>-</v>
      </c>
      <c r="AT297" s="3" t="str">
        <f>IF(ISERROR(R297-Q297),"-",R297-Q297)</f>
        <v>-</v>
      </c>
      <c r="AU297" s="3" t="str">
        <f>IF(ISERROR(U297-T297),"-",U297-T297)</f>
        <v>-</v>
      </c>
      <c r="AV297" s="3">
        <f>IF(ISERROR(X297-W297),"-",X297-W297)</f>
        <v>4</v>
      </c>
      <c r="AW297" s="3">
        <f>IF(ISERROR(AA297-Z297),"-",AA297-Z297)</f>
        <v>6</v>
      </c>
      <c r="AX297" s="3">
        <f>IF(ISERROR(AD297-AC297),"-",AD297-AC297)</f>
        <v>10</v>
      </c>
      <c r="AY297" s="3">
        <f>IF(ISERROR(AG297-AF297),"-",AG297-AF297)</f>
        <v>5</v>
      </c>
      <c r="AZ297" s="3">
        <f>IF(ISERROR(AJ297-AI297),"-",AJ297-AI297)</f>
        <v>1</v>
      </c>
      <c r="BA297" s="3">
        <f>IF(ISERROR(LEN(VLOOKUP(A297,Seqs!A:E,2,FALSE))-AL297),"-",LEN(VLOOKUP(A297,Seqs!A:E,2,FALSE))-AL297)</f>
        <v>48</v>
      </c>
      <c r="BB297" s="16">
        <f>J297-D297</f>
        <v>28</v>
      </c>
      <c r="BC297" s="9" t="str">
        <f>IF(ISERROR(V297-S297),"-",V297-S297)</f>
        <v>-</v>
      </c>
      <c r="BD297" s="3">
        <f>J297-D297</f>
        <v>28</v>
      </c>
      <c r="BE297" s="3">
        <f>AE297-AB297</f>
        <v>50</v>
      </c>
    </row>
    <row r="298" spans="1:59" s="3" customFormat="1" x14ac:dyDescent="0.2">
      <c r="A298" s="3" t="s">
        <v>38</v>
      </c>
      <c r="B298" s="3" t="str">
        <f>LOWER(VLOOKUP(A298,Xtal_Templ!A:B,2,FALSE))</f>
        <v>crfr1_human</v>
      </c>
      <c r="C298" s="3">
        <f>VLOOKUP($A298,'SegEnds_NonXtal_BW#'!$A:$Z,3,FALSE)+D298-50</f>
        <v>103</v>
      </c>
      <c r="D298" s="3">
        <v>134</v>
      </c>
      <c r="E298" s="3">
        <f>IF(ISERROR(VLOOKUP($A298,'SegEnds_NonXtal_BW#'!$A:$Z,4,FALSE)+VLOOKUP($A298,A:AL,4,FALSE)-50),"-",(VLOOKUP($A298,'SegEnds_NonXtal_BW#'!$A:$Z,4,FALSE)+VLOOKUP($A298,A:AL,4,FALSE)-50))</f>
        <v>144</v>
      </c>
      <c r="F298" s="3">
        <f>G298-2</f>
        <v>145</v>
      </c>
      <c r="G298" s="3">
        <v>147</v>
      </c>
      <c r="H298" s="3">
        <f>G298+1</f>
        <v>148</v>
      </c>
      <c r="I298" s="3">
        <f>H298+1</f>
        <v>149</v>
      </c>
      <c r="J298" s="3">
        <v>162</v>
      </c>
      <c r="K298" s="3">
        <f>VLOOKUP($A298,'SegEnds_NonXtal_BW#'!$A:$Z,8,FALSE)+VLOOKUP($A298,A:AL,10,FALSE)-50</f>
        <v>175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185</v>
      </c>
      <c r="P298" s="3">
        <v>213</v>
      </c>
      <c r="Q298" s="3">
        <f>VLOOKUP($A298,'SegEnds_NonXtal_BW#'!$A:$Z,12,FALSE)+VLOOKUP($A298,A:AL,16,FALSE)-50</f>
        <v>219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226</v>
      </c>
      <c r="V298" s="3">
        <v>236</v>
      </c>
      <c r="W298" s="3">
        <f>IF(ISERROR(VLOOKUP($A298,'SegEnds_NonXtal_BW#'!$A:$Z,16,FALSE)+VLOOKUP($A298,A:AL,22,FALSE)-50),"-",(VLOOKUP($A298,'SegEnds_NonXtal_BW#'!$A:$Z,16,FALSE)+VLOOKUP($A298,A:AL,22,FALSE)-50))</f>
        <v>254</v>
      </c>
      <c r="X298" s="3">
        <f>IF(ISERROR(VLOOKUP($A298,'SegEnds_NonXtal_BW#'!$A:$Z,17,FALSE)+VLOOKUP($A298,A:AL,25,FALSE)-50),"-",(VLOOKUP($A298,'SegEnds_NonXtal_BW#'!$A:$Z,17,FALSE)+VLOOKUP($A298,A:AL,25,FALSE)-50))</f>
        <v>258</v>
      </c>
      <c r="Y298" s="3">
        <v>258</v>
      </c>
      <c r="Z298" s="3">
        <f>Y298+2</f>
        <v>260</v>
      </c>
      <c r="AA298" s="3">
        <f>IF(ISERROR(VLOOKUP($A298,'SegEnds_NonXtal_BW#'!$A:$Z,19,FALSE)+AB298-50),"-",(VLOOKUP($A298,'SegEnds_NonXtal_BW#'!$A:$Z,19,FALSE)+AB298-50))</f>
        <v>268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298</v>
      </c>
      <c r="AD298" s="3">
        <f>IF(ISERROR(VLOOKUP($A298,'SegEnds_NonXtal_BW#'!$A:$Z,21,FALSE)+AE298-50),"-",(VLOOKUP($A298,'SegEnds_NonXtal_BW#'!$A:$Z,21,FALSE)+AE298-50))</f>
        <v>304</v>
      </c>
      <c r="AE298" s="3">
        <v>329</v>
      </c>
      <c r="AF298" s="3">
        <f>IF(ISERROR((VLOOKUP($A298,'SegEnds_NonXtal_BW#'!$A:$Z,22,FALSE)+AE298-50)),"-",(VLOOKUP($A298,'SegEnds_NonXtal_BW#'!$A:$Z,22,FALSE)+AE298-50))</f>
        <v>332</v>
      </c>
      <c r="AG298" s="3">
        <f>IF(ISERROR(VLOOKUP($A298,'SegEnds_NonXtal_BW#'!$A:$Z,23,FALSE)+VLOOKUP($A298,A:AL,34,FALSE)-50),"-",(VLOOKUP($A298,'SegEnds_NonXtal_BW#'!$A:$Z,23,FALSE)+VLOOKUP($A298,A:AL,34,FALSE)-50))</f>
        <v>339</v>
      </c>
      <c r="AH298" s="3">
        <v>360</v>
      </c>
      <c r="AI298" s="3">
        <f>IF(ISERROR((VLOOKUP($A298,'SegEnds_NonXtal_BW#'!$A:$Z,24,FALSE)+VLOOKUP($A298,A:AL,34,FALSE)-50)),"-",(VLOOKUP($A298,'SegEnds_NonXtal_BW#'!$A:$Z,24,FALSE)+VLOOKUP($A298,A:AL,34,FALSE)-50))</f>
        <v>366</v>
      </c>
      <c r="AJ298" s="3">
        <f>IF(ISERROR(VLOOKUP($A298,'SegEnds_NonXtal_BW#'!$A:$Z,25,FALSE)+VLOOKUP($A298,A:AL,37,FALSE)-50),"-",(VLOOKUP($A298,'SegEnds_NonXtal_BW#'!$A:$Z,25,FALSE)+VLOOKUP($A298,A:AL,37,FALSE)-50))</f>
        <v>367</v>
      </c>
      <c r="AK298" s="3">
        <v>370</v>
      </c>
      <c r="AL298" s="3">
        <f>IF(ISERROR((VLOOKUP($A298,'SegEnds_NonXtal_BW#'!$A:$Z,26,FALSE)+VLOOKUP($A298,A:AL,37,FALSE)-50)),"-",(VLOOKUP($A298,'SegEnds_NonXtal_BW#'!$A:$Z,26,FALSE)+VLOOKUP($A298,A:AL,37,FALSE)-50))</f>
        <v>392</v>
      </c>
      <c r="AM298" s="28" t="str">
        <f>VLOOKUP(A298,Classification!A:B,2,FALSE)</f>
        <v>B1</v>
      </c>
      <c r="AN298" s="28" t="b">
        <f>AND(IF(Y298="-",IF(AA298-W298&gt;3,TRUE,FALSE),TRUE),IF(M298="-",IF(O298-K298&gt;3,TRUE,FALSE),TRU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4</v>
      </c>
      <c r="AW298" s="3">
        <f>IF(ISERROR(AA298-Z298),"-",AA298-Z298)</f>
        <v>8</v>
      </c>
      <c r="AX298" s="3">
        <f>IF(ISERROR(AD298-AC298),"-",AD298-AC298)</f>
        <v>6</v>
      </c>
      <c r="AY298" s="3">
        <f>IF(ISERROR(AG298-AF298),"-",AG298-AF298)</f>
        <v>7</v>
      </c>
      <c r="AZ298" s="3">
        <f>IF(ISERROR(AJ298-AI298),"-",AJ298-AI298)</f>
        <v>1</v>
      </c>
      <c r="BA298" s="3">
        <f>IF(ISERROR(LEN(VLOOKUP(A298,Seqs!A:E,2,FALSE))-AL298),"-",LEN(VLOOKUP(A298,Seqs!A:E,2,FALSE))-AL298)</f>
        <v>23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50</v>
      </c>
      <c r="BF298" s="3">
        <f>AH298-AE298</f>
        <v>31</v>
      </c>
    </row>
    <row r="299" spans="1:59" s="3" customFormat="1" x14ac:dyDescent="0.2">
      <c r="A299" s="3" t="s">
        <v>403</v>
      </c>
      <c r="B299" s="3" t="str">
        <f>LOWER(VLOOKUP(A299,Xtal_Templ!A:B,2,FALSE))</f>
        <v>crfr1_human</v>
      </c>
      <c r="C299" s="3">
        <f>VLOOKUP($A299,'SegEnds_NonXtal_BW#'!$A:$Z,3,FALSE)+D299-50</f>
        <v>100</v>
      </c>
      <c r="D299" s="3">
        <v>131</v>
      </c>
      <c r="E299" s="3">
        <f>IF(ISERROR(VLOOKUP($A299,'SegEnds_NonXtal_BW#'!$A:$Z,4,FALSE)+VLOOKUP($A299,A:AL,4,FALSE)-50),"-",(VLOOKUP($A299,'SegEnds_NonXtal_BW#'!$A:$Z,4,FALSE)+VLOOKUP($A299,A:AL,4,FALSE)-50))</f>
        <v>141</v>
      </c>
      <c r="F299" s="3">
        <f>G299-2</f>
        <v>142</v>
      </c>
      <c r="G299" s="3">
        <v>144</v>
      </c>
      <c r="H299" s="3">
        <f>G299+1</f>
        <v>145</v>
      </c>
      <c r="I299" s="3">
        <f>H299+1</f>
        <v>146</v>
      </c>
      <c r="J299" s="3">
        <v>159</v>
      </c>
      <c r="K299" s="3">
        <f>VLOOKUP($A299,'SegEnds_NonXtal_BW#'!$A:$Z,8,FALSE)+VLOOKUP($A299,A:AL,10,FALSE)-50</f>
        <v>172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181</v>
      </c>
      <c r="P299" s="3">
        <v>209</v>
      </c>
      <c r="Q299" s="3">
        <f>VLOOKUP($A299,'SegEnds_NonXtal_BW#'!$A:$Z,12,FALSE)+VLOOKUP($A299,A:AL,16,FALSE)-50</f>
        <v>215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222</v>
      </c>
      <c r="V299" s="3">
        <v>232</v>
      </c>
      <c r="W299" s="3">
        <f>IF(ISERROR(VLOOKUP($A299,'SegEnds_NonXtal_BW#'!$A:$Z,16,FALSE)+VLOOKUP($A299,A:AL,22,FALSE)-50),"-",(VLOOKUP($A299,'SegEnds_NonXtal_BW#'!$A:$Z,16,FALSE)+VLOOKUP($A299,A:AL,22,FALSE)-50))</f>
        <v>250</v>
      </c>
      <c r="X299" s="3">
        <f>IF(ISERROR(VLOOKUP($A299,'SegEnds_NonXtal_BW#'!$A:$Z,17,FALSE)+VLOOKUP($A299,A:AL,25,FALSE)-50),"-",(VLOOKUP($A299,'SegEnds_NonXtal_BW#'!$A:$Z,17,FALSE)+VLOOKUP($A299,A:AL,25,FALSE)-50))</f>
        <v>254</v>
      </c>
      <c r="Y299" s="3">
        <v>254</v>
      </c>
      <c r="Z299" s="3">
        <f>Y299+2</f>
        <v>256</v>
      </c>
      <c r="AA299" s="3">
        <f>IF(ISERROR(VLOOKUP($A299,'SegEnds_NonXtal_BW#'!$A:$Z,19,FALSE)+VLOOKUP($A299,A:AL,28,FALSE)-50),"-",(VLOOKUP($A299,'SegEnds_NonXtal_BW#'!$A:$Z,19,FALSE)+VLOOKUP($A299,A:AL,28,FALSE)-50))</f>
        <v>264</v>
      </c>
      <c r="AB299" s="3">
        <v>275</v>
      </c>
      <c r="AC299" s="3">
        <f>IF(ISERROR((VLOOKUP($A299,'SegEnds_NonXtal_BW#'!$A:$Z,20,FALSE)+VLOOKUP($A299,A:AL,28,FALSE)-50)),"-",(VLOOKUP($A299,'SegEnds_NonXtal_BW#'!$A:$Z,20,FALSE)+VLOOKUP($A299,A:AL,28,FALSE)-50))</f>
        <v>294</v>
      </c>
      <c r="AD299" s="3">
        <f>IF(ISERROR(VLOOKUP($A299,'SegEnds_NonXtal_BW#'!$A:$Z,21,FALSE)+VLOOKUP($A299,A:AL,31,FALSE)-50),"-",(VLOOKUP($A299,'SegEnds_NonXtal_BW#'!$A:$Z,21,FALSE)+VLOOKUP($A299,A:AL,31,FALSE)-50))</f>
        <v>300</v>
      </c>
      <c r="AE299" s="3">
        <v>325</v>
      </c>
      <c r="AF299" s="3">
        <f>IF(ISERROR((VLOOKUP($A299,'SegEnds_NonXtal_BW#'!$A:$Z,22,FALSE)+VLOOKUP($A299,A:AL,31,FALSE)-50)),"-",(VLOOKUP($A299,'SegEnds_NonXtal_BW#'!$A:$Z,22,FALSE)+VLOOKUP($A299,A:AL,31,FALSE)-50))</f>
        <v>328</v>
      </c>
      <c r="AG299" s="3">
        <f>IF(ISERROR(VLOOKUP($A299,'SegEnds_NonXtal_BW#'!$A:$Z,23,FALSE)+VLOOKUP($A299,A:AL,34,FALSE)-50),"-",(VLOOKUP($A299,'SegEnds_NonXtal_BW#'!$A:$Z,23,FALSE)+VLOOKUP($A299,A:AL,34,FALSE)-50))</f>
        <v>335</v>
      </c>
      <c r="AH299" s="3">
        <v>356</v>
      </c>
      <c r="AI299" s="3">
        <f>IF(ISERROR((VLOOKUP($A299,'SegEnds_NonXtal_BW#'!$A:$Z,24,FALSE)+VLOOKUP($A299,A:AL,34,FALSE)-50)),"-",(VLOOKUP($A299,'SegEnds_NonXtal_BW#'!$A:$Z,24,FALSE)+VLOOKUP($A299,A:AL,34,FALSE)-50))</f>
        <v>362</v>
      </c>
      <c r="AJ299" s="3">
        <f>IF(ISERROR(VLOOKUP($A299,'SegEnds_NonXtal_BW#'!$A:$Z,25,FALSE)+VLOOKUP($A299,A:AL,37,FALSE)-50),"-",(VLOOKUP($A299,'SegEnds_NonXtal_BW#'!$A:$Z,25,FALSE)+VLOOKUP($A299,A:AL,37,FALSE)-50))</f>
        <v>363</v>
      </c>
      <c r="AK299" s="3">
        <v>366</v>
      </c>
      <c r="AL299" s="3">
        <f>IF(ISERROR((VLOOKUP($A299,'SegEnds_NonXtal_BW#'!$A:$Z,26,FALSE)+VLOOKUP($A299,A:AL,37,FALSE)-50)),"-",(VLOOKUP($A299,'SegEnds_NonXtal_BW#'!$A:$Z,26,FALSE)+VLOOKUP($A299,A:AL,37,FALSE)-50))</f>
        <v>388</v>
      </c>
      <c r="AM299" s="28" t="str">
        <f>VLOOKUP(A299,Classification!A:B,2,FALSE)</f>
        <v>B1</v>
      </c>
      <c r="AN299" s="28" t="b">
        <f>AND(IF(Y299="-",IF(AA299-W299&gt;3,TRUE,FALSE),TRUE),IF(M299="-",IF(O299-K299&gt;3,TRUE,FALSE),TRU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NoXtal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4</v>
      </c>
      <c r="AW299" s="3">
        <f>IF(ISERROR(AA299-Z299),"-",AA299-Z299)</f>
        <v>8</v>
      </c>
      <c r="AX299" s="3">
        <f>IF(ISERROR(AD299-AC299),"-",AD299-AC299)</f>
        <v>6</v>
      </c>
      <c r="AY299" s="3">
        <f>IF(ISERROR(AG299-AF299),"-",AG299-AF299)</f>
        <v>7</v>
      </c>
      <c r="AZ299" s="3">
        <f>IF(ISERROR(AJ299-AI299),"-",AJ299-AI299)</f>
        <v>1</v>
      </c>
      <c r="BA299" s="3">
        <f>IF(ISERROR(LEN(VLOOKUP(A299,Seqs!A:E,2,FALSE))-AL299),"-",LEN(VLOOKUP(A299,Seqs!A:E,2,FALSE))-AL299)</f>
        <v>23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50</v>
      </c>
      <c r="BF299" s="3">
        <f>AH299-AE299</f>
        <v>31</v>
      </c>
    </row>
    <row r="300" spans="1:59" s="3" customFormat="1" x14ac:dyDescent="0.2">
      <c r="A300" s="3" t="s">
        <v>1430</v>
      </c>
      <c r="B300" s="3" t="str">
        <f>LOWER(VLOOKUP(A300,Xtal_Templ!A:B,2,FALSE))</f>
        <v>g1sgd4_rabit</v>
      </c>
      <c r="C300" s="3">
        <f>VLOOKUP($A300,'SegEnds_NonXtal_BW#'!$A:$Z,3,FALSE)+D300-50</f>
        <v>137</v>
      </c>
      <c r="D300" s="3">
        <v>159</v>
      </c>
      <c r="E300" s="3">
        <f>IF(ISERROR(VLOOKUP($A300,'SegEnds_NonXtal_BW#'!$A:$Z,4,FALSE)+VLOOKUP($A300,A:AL,4,FALSE)-50),"-",(VLOOKUP($A300,'SegEnds_NonXtal_BW#'!$A:$Z,4,FALSE)+VLOOKUP($A300,A:AL,4,FALSE)-50))</f>
        <v>169</v>
      </c>
      <c r="F300" s="3">
        <f>G300-2</f>
        <v>170</v>
      </c>
      <c r="G300" s="3">
        <v>172</v>
      </c>
      <c r="H300" s="3">
        <f>G300+1</f>
        <v>173</v>
      </c>
      <c r="I300" s="3">
        <f>H300+1</f>
        <v>174</v>
      </c>
      <c r="J300" s="3">
        <v>187</v>
      </c>
      <c r="K300" s="3">
        <f>VLOOKUP($A300,'SegEnds_NonXtal_BW#'!$A:$Z,8,FALSE)+VLOOKUP($A300,A:AL,10,FALSE)-50</f>
        <v>211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224</v>
      </c>
      <c r="P300" s="3">
        <v>251</v>
      </c>
      <c r="Q300" s="3">
        <f>VLOOKUP($A300,'SegEnds_NonXtal_BW#'!$A:$Z,12,FALSE)+VLOOKUP($A300,A:AL,16,FALSE)-50</f>
        <v>257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261</v>
      </c>
      <c r="V300" s="3">
        <v>274</v>
      </c>
      <c r="W300" s="3">
        <f>IF(ISERROR(VLOOKUP($A300,'SegEnds_NonXtal_BW#'!$A:$Z,16,FALSE)+VLOOKUP($A300,A:AL,22,FALSE)-50),"-",(VLOOKUP($A300,'SegEnds_NonXtal_BW#'!$A:$Z,16,FALSE)+VLOOKUP($A300,A:AL,22,FALSE)-50))</f>
        <v>292</v>
      </c>
      <c r="X300" s="3">
        <f>IF(ISERROR(VLOOKUP($A300,'SegEnds_NonXtal_BW#'!$A:$Z,17,FALSE)+VLOOKUP($A300,A:AL,25,FALSE)-50),"-",(VLOOKUP($A300,'SegEnds_NonXtal_BW#'!$A:$Z,17,FALSE)+VLOOKUP($A300,A:AL,25,FALSE)-50))</f>
        <v>296</v>
      </c>
      <c r="Y300" s="3">
        <v>296</v>
      </c>
      <c r="Z300" s="3">
        <f>Y300+2</f>
        <v>298</v>
      </c>
      <c r="AA300" s="3">
        <f>IF(ISERROR(VLOOKUP($A300,'SegEnds_NonXtal_BW#'!$A:$Z,19,FALSE)+VLOOKUP($A300,A:AL,28,FALSE)-50),"-",(VLOOKUP($A300,'SegEnds_NonXtal_BW#'!$A:$Z,19,FALSE)+VLOOKUP($A300,A:AL,28,FALSE)-50))</f>
        <v>305</v>
      </c>
      <c r="AB300" s="3">
        <v>316</v>
      </c>
      <c r="AC300" s="3">
        <f>IF(ISERROR((VLOOKUP($A300,'SegEnds_NonXtal_BW#'!$A:$Z,20,FALSE)+VLOOKUP($A300,A:AL,28,FALSE)-50)),"-",(VLOOKUP($A300,'SegEnds_NonXtal_BW#'!$A:$Z,20,FALSE)+VLOOKUP($A300,A:AL,28,FALSE)-50))</f>
        <v>337</v>
      </c>
      <c r="AD300" s="3">
        <f>IF(ISERROR(VLOOKUP($A300,'SegEnds_NonXtal_BW#'!$A:$Z,21,FALSE)+VLOOKUP($A300,A:AL,31,FALSE)-50),"-",(VLOOKUP($A300,'SegEnds_NonXtal_BW#'!$A:$Z,21,FALSE)+VLOOKUP($A300,A:AL,31,FALSE)-50))</f>
        <v>346</v>
      </c>
      <c r="AE300" s="3">
        <v>366</v>
      </c>
      <c r="AF300" s="3">
        <f>IF(ISERROR((VLOOKUP($A300,'SegEnds_NonXtal_BW#'!$A:$Z,22,FALSE)+VLOOKUP($A300,A:AL,31,FALSE)-50)),"-",(VLOOKUP($A300,'SegEnds_NonXtal_BW#'!$A:$Z,22,FALSE)+VLOOKUP($A300,A:AL,31,FALSE)-50))</f>
        <v>369</v>
      </c>
      <c r="AG300" s="3">
        <f>IF(ISERROR(VLOOKUP($A300,'SegEnds_NonXtal_BW#'!$A:$Z,23,FALSE)+VLOOKUP($A300,A:AL,34,FALSE)-50),"-",(VLOOKUP($A300,'SegEnds_NonXtal_BW#'!$A:$Z,23,FALSE)+VLOOKUP($A300,A:AL,34,FALSE)-50))</f>
        <v>379</v>
      </c>
      <c r="AH300" s="3">
        <v>399</v>
      </c>
      <c r="AI300" s="3">
        <f>IF(ISERROR((VLOOKUP($A300,'SegEnds_NonXtal_BW#'!$A:$Z,24,FALSE)+VLOOKUP($A300,A:AL,34,FALSE)-50)),"-",(VLOOKUP($A300,'SegEnds_NonXtal_BW#'!$A:$Z,24,FALSE)+VLOOKUP($A300,A:AL,34,FALSE)-50))</f>
        <v>405</v>
      </c>
      <c r="AJ300" s="3">
        <f>IF(ISERROR(VLOOKUP($A300,'SegEnds_NonXtal_BW#'!$A:$Z,25,FALSE)+VLOOKUP($A300,A:AL,37,FALSE)-50),"-",(VLOOKUP($A300,'SegEnds_NonXtal_BW#'!$A:$Z,25,FALSE)+VLOOKUP($A300,A:AL,37,FALSE)-50))</f>
        <v>406</v>
      </c>
      <c r="AK300" s="3">
        <v>409</v>
      </c>
      <c r="AL300" s="3">
        <f>IF(ISERROR((VLOOKUP($A300,'SegEnds_NonXtal_BW#'!$A:$Z,26,FALSE)+VLOOKUP($A300,A:AL,37,FALSE)-50)),"-",(VLOOKUP($A300,'SegEnds_NonXtal_BW#'!$A:$Z,26,FALSE)+VLOOKUP($A300,A:AL,37,FALSE)-50))</f>
        <v>431</v>
      </c>
      <c r="AM300" s="28" t="str">
        <f>VLOOKUP(A300,Classification!A:B,2,FALSE)</f>
        <v>B1</v>
      </c>
      <c r="AN300" s="28" t="b">
        <f>AND(IF(Y300="-",IF(AA300-W300&gt;3,TRUE,FALSE),TRUE),IF(M300="-",IF(O300-K300&gt;3,TRUE,FALSE),TRU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4</v>
      </c>
      <c r="AW300" s="3">
        <f>IF(ISERROR(AA300-Z300),"-",AA300-Z300)</f>
        <v>7</v>
      </c>
      <c r="AX300" s="3">
        <f>IF(ISERROR(AD300-AC300),"-",AD300-AC300)</f>
        <v>9</v>
      </c>
      <c r="AY300" s="3">
        <f>IF(ISERROR(AG300-AF300),"-",AG300-AF300)</f>
        <v>10</v>
      </c>
      <c r="AZ300" s="3">
        <f>IF(ISERROR(AJ300-AI300),"-",AJ300-AI300)</f>
        <v>1</v>
      </c>
      <c r="BA300" s="3">
        <f>IF(ISERROR(LEN(VLOOKUP(A300,Seqs!A:E,2,FALSE))-AL300),"-",LEN(VLOOKUP(A300,Seqs!A:E,2,FALSE))-AL300)</f>
        <v>31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50</v>
      </c>
    </row>
    <row r="301" spans="1:59" s="3" customFormat="1" x14ac:dyDescent="0.2">
      <c r="A301" s="3" t="s">
        <v>404</v>
      </c>
      <c r="B301" s="3" t="str">
        <f>LOWER(VLOOKUP(A301,Xtal_Templ!A:B,2,FALSE))</f>
        <v>glr_human</v>
      </c>
      <c r="C301" s="3">
        <f>VLOOKUP($A301,'SegEnds_NonXtal_BW#'!$A:$Z,3,FALSE)+D301-50</f>
        <v>119</v>
      </c>
      <c r="D301" s="3">
        <v>144</v>
      </c>
      <c r="E301" s="3">
        <f>IF(ISERROR(VLOOKUP($A301,'SegEnds_NonXtal_BW#'!$A:$Z,4,FALSE)+VLOOKUP($A301,A:AL,4,FALSE)-50),"-",(VLOOKUP($A301,'SegEnds_NonXtal_BW#'!$A:$Z,4,FALSE)+VLOOKUP($A301,A:AL,4,FALSE)-50))</f>
        <v>154</v>
      </c>
      <c r="F301" s="3">
        <f>G301-2</f>
        <v>155</v>
      </c>
      <c r="G301" s="3">
        <v>157</v>
      </c>
      <c r="H301" s="3">
        <f>G301+1</f>
        <v>158</v>
      </c>
      <c r="I301" s="3">
        <f>H301+1</f>
        <v>159</v>
      </c>
      <c r="J301" s="3">
        <v>172</v>
      </c>
      <c r="K301" s="3">
        <f>VLOOKUP($A301,'SegEnds_NonXtal_BW#'!$A:$Z,8,FALSE)+VLOOKUP($A301,A:AL,10,FALSE)-50</f>
        <v>186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198</v>
      </c>
      <c r="P301" s="3">
        <v>227</v>
      </c>
      <c r="Q301" s="3">
        <f>VLOOKUP($A301,'SegEnds_NonXtal_BW#'!$A:$Z,12,FALSE)+VLOOKUP($A301,A:AL,16,FALSE)-50</f>
        <v>233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240</v>
      </c>
      <c r="V301" s="3">
        <v>250</v>
      </c>
      <c r="W301" s="3">
        <f>IF(ISERROR(VLOOKUP($A301,'SegEnds_NonXtal_BW#'!$A:$Z,16,FALSE)+VLOOKUP($A301,A:AL,22,FALSE)-50),"-",(VLOOKUP($A301,'SegEnds_NonXtal_BW#'!$A:$Z,16,FALSE)+VLOOKUP($A301,A:AL,22,FALSE)-50))</f>
        <v>268</v>
      </c>
      <c r="X301" s="3">
        <f>IF(ISERROR(VLOOKUP($A301,'SegEnds_NonXtal_BW#'!$A:$Z,17,FALSE)+VLOOKUP($A301,A:AL,25,FALSE)-50),"-",(VLOOKUP($A301,'SegEnds_NonXtal_BW#'!$A:$Z,17,FALSE)+VLOOKUP($A301,A:AL,25,FALSE)-50))</f>
        <v>272</v>
      </c>
      <c r="Y301" s="3">
        <v>272</v>
      </c>
      <c r="Z301" s="3">
        <f>Y301+2</f>
        <v>274</v>
      </c>
      <c r="AA301" s="3">
        <f>IF(ISERROR(VLOOKUP($A301,'SegEnds_NonXtal_BW#'!$A:$Z,19,FALSE)+VLOOKUP($A301,A:AL,28,FALSE)-50),"-",(VLOOKUP($A301,'SegEnds_NonXtal_BW#'!$A:$Z,19,FALSE)+VLOOKUP($A301,A:AL,28,FALSE)-50))</f>
        <v>281</v>
      </c>
      <c r="AB301" s="3">
        <v>292</v>
      </c>
      <c r="AC301" s="3">
        <f>IF(ISERROR((VLOOKUP($A301,'SegEnds_NonXtal_BW#'!$A:$Z,20,FALSE)+VLOOKUP($A301,A:AL,28,FALSE)-50)),"-",(VLOOKUP($A301,'SegEnds_NonXtal_BW#'!$A:$Z,20,FALSE)+VLOOKUP($A301,A:AL,28,FALSE)-50))</f>
        <v>311</v>
      </c>
      <c r="AD301" s="3">
        <f>IF(ISERROR(VLOOKUP($A301,'SegEnds_NonXtal_BW#'!$A:$Z,21,FALSE)+VLOOKUP($A301,A:AL,31,FALSE)-50),"-",(VLOOKUP($A301,'SegEnds_NonXtal_BW#'!$A:$Z,21,FALSE)+VLOOKUP($A301,A:AL,31,FALSE)-50))</f>
        <v>319</v>
      </c>
      <c r="AE301" s="3">
        <v>344</v>
      </c>
      <c r="AF301" s="3">
        <f>IF(ISERROR((VLOOKUP($A301,'SegEnds_NonXtal_BW#'!$A:$Z,22,FALSE)+VLOOKUP($A301,A:AL,31,FALSE)-50)),"-",(VLOOKUP($A301,'SegEnds_NonXtal_BW#'!$A:$Z,22,FALSE)+VLOOKUP($A301,A:AL,31,FALSE)-50))</f>
        <v>347</v>
      </c>
      <c r="AG301" s="3">
        <f>IF(ISERROR(VLOOKUP($A301,'SegEnds_NonXtal_BW#'!$A:$Z,23,FALSE)+VLOOKUP($A301,A:AL,34,FALSE)-50),"-",(VLOOKUP($A301,'SegEnds_NonXtal_BW#'!$A:$Z,23,FALSE)+VLOOKUP($A301,A:AL,34,FALSE)-50))</f>
        <v>354</v>
      </c>
      <c r="AH301" s="3">
        <v>373</v>
      </c>
      <c r="AI301" s="3">
        <f>IF(ISERROR((VLOOKUP($A301,'SegEnds_NonXtal_BW#'!$A:$Z,24,FALSE)+VLOOKUP($A301,A:AL,34,FALSE)-50)),"-",(VLOOKUP($A301,'SegEnds_NonXtal_BW#'!$A:$Z,24,FALSE)+VLOOKUP($A301,A:AL,34,FALSE)-50))</f>
        <v>379</v>
      </c>
      <c r="AJ301" s="3">
        <f>IF(ISERROR(VLOOKUP($A301,'SegEnds_NonXtal_BW#'!$A:$Z,25,FALSE)+VLOOKUP($A301,A:AL,37,FALSE)-50),"-",(VLOOKUP($A301,'SegEnds_NonXtal_BW#'!$A:$Z,25,FALSE)+VLOOKUP($A301,A:AL,37,FALSE)-50))</f>
        <v>380</v>
      </c>
      <c r="AK301" s="3">
        <v>383</v>
      </c>
      <c r="AL301" s="3">
        <f>IF(ISERROR((VLOOKUP($A301,'SegEnds_NonXtal_BW#'!$A:$Z,26,FALSE)+VLOOKUP($A301,A:AL,37,FALSE)-50)),"-",(VLOOKUP($A301,'SegEnds_NonXtal_BW#'!$A:$Z,26,FALSE)+VLOOKUP($A301,A:AL,37,FALSE)-50))</f>
        <v>405</v>
      </c>
      <c r="AM301" s="28" t="str">
        <f>VLOOKUP(A301,Classification!A:B,2,FALSE)</f>
        <v>B1</v>
      </c>
      <c r="AN301" s="28" t="b">
        <f>AND(IF(Y301="-",IF(AA301-W301&gt;3,TRUE,FALSE),TRUE),IF(M301="-",IF(O301-K301&gt;3,TRUE,FALSE),TRU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 t="str">
        <f>IF(ISERROR(R301-Q301),"-",R301-Q301)</f>
        <v>-</v>
      </c>
      <c r="AU301" s="3" t="str">
        <f>IF(ISERROR(U301-T301),"-",U301-T301)</f>
        <v>-</v>
      </c>
      <c r="AV301" s="3">
        <f>IF(ISERROR(X301-W301),"-",X301-W301)</f>
        <v>4</v>
      </c>
      <c r="AW301" s="3">
        <f>IF(ISERROR(AA301-Z301),"-",AA301-Z301)</f>
        <v>7</v>
      </c>
      <c r="AX301" s="3">
        <f>IF(ISERROR(AD301-AC301),"-",AD301-AC301)</f>
        <v>8</v>
      </c>
      <c r="AY301" s="3">
        <f>IF(ISERROR(AG301-AF301),"-",AG301-AF301)</f>
        <v>7</v>
      </c>
      <c r="AZ301" s="3">
        <f>IF(ISERROR(AJ301-AI301),"-",AJ301-AI301)</f>
        <v>1</v>
      </c>
      <c r="BA301" s="3">
        <f>IF(ISERROR(LEN(VLOOKUP(A301,Seqs!A:E,2,FALSE))-AL301),"-",LEN(VLOOKUP(A301,Seqs!A:E,2,FALSE))-AL301)</f>
        <v>18</v>
      </c>
      <c r="BB301" s="16">
        <f>J301-D301</f>
        <v>28</v>
      </c>
      <c r="BC301" s="9" t="str">
        <f>IF(ISERROR(V301-S301),"-",V301-S301)</f>
        <v>-</v>
      </c>
      <c r="BD301" s="3">
        <f>J301-D301</f>
        <v>28</v>
      </c>
      <c r="BE301" s="3">
        <f>AE301-AB301</f>
        <v>52</v>
      </c>
      <c r="BF301" s="3">
        <f>AH301-AE301</f>
        <v>29</v>
      </c>
    </row>
    <row r="302" spans="1:59" s="3" customFormat="1" x14ac:dyDescent="0.2">
      <c r="A302" s="3" t="s">
        <v>405</v>
      </c>
      <c r="B302" s="3" t="str">
        <f>LOWER(VLOOKUP(A302,Xtal_Templ!A:B,2,FALSE))</f>
        <v>glr_human</v>
      </c>
      <c r="C302" s="3">
        <f>VLOOKUP($A302,'SegEnds_NonXtal_BW#'!$A:$Z,3,FALSE)+D302-50</f>
        <v>127</v>
      </c>
      <c r="D302" s="3">
        <v>152</v>
      </c>
      <c r="E302" s="3">
        <f>IF(ISERROR(VLOOKUP($A302,'SegEnds_NonXtal_BW#'!$A:$Z,4,FALSE)+VLOOKUP($A302,A:AL,4,FALSE)-50),"-",(VLOOKUP($A302,'SegEnds_NonXtal_BW#'!$A:$Z,4,FALSE)+VLOOKUP($A302,A:AL,4,FALSE)-50))</f>
        <v>162</v>
      </c>
      <c r="F302" s="3">
        <f>G302-2</f>
        <v>163</v>
      </c>
      <c r="G302" s="3">
        <v>165</v>
      </c>
      <c r="H302" s="3">
        <f>G302+1</f>
        <v>166</v>
      </c>
      <c r="I302" s="3">
        <f>H302+1</f>
        <v>167</v>
      </c>
      <c r="J302" s="3">
        <v>180</v>
      </c>
      <c r="K302" s="3">
        <f>VLOOKUP($A302,'SegEnds_NonXtal_BW#'!$A:$Z,8,FALSE)+VLOOKUP($A302,A:AL,10,FALSE)-50</f>
        <v>194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214</v>
      </c>
      <c r="P302" s="3">
        <v>241</v>
      </c>
      <c r="Q302" s="3">
        <f>VLOOKUP($A302,'SegEnds_NonXtal_BW#'!$A:$Z,12,FALSE)+VLOOKUP($A302,A:AL,16,FALSE)-50</f>
        <v>247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254</v>
      </c>
      <c r="V302" s="3">
        <v>264</v>
      </c>
      <c r="W302" s="3">
        <f>IF(ISERROR(VLOOKUP($A302,'SegEnds_NonXtal_BW#'!$A:$Z,16,FALSE)+VLOOKUP($A302,A:AL,22,FALSE)-50),"-",(VLOOKUP($A302,'SegEnds_NonXtal_BW#'!$A:$Z,16,FALSE)+VLOOKUP($A302,A:AL,22,FALSE)-50))</f>
        <v>282</v>
      </c>
      <c r="X302" s="3">
        <f>IF(ISERROR(VLOOKUP($A302,'SegEnds_NonXtal_BW#'!$A:$Z,17,FALSE)+VLOOKUP($A302,A:AL,25,FALSE)-50),"-",(VLOOKUP($A302,'SegEnds_NonXtal_BW#'!$A:$Z,17,FALSE)+VLOOKUP($A302,A:AL,25,FALSE)-50))</f>
        <v>286</v>
      </c>
      <c r="Y302" s="3">
        <v>286</v>
      </c>
      <c r="Z302" s="3">
        <f>Y302+2</f>
        <v>288</v>
      </c>
      <c r="AA302" s="3">
        <f>IF(ISERROR(VLOOKUP($A302,'SegEnds_NonXtal_BW#'!$A:$Z,19,FALSE)+VLOOKUP($A302,A:AL,28,FALSE)-50),"-",(VLOOKUP($A302,'SegEnds_NonXtal_BW#'!$A:$Z,19,FALSE)+VLOOKUP($A302,A:AL,28,FALSE)-50))</f>
        <v>295</v>
      </c>
      <c r="AB302" s="3">
        <v>306</v>
      </c>
      <c r="AC302" s="3">
        <f>IF(ISERROR((VLOOKUP($A302,'SegEnds_NonXtal_BW#'!$A:$Z,20,FALSE)+VLOOKUP($A302,A:AL,28,FALSE)-50)),"-",(VLOOKUP($A302,'SegEnds_NonXtal_BW#'!$A:$Z,20,FALSE)+VLOOKUP($A302,A:AL,28,FALSE)-50))</f>
        <v>327</v>
      </c>
      <c r="AD302" s="3">
        <f>IF(ISERROR(VLOOKUP($A302,'SegEnds_NonXtal_BW#'!$A:$Z,21,FALSE)+VLOOKUP($A302,A:AL,31,FALSE)-50),"-",(VLOOKUP($A302,'SegEnds_NonXtal_BW#'!$A:$Z,21,FALSE)+VLOOKUP($A302,A:AL,31,FALSE)-50))</f>
        <v>334</v>
      </c>
      <c r="AE302" s="3">
        <v>356</v>
      </c>
      <c r="AF302" s="3">
        <f>IF(ISERROR((VLOOKUP($A302,'SegEnds_NonXtal_BW#'!$A:$Z,22,FALSE)+VLOOKUP($A302,A:AL,31,FALSE)-50)),"-",(VLOOKUP($A302,'SegEnds_NonXtal_BW#'!$A:$Z,22,FALSE)+VLOOKUP($A302,A:AL,31,FALSE)-50))</f>
        <v>359</v>
      </c>
      <c r="AG302" s="3">
        <f>IF(ISERROR(VLOOKUP($A302,'SegEnds_NonXtal_BW#'!$A:$Z,23,FALSE)+VLOOKUP($A302,A:AL,34,FALSE)-50),"-",(VLOOKUP($A302,'SegEnds_NonXtal_BW#'!$A:$Z,23,FALSE)+VLOOKUP($A302,A:AL,34,FALSE)-50))</f>
        <v>367</v>
      </c>
      <c r="AH302" s="3">
        <v>389</v>
      </c>
      <c r="AI302" s="3">
        <f>IF(ISERROR((VLOOKUP($A302,'SegEnds_NonXtal_BW#'!$A:$Z,24,FALSE)+VLOOKUP($A302,A:AL,34,FALSE)-50)),"-",(VLOOKUP($A302,'SegEnds_NonXtal_BW#'!$A:$Z,24,FALSE)+VLOOKUP($A302,A:AL,34,FALSE)-50))</f>
        <v>395</v>
      </c>
      <c r="AJ302" s="3">
        <f>IF(ISERROR(VLOOKUP($A302,'SegEnds_NonXtal_BW#'!$A:$Z,25,FALSE)+VLOOKUP($A302,A:AL,37,FALSE)-50),"-",(VLOOKUP($A302,'SegEnds_NonXtal_BW#'!$A:$Z,25,FALSE)+VLOOKUP($A302,A:AL,37,FALSE)-50))</f>
        <v>396</v>
      </c>
      <c r="AK302" s="3">
        <v>399</v>
      </c>
      <c r="AL302" s="3">
        <f>IF(ISERROR((VLOOKUP($A302,'SegEnds_NonXtal_BW#'!$A:$Z,26,FALSE)+VLOOKUP($A302,A:AL,37,FALSE)-50)),"-",(VLOOKUP($A302,'SegEnds_NonXtal_BW#'!$A:$Z,26,FALSE)+VLOOKUP($A302,A:AL,37,FALSE)-50))</f>
        <v>421</v>
      </c>
      <c r="AM302" s="28" t="str">
        <f>VLOOKUP(A302,Classification!A:B,2,FALSE)</f>
        <v>B1</v>
      </c>
      <c r="AN302" s="28" t="b">
        <f>AND(IF(Y302="-",IF(AA302-W302&gt;3,TRUE,FALSE),TRUE),IF(M302="-",IF(O302-K302&gt;3,TRUE,FALSE),TRU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 t="str">
        <f>IF(ISERROR(R302-Q302),"-",R302-Q302)</f>
        <v>-</v>
      </c>
      <c r="AU302" s="3" t="str">
        <f>IF(ISERROR(U302-T302),"-",U302-T302)</f>
        <v>-</v>
      </c>
      <c r="AV302" s="3">
        <f>IF(ISERROR(X302-W302),"-",X302-W302)</f>
        <v>4</v>
      </c>
      <c r="AW302" s="3">
        <f>IF(ISERROR(AA302-Z302),"-",AA302-Z302)</f>
        <v>7</v>
      </c>
      <c r="AX302" s="3">
        <f>IF(ISERROR(AD302-AC302),"-",AD302-AC302)</f>
        <v>7</v>
      </c>
      <c r="AY302" s="3">
        <f>IF(ISERROR(AG302-AF302),"-",AG302-AF302)</f>
        <v>8</v>
      </c>
      <c r="AZ302" s="3">
        <f>IF(ISERROR(AJ302-AI302),"-",AJ302-AI302)</f>
        <v>1</v>
      </c>
      <c r="BA302" s="3">
        <f>IF(ISERROR(LEN(VLOOKUP(A302,Seqs!A:E,2,FALSE))-AL302),"-",LEN(VLOOKUP(A302,Seqs!A:E,2,FALSE))-AL302)</f>
        <v>45</v>
      </c>
      <c r="BB302" s="16">
        <f>J302-D302</f>
        <v>28</v>
      </c>
      <c r="BC302" s="9" t="str">
        <f>IF(ISERROR(V302-S302),"-",V302-S302)</f>
        <v>-</v>
      </c>
      <c r="BD302" s="3">
        <f>J302-D302</f>
        <v>28</v>
      </c>
      <c r="BE302" s="3">
        <f>AE302-AB302</f>
        <v>50</v>
      </c>
    </row>
    <row r="303" spans="1:59" s="3" customFormat="1" x14ac:dyDescent="0.2">
      <c r="A303" s="3" t="s">
        <v>406</v>
      </c>
      <c r="B303" s="3" t="str">
        <f>LOWER(VLOOKUP(A303,Xtal_Templ!A:B,2,FALSE))</f>
        <v>glp1r_human</v>
      </c>
      <c r="C303" s="3">
        <f>VLOOKUP($A303,'SegEnds_NonXtal_BW#'!$A:$Z,3,FALSE)+D303-50</f>
        <v>138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>G303-2</f>
        <v>170</v>
      </c>
      <c r="G303" s="3">
        <v>172</v>
      </c>
      <c r="H303" s="3">
        <f>G303+1</f>
        <v>173</v>
      </c>
      <c r="I303" s="3">
        <f>H303+1</f>
        <v>174</v>
      </c>
      <c r="J303" s="3">
        <v>187</v>
      </c>
      <c r="K303" s="3">
        <f>VLOOKUP($A303,'SegEnds_NonXtal_BW#'!$A:$Z,8,FALSE)+VLOOKUP($A303,A:AL,10,FALSE)-50</f>
        <v>201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262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>Y303+2</f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344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377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>AND(IF(Y303="-",IF(AA303-W303&gt;3,TRUE,FALSE),TRUE),IF(M303="-",IF(O303-K303&gt;3,TRUE,FALSE),TRU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 t="str">
        <f>IF(ISERROR(R303-Q303),"-",R303-Q303)</f>
        <v>-</v>
      </c>
      <c r="AU303" s="3" t="str">
        <f>IF(ISERROR(U303-T303),"-",U303-T303)</f>
        <v>-</v>
      </c>
      <c r="AV303" s="3">
        <f>IF(ISERROR(X303-W303),"-",X303-W303)</f>
        <v>4</v>
      </c>
      <c r="AW303" s="3">
        <f>IF(ISERROR(AA303-Z303),"-",AA303-Z303)</f>
        <v>7</v>
      </c>
      <c r="AX303" s="3">
        <f>IF(ISERROR(AD303-AC303),"-",AD303-AC303)</f>
        <v>7</v>
      </c>
      <c r="AY303" s="3">
        <f>IF(ISERROR(AG303-AF303),"-",AG303-AF303)</f>
        <v>8</v>
      </c>
      <c r="AZ303" s="3">
        <f>IF(ISERROR(AJ303-AI303),"-",AJ303-AI303)</f>
        <v>1</v>
      </c>
      <c r="BA303" s="3">
        <f>IF(ISERROR(LEN(VLOOKUP(A303,Seqs!A:E,2,FALSE))-AL303),"-",LEN(VLOOKUP(A303,Seqs!A:E,2,FALSE))-AL303)</f>
        <v>32</v>
      </c>
      <c r="BB303" s="16">
        <f>J303-D303</f>
        <v>28</v>
      </c>
      <c r="BC303" s="9" t="str">
        <f>IF(ISERROR(V303-S303),"-",V303-S303)</f>
        <v>-</v>
      </c>
      <c r="BD303" s="3">
        <f>J303-D303</f>
        <v>28</v>
      </c>
      <c r="BE303" s="3">
        <f>AE303-AB303</f>
        <v>50</v>
      </c>
    </row>
    <row r="304" spans="1:59" s="3" customFormat="1" x14ac:dyDescent="0.2">
      <c r="A304" s="3" t="s">
        <v>407</v>
      </c>
      <c r="B304" s="3" t="str">
        <f>LOWER(VLOOKUP(A304,Xtal_Templ!A:B,2,FALSE))</f>
        <v>glr_human</v>
      </c>
      <c r="C304" s="3">
        <f>VLOOKUP($A304,'SegEnds_NonXtal_BW#'!$A:$Z,3,FALSE)+D304-50</f>
        <v>168</v>
      </c>
      <c r="D304" s="3">
        <v>193</v>
      </c>
      <c r="E304" s="3">
        <f>IF(ISERROR(VLOOKUP($A304,'SegEnds_NonXtal_BW#'!$A:$Z,4,FALSE)+VLOOKUP($A304,A:AL,4,FALSE)-50),"-",(VLOOKUP($A304,'SegEnds_NonXtal_BW#'!$A:$Z,4,FALSE)+VLOOKUP($A304,A:AL,4,FALSE)-50))</f>
        <v>203</v>
      </c>
      <c r="F304" s="3">
        <f>G304-2</f>
        <v>204</v>
      </c>
      <c r="G304" s="3">
        <v>206</v>
      </c>
      <c r="H304" s="3">
        <f>G304+1</f>
        <v>207</v>
      </c>
      <c r="I304" s="3">
        <f>H304+1</f>
        <v>208</v>
      </c>
      <c r="J304" s="3">
        <v>221</v>
      </c>
      <c r="K304" s="3">
        <f>VLOOKUP($A304,'SegEnds_NonXtal_BW#'!$A:$Z,8,FALSE)+VLOOKUP($A304,A:AL,10,FALSE)-50</f>
        <v>235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258</v>
      </c>
      <c r="P304" s="3">
        <v>285</v>
      </c>
      <c r="Q304" s="3">
        <f>VLOOKUP($A304,'SegEnds_NonXtal_BW#'!$A:$Z,12,FALSE)+VLOOKUP($A304,A:AL,16,FALSE)-50</f>
        <v>291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298</v>
      </c>
      <c r="V304" s="3">
        <v>308</v>
      </c>
      <c r="W304" s="3">
        <f>IF(ISERROR(VLOOKUP($A304,'SegEnds_NonXtal_BW#'!$A:$Z,16,FALSE)+VLOOKUP($A304,A:AL,22,FALSE)-50),"-",(VLOOKUP($A304,'SegEnds_NonXtal_BW#'!$A:$Z,16,FALSE)+VLOOKUP($A304,A:AL,22,FALSE)-50))</f>
        <v>326</v>
      </c>
      <c r="X304" s="3">
        <f>IF(ISERROR(VLOOKUP($A304,'SegEnds_NonXtal_BW#'!$A:$Z,17,FALSE)+VLOOKUP($A304,A:AL,25,FALSE)-50),"-",(VLOOKUP($A304,'SegEnds_NonXtal_BW#'!$A:$Z,17,FALSE)+VLOOKUP($A304,A:AL,25,FALSE)-50))</f>
        <v>330</v>
      </c>
      <c r="Y304" s="3">
        <v>330</v>
      </c>
      <c r="Z304" s="3">
        <f>Y304+2</f>
        <v>332</v>
      </c>
      <c r="AA304" s="3">
        <f>IF(ISERROR(VLOOKUP($A304,'SegEnds_NonXtal_BW#'!$A:$Z,19,FALSE)+VLOOKUP($A304,A:AL,28,FALSE)-50),"-",(VLOOKUP($A304,'SegEnds_NonXtal_BW#'!$A:$Z,19,FALSE)+VLOOKUP($A304,A:AL,28,FALSE)-50))</f>
        <v>339</v>
      </c>
      <c r="AB304" s="3">
        <v>350</v>
      </c>
      <c r="AC304" s="3">
        <f>IF(ISERROR((VLOOKUP($A304,'SegEnds_NonXtal_BW#'!$A:$Z,20,FALSE)+VLOOKUP($A304,A:AL,28,FALSE)-50)),"-",(VLOOKUP($A304,'SegEnds_NonXtal_BW#'!$A:$Z,20,FALSE)+VLOOKUP($A304,A:AL,28,FALSE)-50))</f>
        <v>371</v>
      </c>
      <c r="AD304" s="3">
        <f>IF(ISERROR(VLOOKUP($A304,'SegEnds_NonXtal_BW#'!$A:$Z,21,FALSE)+VLOOKUP($A304,A:AL,31,FALSE)-50),"-",(VLOOKUP($A304,'SegEnds_NonXtal_BW#'!$A:$Z,21,FALSE)+VLOOKUP($A304,A:AL,31,FALSE)-50))</f>
        <v>378</v>
      </c>
      <c r="AE304" s="3">
        <v>400</v>
      </c>
      <c r="AF304" s="3">
        <f>IF(ISERROR((VLOOKUP($A304,'SegEnds_NonXtal_BW#'!$A:$Z,22,FALSE)+VLOOKUP($A304,A:AL,31,FALSE)-50)),"-",(VLOOKUP($A304,'SegEnds_NonXtal_BW#'!$A:$Z,22,FALSE)+VLOOKUP($A304,A:AL,31,FALSE)-50))</f>
        <v>403</v>
      </c>
      <c r="AG304" s="3">
        <f>IF(ISERROR(VLOOKUP($A304,'SegEnds_NonXtal_BW#'!$A:$Z,23,FALSE)+VLOOKUP($A304,A:AL,34,FALSE)-50),"-",(VLOOKUP($A304,'SegEnds_NonXtal_BW#'!$A:$Z,23,FALSE)+VLOOKUP($A304,A:AL,34,FALSE)-50))</f>
        <v>411</v>
      </c>
      <c r="AH304" s="3">
        <v>433</v>
      </c>
      <c r="AI304" s="3">
        <f>IF(ISERROR((VLOOKUP($A304,'SegEnds_NonXtal_BW#'!$A:$Z,24,FALSE)+VLOOKUP($A304,A:AL,34,FALSE)-50)),"-",(VLOOKUP($A304,'SegEnds_NonXtal_BW#'!$A:$Z,24,FALSE)+VLOOKUP($A304,A:AL,34,FALSE)-50))</f>
        <v>439</v>
      </c>
      <c r="AJ304" s="3">
        <f>IF(ISERROR(VLOOKUP($A304,'SegEnds_NonXtal_BW#'!$A:$Z,25,FALSE)+VLOOKUP($A304,A:AL,37,FALSE)-50),"-",(VLOOKUP($A304,'SegEnds_NonXtal_BW#'!$A:$Z,25,FALSE)+VLOOKUP($A304,A:AL,37,FALSE)-50))</f>
        <v>440</v>
      </c>
      <c r="AK304" s="3">
        <v>443</v>
      </c>
      <c r="AL304" s="3">
        <f>IF(ISERROR((VLOOKUP($A304,'SegEnds_NonXtal_BW#'!$A:$Z,26,FALSE)+VLOOKUP($A304,A:AL,37,FALSE)-50)),"-",(VLOOKUP($A304,'SegEnds_NonXtal_BW#'!$A:$Z,26,FALSE)+VLOOKUP($A304,A:AL,37,FALSE)-50))</f>
        <v>465</v>
      </c>
      <c r="AM304" s="28" t="str">
        <f>VLOOKUP(A304,Classification!A:B,2,FALSE)</f>
        <v>B1</v>
      </c>
      <c r="AN304" s="28" t="b">
        <f>AND(IF(Y304="-",IF(AA304-W304&gt;3,TRUE,FALSE),TRUE),IF(M304="-",IF(O304-K304&gt;3,TRUE,FALSE),TRUE),C304&lt;E304,OR(E304&lt;F304,F304="-"),OR(F304&lt;H304,F304="-"),OR(H304&lt;I304,H304="-"),I304&lt;K304,OR(K304&lt;L304,L304="-"),OR(L304&lt;N304,L304="-"),OR(N304&lt;O304,N304="-"),O304&lt;Q304,OR(Q304&lt;R304,R304="-"),OR(R304&lt;T304,R304="-"),OR(T304&lt;U304,T304="-"),U304&lt;W304,OR(W304&lt;X304,X304="-"),OR(X304&lt;Z304,X304="-"),OR(Z304&lt;AA304,Z304="-"),AA304&lt;AC304,AC304&lt;AD304,AD304&lt;AF304,AF304&lt;AG304,AG304&lt;AI304,OR(AI304&lt;AJ304,AJ304="-"),OR(AJ304&lt;AL304,AJ304="-"))</f>
        <v>1</v>
      </c>
      <c r="AO304" s="3" t="str">
        <f>IF(ISERROR(MATCH(A304,'SegEnds_Xtal_Prot#'!B:B, 0)), "NoXtal", "Xtal")</f>
        <v>NoXtal</v>
      </c>
      <c r="AP304" s="3">
        <f>IF(ISERROR(F304-E304),"-",F304-E304)</f>
        <v>1</v>
      </c>
      <c r="AQ304" s="3">
        <f>IF(ISERROR(I304-H304),"-",I304-H304)</f>
        <v>1</v>
      </c>
      <c r="AR304" s="3" t="str">
        <f>IF(ISERROR(L304-K304),"-",L304-K304)</f>
        <v>-</v>
      </c>
      <c r="AS304" s="3" t="str">
        <f>IF(ISERROR(O304-N304),"-",O304-N304)</f>
        <v>-</v>
      </c>
      <c r="AT304" s="3" t="str">
        <f>IF(ISERROR(R304-Q304),"-",R304-Q304)</f>
        <v>-</v>
      </c>
      <c r="AU304" s="3" t="str">
        <f>IF(ISERROR(U304-T304),"-",U304-T304)</f>
        <v>-</v>
      </c>
      <c r="AV304" s="3">
        <f>IF(ISERROR(X304-W304),"-",X304-W304)</f>
        <v>4</v>
      </c>
      <c r="AW304" s="3">
        <f>IF(ISERROR(AA304-Z304),"-",AA304-Z304)</f>
        <v>7</v>
      </c>
      <c r="AX304" s="3">
        <f>IF(ISERROR(AD304-AC304),"-",AD304-AC304)</f>
        <v>7</v>
      </c>
      <c r="AY304" s="3">
        <f>IF(ISERROR(AG304-AF304),"-",AG304-AF304)</f>
        <v>8</v>
      </c>
      <c r="AZ304" s="3">
        <f>IF(ISERROR(AJ304-AI304),"-",AJ304-AI304)</f>
        <v>1</v>
      </c>
      <c r="BA304" s="3">
        <f>IF(ISERROR(LEN(VLOOKUP(A304,Seqs!A:E,2,FALSE))-AL304),"-",LEN(VLOOKUP(A304,Seqs!A:E,2,FALSE))-AL304)</f>
        <v>88</v>
      </c>
      <c r="BB304" s="16">
        <f>J304-D304</f>
        <v>28</v>
      </c>
      <c r="BC304" s="9" t="str">
        <f>IF(ISERROR(V304-S304),"-",V304-S304)</f>
        <v>-</v>
      </c>
      <c r="BD304" s="3">
        <f>J304-D304</f>
        <v>28</v>
      </c>
      <c r="BE304" s="3">
        <f>AE304-AB304</f>
        <v>50</v>
      </c>
    </row>
    <row r="305" spans="1:58" s="3" customFormat="1" x14ac:dyDescent="0.2">
      <c r="A305" s="3" t="s">
        <v>32</v>
      </c>
      <c r="B305" s="3" t="str">
        <f>LOWER(VLOOKUP(A305,Xtal_Templ!A:B,2,FALSE))</f>
        <v>glr_human</v>
      </c>
      <c r="C305" s="3">
        <f>VLOOKUP($A305,'SegEnds_NonXtal_BW#'!$A:$Z,3,FALSE)+D305-50</f>
        <v>131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>G305-2</f>
        <v>167</v>
      </c>
      <c r="G305" s="3">
        <v>169</v>
      </c>
      <c r="H305" s="3">
        <f>G305+1</f>
        <v>170</v>
      </c>
      <c r="I305" s="3">
        <f>H305+1</f>
        <v>171</v>
      </c>
      <c r="J305" s="3">
        <v>184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217</v>
      </c>
      <c r="P305" s="3">
        <v>249</v>
      </c>
      <c r="Q305" s="3">
        <f>VLOOKUP($A305,'SegEnds_NonXtal_BW#'!$A:$Z,12,FALSE)+VLOOKUP($A305,A:AL,16,FALSE)-50</f>
        <v>255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272</v>
      </c>
      <c r="W305" s="3">
        <f>IF(ISERROR(VLOOKUP($A305,'SegEnds_NonXtal_BW#'!$A:$Z,16,FALSE)+VLOOKUP($A305,A:AL,22,FALSE)-50),"-",(VLOOKUP($A305,'SegEnds_NonXtal_BW#'!$A:$Z,16,FALSE)+VLOOKUP($A305,A:AL,22,FALSE)-50))</f>
        <v>290</v>
      </c>
      <c r="X305" s="3">
        <f>IF(ISERROR(VLOOKUP($A305,'SegEnds_NonXtal_BW#'!$A:$Z,17,FALSE)+VLOOKUP($A305,A:AL,25,FALSE)-50),"-",(VLOOKUP($A305,'SegEnds_NonXtal_BW#'!$A:$Z,17,FALSE)+VLOOKUP($A305,A:AL,25,FALSE)-50))</f>
        <v>294</v>
      </c>
      <c r="Y305" s="3">
        <v>294</v>
      </c>
      <c r="Z305" s="3">
        <f>Y305+2</f>
        <v>296</v>
      </c>
      <c r="AA305" s="3">
        <f>IF(ISERROR(VLOOKUP($A305,'SegEnds_NonXtal_BW#'!$A:$Z,19,FALSE)+VLOOKUP($A305,A:AL,28,FALSE)-50),"-",(VLOOKUP($A305,'SegEnds_NonXtal_BW#'!$A:$Z,19,FALSE)+VLOOKUP($A305,A:AL,28,FALSE)-50))</f>
        <v>300</v>
      </c>
      <c r="AB305" s="3">
        <v>314</v>
      </c>
      <c r="AC305" s="3">
        <f>IF(ISERROR((VLOOKUP($A305,'SegEnds_NonXtal_BW#'!$A:$Z,20,FALSE)+VLOOKUP($A305,A:AL,28,FALSE)-50)),"-",(VLOOKUP($A305,'SegEnds_NonXtal_BW#'!$A:$Z,20,FALSE)+VLOOKUP($A305,A:AL,28,FALSE)-50))</f>
        <v>335</v>
      </c>
      <c r="AD305" s="3">
        <f>IF(ISERROR(VLOOKUP($A305,'SegEnds_NonXtal_BW#'!$A:$Z,21,FALSE)+VLOOKUP($A305,A:AL,31,FALSE)-50),"-",(VLOOKUP($A305,'SegEnds_NonXtal_BW#'!$A:$Z,21,FALSE)+VLOOKUP($A305,A:AL,31,FALSE)-50))</f>
        <v>342</v>
      </c>
      <c r="AE305" s="3">
        <v>364</v>
      </c>
      <c r="AF305" s="3">
        <f>IF(ISERROR((VLOOKUP($A305,'SegEnds_NonXtal_BW#'!$A:$Z,22,FALSE)+VLOOKUP($A305,A:AL,31,FALSE)-50)),"-",(VLOOKUP($A305,'SegEnds_NonXtal_BW#'!$A:$Z,22,FALSE)+VLOOKUP($A305,A:AL,31,FALSE)-50))</f>
        <v>367</v>
      </c>
      <c r="AG305" s="3">
        <f>IF(ISERROR(VLOOKUP($A305,'SegEnds_NonXtal_BW#'!$A:$Z,23,FALSE)+VLOOKUP($A305,A:AL,34,FALSE)-50),"-",(VLOOKUP($A305,'SegEnds_NonXtal_BW#'!$A:$Z,23,FALSE)+VLOOKUP($A305,A:AL,34,FALSE)-50))</f>
        <v>374</v>
      </c>
      <c r="AH305" s="3">
        <v>397</v>
      </c>
      <c r="AI305" s="3">
        <f>IF(ISERROR((VLOOKUP($A305,'SegEnds_NonXtal_BW#'!$A:$Z,24,FALSE)+VLOOKUP($A305,A:AL,34,FALSE)-50)),"-",(VLOOKUP($A305,'SegEnds_NonXtal_BW#'!$A:$Z,24,FALSE)+VLOOKUP($A305,A:AL,34,FALSE)-50))</f>
        <v>403</v>
      </c>
      <c r="AJ305" s="3">
        <f>IF(ISERROR(VLOOKUP($A305,'SegEnds_NonXtal_BW#'!$A:$Z,25,FALSE)+VLOOKUP($A305,A:AL,37,FALSE)-50),"-",(VLOOKUP($A305,'SegEnds_NonXtal_BW#'!$A:$Z,25,FALSE)+VLOOKUP($A305,A:AL,37,FALSE)-50))</f>
        <v>404</v>
      </c>
      <c r="AK305" s="3">
        <v>407</v>
      </c>
      <c r="AL305" s="3">
        <f>IF(ISERROR((VLOOKUP($A305,'SegEnds_NonXtal_BW#'!$A:$Z,26,FALSE)+VLOOKUP($A305,A:AL,37,FALSE)-50)),"-",(VLOOKUP($A305,'SegEnds_NonXtal_BW#'!$A:$Z,26,FALSE)+VLOOKUP($A305,A:AL,37,FALSE)-50))</f>
        <v>429</v>
      </c>
      <c r="AM305" s="28" t="str">
        <f>VLOOKUP(A305,Classification!A:B,2,FALSE)</f>
        <v>B1</v>
      </c>
      <c r="AN305" s="28" t="b">
        <f>AND(IF(Y305="-",IF(AA305-W305&gt;3,TRUE,FALSE),TRUE),IF(M305="-",IF(O305-K305&gt;3,TRUE,FALSE),TRUE),C305&lt;E305,OR(E305&lt;F305,F305="-"),OR(F305&lt;H305,F305="-"),OR(H305&lt;I305,H305="-"),I305&lt;K305,OR(K305&lt;L305,L305="-"),OR(L305&lt;N305,L305="-"),OR(N305&lt;O305,N305="-"),O305&lt;Q305,OR(Q305&lt;R305,R305="-"),OR(R305&lt;T305,R305="-"),OR(T305&lt;U305,T305="-"),U305&lt;W305,OR(W305&lt;X305,X305="-"),OR(X305&lt;Z305,X305="-"),OR(Z305&lt;AA305,Z305="-"),AA305&lt;AC305,AC305&lt;AD305,AD305&lt;AF305,AF305&lt;AG305,AG305&lt;AI305,OR(AI305&lt;AJ305,AJ305="-"),OR(AJ305&lt;AL305,AJ305="-"))</f>
        <v>1</v>
      </c>
      <c r="AO305" s="3" t="str">
        <f>IF(ISERROR(MATCH(A305,'SegEnds_Xtal_Prot#'!B:B, 0)), "NoXtal", "Xtal")</f>
        <v>Xtal</v>
      </c>
      <c r="AP305" s="3">
        <f>IF(ISERROR(F305-E305),"-",F305-E305)</f>
        <v>1</v>
      </c>
      <c r="AQ305" s="3">
        <f>IF(ISERROR(I305-H305),"-",I305-H305)</f>
        <v>1</v>
      </c>
      <c r="AR305" s="3" t="str">
        <f>IF(ISERROR(L305-K305),"-",L305-K305)</f>
        <v>-</v>
      </c>
      <c r="AS305" s="3" t="str">
        <f>IF(ISERROR(O305-N305),"-",O305-N305)</f>
        <v>-</v>
      </c>
      <c r="AT305" s="3" t="str">
        <f>IF(ISERROR(R305-Q305),"-",R305-Q305)</f>
        <v>-</v>
      </c>
      <c r="AU305" s="3" t="str">
        <f>IF(ISERROR(U305-T305),"-",U305-T305)</f>
        <v>-</v>
      </c>
      <c r="AV305" s="3">
        <f>IF(ISERROR(X305-W305),"-",X305-W305)</f>
        <v>4</v>
      </c>
      <c r="AW305" s="3">
        <f>IF(ISERROR(AA305-Z305),"-",AA305-Z305)</f>
        <v>4</v>
      </c>
      <c r="AX305" s="3">
        <f>IF(ISERROR(AD305-AC305),"-",AD305-AC305)</f>
        <v>7</v>
      </c>
      <c r="AY305" s="3">
        <f>IF(ISERROR(AG305-AF305),"-",AG305-AF305)</f>
        <v>7</v>
      </c>
      <c r="AZ305" s="3">
        <f>IF(ISERROR(AJ305-AI305),"-",AJ305-AI305)</f>
        <v>1</v>
      </c>
      <c r="BA305" s="3">
        <f>IF(ISERROR(LEN(VLOOKUP(A305,Seqs!A:E,2,FALSE))-AL305),"-",LEN(VLOOKUP(A305,Seqs!A:E,2,FALSE))-AL305)</f>
        <v>48</v>
      </c>
      <c r="BB305" s="16">
        <f>J305-D305</f>
        <v>28</v>
      </c>
      <c r="BC305" s="9" t="str">
        <f>IF(ISERROR(V305-S305),"-",V305-S305)</f>
        <v>-</v>
      </c>
      <c r="BD305" s="3">
        <f>J305-D305</f>
        <v>28</v>
      </c>
      <c r="BE305" s="3">
        <f>AE305-AB305</f>
        <v>50</v>
      </c>
    </row>
    <row r="306" spans="1:58" s="3" customFormat="1" x14ac:dyDescent="0.2">
      <c r="A306" s="3" t="s">
        <v>408</v>
      </c>
      <c r="B306" s="3" t="str">
        <f>LOWER(VLOOKUP(A306,Xtal_Templ!A:B,2,FALSE))</f>
        <v>glr_human</v>
      </c>
      <c r="C306" s="3">
        <f>VLOOKUP($A306,'SegEnds_NonXtal_BW#'!$A:$Z,3,FALSE)+D306-50</f>
        <v>143</v>
      </c>
      <c r="D306" s="3">
        <v>168</v>
      </c>
      <c r="E306" s="3">
        <f>IF(ISERROR(VLOOKUP($A306,'SegEnds_NonXtal_BW#'!$A:$Z,4,FALSE)+VLOOKUP($A306,A:AL,4,FALSE)-50),"-",(VLOOKUP($A306,'SegEnds_NonXtal_BW#'!$A:$Z,4,FALSE)+VLOOKUP($A306,A:AL,4,FALSE)-50))</f>
        <v>178</v>
      </c>
      <c r="F306" s="3">
        <f>G306-2</f>
        <v>179</v>
      </c>
      <c r="G306" s="3">
        <v>181</v>
      </c>
      <c r="H306" s="3">
        <f>G306+1</f>
        <v>182</v>
      </c>
      <c r="I306" s="3">
        <f>H306+1</f>
        <v>183</v>
      </c>
      <c r="J306" s="3">
        <v>196</v>
      </c>
      <c r="K306" s="3">
        <f>VLOOKUP($A306,'SegEnds_NonXtal_BW#'!$A:$Z,8,FALSE)+VLOOKUP($A306,A:AL,10,FALSE)-50</f>
        <v>210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222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264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>Y306+2</f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335</v>
      </c>
      <c r="AD306" s="3">
        <f>IF(ISERROR(VLOOKUP($A306,'SegEnds_NonXtal_BW#'!$A:$Z,21,FALSE)+VLOOKUP($A306,A:AL,31,FALSE)-50),"-",(VLOOKUP($A306,'SegEnds_NonXtal_BW#'!$A:$Z,21,FALSE)+VLOOKUP($A306,A:AL,31,FALSE)-50))</f>
        <v>343</v>
      </c>
      <c r="AE306" s="3">
        <v>368</v>
      </c>
      <c r="AF306" s="3">
        <f>IF(ISERROR((VLOOKUP($A306,'SegEnds_NonXtal_BW#'!$A:$Z,22,FALSE)+VLOOKUP($A306,A:AL,31,FALSE)-50)),"-",(VLOOKUP($A306,'SegEnds_NonXtal_BW#'!$A:$Z,22,FALSE)+VLOOKUP($A306,A:AL,31,FALSE)-50))</f>
        <v>371</v>
      </c>
      <c r="AG306" s="3">
        <f>IF(ISERROR(VLOOKUP($A306,'SegEnds_NonXtal_BW#'!$A:$Z,23,FALSE)+VLOOKUP($A306,A:AL,34,FALSE)-50),"-",(VLOOKUP($A306,'SegEnds_NonXtal_BW#'!$A:$Z,23,FALSE)+VLOOKUP($A306,A:AL,34,FALSE)-50))</f>
        <v>378</v>
      </c>
      <c r="AH306" s="3">
        <v>397</v>
      </c>
      <c r="AI306" s="3">
        <f>IF(ISERROR((VLOOKUP($A306,'SegEnds_NonXtal_BW#'!$A:$Z,24,FALSE)+VLOOKUP($A306,A:AL,34,FALSE)-50)),"-",(VLOOKUP($A306,'SegEnds_NonXtal_BW#'!$A:$Z,24,FALSE)+VLOOKUP($A306,A:AL,34,FALSE)-50))</f>
        <v>403</v>
      </c>
      <c r="AJ306" s="3">
        <f>IF(ISERROR(VLOOKUP($A306,'SegEnds_NonXtal_BW#'!$A:$Z,25,FALSE)+VLOOKUP($A306,A:AL,37,FALSE)-50),"-",(VLOOKUP($A306,'SegEnds_NonXtal_BW#'!$A:$Z,25,FALSE)+VLOOKUP($A306,A:AL,37,FALSE)-50))</f>
        <v>404</v>
      </c>
      <c r="AK306" s="3">
        <v>407</v>
      </c>
      <c r="AL306" s="3">
        <f>IF(ISERROR((VLOOKUP($A306,'SegEnds_NonXtal_BW#'!$A:$Z,26,FALSE)+VLOOKUP($A306,A:AL,37,FALSE)-50)),"-",(VLOOKUP($A306,'SegEnds_NonXtal_BW#'!$A:$Z,26,FALSE)+VLOOKUP($A306,A:AL,37,FALSE)-50))</f>
        <v>429</v>
      </c>
      <c r="AM306" s="28" t="str">
        <f>VLOOKUP(A306,Classification!A:B,2,FALSE)</f>
        <v>B1</v>
      </c>
      <c r="AN306" s="28" t="b">
        <f>AND(IF(Y306="-",IF(AA306-W306&gt;3,TRUE,FALSE),TRUE),IF(M306="-",IF(O306-K306&gt;3,TRUE,FALSE),TRUE),C306&lt;E306,OR(E306&lt;F306,F306="-"),OR(F306&lt;H306,F306="-"),OR(H306&lt;I306,H306="-"),I306&lt;K306,OR(K306&lt;L306,L306="-"),OR(L306&lt;N306,L306="-"),OR(N306&lt;O306,N306="-"),O306&lt;Q306,OR(Q306&lt;R306,R306="-"),OR(R306&lt;T306,R306="-"),OR(T306&lt;U306,T306="-"),U306&lt;W306,OR(W306&lt;X306,X306="-"),OR(X306&lt;Z306,X306="-"),OR(Z306&lt;AA306,Z306="-"),AA306&lt;AC306,AC306&lt;AD306,AD306&lt;AF306,AF306&lt;AG306,AG306&lt;AI306,OR(AI306&lt;AJ306,AJ306="-"),OR(AJ306&lt;AL306,AJ306="-"))</f>
        <v>1</v>
      </c>
      <c r="AO306" s="3" t="str">
        <f>IF(ISERROR(MATCH(A306,'SegEnds_Xtal_Prot#'!B:B, 0)), "NoXtal", "Xtal")</f>
        <v>NoXtal</v>
      </c>
      <c r="AP306" s="3">
        <f>IF(ISERROR(F306-E306),"-",F306-E306)</f>
        <v>1</v>
      </c>
      <c r="AQ306" s="3">
        <f>IF(ISERROR(I306-H306),"-",I306-H306)</f>
        <v>1</v>
      </c>
      <c r="AR306" s="3" t="str">
        <f>IF(ISERROR(L306-K306),"-",L306-K306)</f>
        <v>-</v>
      </c>
      <c r="AS306" s="3" t="str">
        <f>IF(ISERROR(O306-N306),"-",O306-N306)</f>
        <v>-</v>
      </c>
      <c r="AT306" s="3" t="str">
        <f>IF(ISERROR(R306-Q306),"-",R306-Q306)</f>
        <v>-</v>
      </c>
      <c r="AU306" s="3" t="str">
        <f>IF(ISERROR(U306-T306),"-",U306-T306)</f>
        <v>-</v>
      </c>
      <c r="AV306" s="3">
        <f>IF(ISERROR(X306-W306),"-",X306-W306)</f>
        <v>4</v>
      </c>
      <c r="AW306" s="3">
        <f>IF(ISERROR(AA306-Z306),"-",AA306-Z306)</f>
        <v>7</v>
      </c>
      <c r="AX306" s="3">
        <f>IF(ISERROR(AD306-AC306),"-",AD306-AC306)</f>
        <v>8</v>
      </c>
      <c r="AY306" s="3">
        <f>IF(ISERROR(AG306-AF306),"-",AG306-AF306)</f>
        <v>7</v>
      </c>
      <c r="AZ306" s="3">
        <f>IF(ISERROR(AJ306-AI306),"-",AJ306-AI306)</f>
        <v>1</v>
      </c>
      <c r="BA306" s="3">
        <f>IF(ISERROR(LEN(VLOOKUP(A306,Seqs!A:E,2,FALSE))-AL306),"-",LEN(VLOOKUP(A306,Seqs!A:E,2,FALSE))-AL306)</f>
        <v>39</v>
      </c>
      <c r="BB306" s="16">
        <f>J306-D306</f>
        <v>28</v>
      </c>
      <c r="BC306" s="9" t="str">
        <f>IF(ISERROR(V306-S306),"-",V306-S306)</f>
        <v>-</v>
      </c>
      <c r="BD306" s="3">
        <f>J306-D306</f>
        <v>28</v>
      </c>
      <c r="BE306" s="3">
        <f>AE306-AB306</f>
        <v>52</v>
      </c>
    </row>
    <row r="307" spans="1:58" s="3" customFormat="1" x14ac:dyDescent="0.2">
      <c r="A307" s="3" t="s">
        <v>409</v>
      </c>
      <c r="B307" s="3" t="str">
        <f>LOWER(VLOOKUP(A307,Xtal_Templ!A:B,2,FALSE))</f>
        <v>glp1r_human</v>
      </c>
      <c r="C307" s="3">
        <f>VLOOKUP($A307,'SegEnds_NonXtal_BW#'!$A:$Z,3,FALSE)+D307-50</f>
        <v>181</v>
      </c>
      <c r="D307" s="3">
        <v>202</v>
      </c>
      <c r="E307" s="3">
        <f>IF(ISERROR(VLOOKUP($A307,'SegEnds_NonXtal_BW#'!$A:$Z,4,FALSE)+VLOOKUP($A307,A:AL,4,FALSE)-50),"-",(VLOOKUP($A307,'SegEnds_NonXtal_BW#'!$A:$Z,4,FALSE)+VLOOKUP($A307,A:AL,4,FALSE)-50))</f>
        <v>212</v>
      </c>
      <c r="F307" s="3">
        <f>G307-2</f>
        <v>213</v>
      </c>
      <c r="G307" s="3">
        <v>215</v>
      </c>
      <c r="H307" s="3">
        <f>G307+1</f>
        <v>216</v>
      </c>
      <c r="I307" s="3">
        <f>H307+1</f>
        <v>217</v>
      </c>
      <c r="J307" s="3">
        <v>230</v>
      </c>
      <c r="K307" s="3">
        <f>VLOOKUP($A307,'SegEnds_NonXtal_BW#'!$A:$Z,8,FALSE)+VLOOKUP($A307,A:AL,10,FALSE)-50</f>
        <v>247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274</v>
      </c>
      <c r="P307" s="3">
        <v>306</v>
      </c>
      <c r="Q307" s="3">
        <f>VLOOKUP($A307,'SegEnds_NonXtal_BW#'!$A:$Z,12,FALSE)+VLOOKUP($A307,A:AL,16,FALSE)-50</f>
        <v>312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317</v>
      </c>
      <c r="V307" s="3">
        <v>329</v>
      </c>
      <c r="W307" s="3">
        <f>IF(ISERROR(VLOOKUP($A307,'SegEnds_NonXtal_BW#'!$A:$Z,16,FALSE)+VLOOKUP($A307,A:AL,22,FALSE)-50),"-",(VLOOKUP($A307,'SegEnds_NonXtal_BW#'!$A:$Z,16,FALSE)+VLOOKUP($A307,A:AL,22,FALSE)-50))</f>
        <v>347</v>
      </c>
      <c r="X307" s="3">
        <f>IF(ISERROR(VLOOKUP($A307,'SegEnds_NonXtal_BW#'!$A:$Z,17,FALSE)+VLOOKUP($A307,A:AL,25,FALSE)-50),"-",(VLOOKUP($A307,'SegEnds_NonXtal_BW#'!$A:$Z,17,FALSE)+VLOOKUP($A307,A:AL,25,FALSE)-50))</f>
        <v>351</v>
      </c>
      <c r="Y307" s="3">
        <v>351</v>
      </c>
      <c r="Z307" s="3">
        <f>Y307+2</f>
        <v>353</v>
      </c>
      <c r="AA307" s="3">
        <f>IF(ISERROR(VLOOKUP($A307,'SegEnds_NonXtal_BW#'!$A:$Z,19,FALSE)+VLOOKUP($A307,A:AL,28,FALSE)-50),"-",(VLOOKUP($A307,'SegEnds_NonXtal_BW#'!$A:$Z,19,FALSE)+VLOOKUP($A307,A:AL,28,FALSE)-50))</f>
        <v>359</v>
      </c>
      <c r="AB307" s="3">
        <v>370</v>
      </c>
      <c r="AC307" s="3">
        <f>IF(ISERROR((VLOOKUP($A307,'SegEnds_NonXtal_BW#'!$A:$Z,20,FALSE)+VLOOKUP($A307,A:AL,28,FALSE)-50)),"-",(VLOOKUP($A307,'SegEnds_NonXtal_BW#'!$A:$Z,20,FALSE)+VLOOKUP($A307,A:AL,28,FALSE)-50))</f>
        <v>389</v>
      </c>
      <c r="AD307" s="3">
        <f>IF(ISERROR(VLOOKUP($A307,'SegEnds_NonXtal_BW#'!$A:$Z,21,FALSE)+VLOOKUP($A307,A:AL,31,FALSE)-50),"-",(VLOOKUP($A307,'SegEnds_NonXtal_BW#'!$A:$Z,21,FALSE)+VLOOKUP($A307,A:AL,31,FALSE)-50))</f>
        <v>398</v>
      </c>
      <c r="AE307" s="3">
        <v>423</v>
      </c>
      <c r="AF307" s="3">
        <f>IF(ISERROR((VLOOKUP($A307,'SegEnds_NonXtal_BW#'!$A:$Z,22,FALSE)+VLOOKUP($A307,A:AL,31,FALSE)-50)),"-",(VLOOKUP($A307,'SegEnds_NonXtal_BW#'!$A:$Z,22,FALSE)+VLOOKUP($A307,A:AL,31,FALSE)-50))</f>
        <v>426</v>
      </c>
      <c r="AG307" s="3">
        <f>IF(ISERROR(VLOOKUP($A307,'SegEnds_NonXtal_BW#'!$A:$Z,23,FALSE)+VLOOKUP($A307,A:AL,34,FALSE)-50),"-",(VLOOKUP($A307,'SegEnds_NonXtal_BW#'!$A:$Z,23,FALSE)+VLOOKUP($A307,A:AL,34,FALSE)-50))</f>
        <v>434</v>
      </c>
      <c r="AH307" s="3">
        <v>456</v>
      </c>
      <c r="AI307" s="3">
        <f>IF(ISERROR((VLOOKUP($A307,'SegEnds_NonXtal_BW#'!$A:$Z,24,FALSE)+VLOOKUP($A307,A:AL,34,FALSE)-50)),"-",(VLOOKUP($A307,'SegEnds_NonXtal_BW#'!$A:$Z,24,FALSE)+VLOOKUP($A307,A:AL,34,FALSE)-50))</f>
        <v>462</v>
      </c>
      <c r="AJ307" s="3">
        <f>IF(ISERROR(VLOOKUP($A307,'SegEnds_NonXtal_BW#'!$A:$Z,25,FALSE)+VLOOKUP($A307,A:AL,37,FALSE)-50),"-",(VLOOKUP($A307,'SegEnds_NonXtal_BW#'!$A:$Z,25,FALSE)+VLOOKUP($A307,A:AL,37,FALSE)-50))</f>
        <v>463</v>
      </c>
      <c r="AK307" s="3">
        <v>466</v>
      </c>
      <c r="AL307" s="3">
        <f>IF(ISERROR((VLOOKUP($A307,'SegEnds_NonXtal_BW#'!$A:$Z,26,FALSE)+VLOOKUP($A307,A:AL,37,FALSE)-50)),"-",(VLOOKUP($A307,'SegEnds_NonXtal_BW#'!$A:$Z,26,FALSE)+VLOOKUP($A307,A:AL,37,FALSE)-50))</f>
        <v>488</v>
      </c>
      <c r="AM307" s="28" t="str">
        <f>VLOOKUP(A307,Classification!A:B,2,FALSE)</f>
        <v>B1</v>
      </c>
      <c r="AN307" s="28" t="b">
        <f>AND(IF(Y307="-",IF(AA307-W307&gt;3,TRUE,FALSE),TRUE),IF(M307="-",IF(O307-K307&gt;3,TRUE,FALSE),TRUE),C307&lt;E307,OR(E307&lt;F307,F307="-"),OR(F307&lt;H307,F307="-"),OR(H307&lt;I307,H307="-"),I307&lt;K307,OR(K307&lt;L307,L307="-"),OR(L307&lt;N307,L307="-"),OR(N307&lt;O307,N307="-"),O307&lt;Q307,OR(Q307&lt;R307,R307="-"),OR(R307&lt;T307,R307="-"),OR(T307&lt;U307,T307="-"),U307&lt;W307,OR(W307&lt;X307,X307="-"),OR(X307&lt;Z307,X307="-"),OR(Z307&lt;AA307,Z307="-"),AA307&lt;AC307,AC307&lt;AD307,AD307&lt;AF307,AF307&lt;AG307,AG307&lt;AI307,OR(AI307&lt;AJ307,AJ307="-"),OR(AJ307&lt;AL307,AJ307="-"))</f>
        <v>1</v>
      </c>
      <c r="AO307" s="3" t="str">
        <f>IF(ISERROR(MATCH(A307,'SegEnds_Xtal_Prot#'!B:B, 0)), "NoXtal", "Xtal")</f>
        <v>NoXtal</v>
      </c>
      <c r="AP307" s="3">
        <f>IF(ISERROR(F307-E307),"-",F307-E307)</f>
        <v>1</v>
      </c>
      <c r="AQ307" s="3">
        <f>IF(ISERROR(I307-H307),"-",I307-H307)</f>
        <v>1</v>
      </c>
      <c r="AR307" s="3" t="str">
        <f>IF(ISERROR(L307-K307),"-",L307-K307)</f>
        <v>-</v>
      </c>
      <c r="AS307" s="3" t="str">
        <f>IF(ISERROR(O307-N307),"-",O307-N307)</f>
        <v>-</v>
      </c>
      <c r="AT307" s="3" t="str">
        <f>IF(ISERROR(R307-Q307),"-",R307-Q307)</f>
        <v>-</v>
      </c>
      <c r="AU307" s="3" t="str">
        <f>IF(ISERROR(U307-T307),"-",U307-T307)</f>
        <v>-</v>
      </c>
      <c r="AV307" s="3">
        <f>IF(ISERROR(X307-W307),"-",X307-W307)</f>
        <v>4</v>
      </c>
      <c r="AW307" s="3">
        <f>IF(ISERROR(AA307-Z307),"-",AA307-Z307)</f>
        <v>6</v>
      </c>
      <c r="AX307" s="3">
        <f>IF(ISERROR(AD307-AC307),"-",AD307-AC307)</f>
        <v>9</v>
      </c>
      <c r="AY307" s="3">
        <f>IF(ISERROR(AG307-AF307),"-",AG307-AF307)</f>
        <v>8</v>
      </c>
      <c r="AZ307" s="3">
        <f>IF(ISERROR(AJ307-AI307),"-",AJ307-AI307)</f>
        <v>1</v>
      </c>
      <c r="BA307" s="3">
        <f>IF(ISERROR(LEN(VLOOKUP(A307,Seqs!A:E,2,FALSE))-AL307),"-",LEN(VLOOKUP(A307,Seqs!A:E,2,FALSE))-AL307)</f>
        <v>105</v>
      </c>
      <c r="BB307" s="16">
        <f>J307-D307</f>
        <v>28</v>
      </c>
      <c r="BC307" s="9" t="str">
        <f>IF(ISERROR(V307-S307),"-",V307-S307)</f>
        <v>-</v>
      </c>
      <c r="BD307" s="3">
        <f>J307-D307</f>
        <v>28</v>
      </c>
      <c r="BE307" s="3">
        <f>AE307-AB307</f>
        <v>53</v>
      </c>
    </row>
    <row r="308" spans="1:58" s="3" customFormat="1" x14ac:dyDescent="0.2">
      <c r="A308" s="3" t="s">
        <v>410</v>
      </c>
      <c r="B308" s="3" t="str">
        <f>LOWER(VLOOKUP(A308,Xtal_Templ!A:B,2,FALSE))</f>
        <v>glp1r_human</v>
      </c>
      <c r="C308" s="3">
        <f>VLOOKUP($A308,'SegEnds_NonXtal_BW#'!$A:$Z,3,FALSE)+D308-50</f>
        <v>138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>G308-2</f>
        <v>170</v>
      </c>
      <c r="G308" s="3">
        <v>172</v>
      </c>
      <c r="H308" s="3">
        <f>G308+1</f>
        <v>173</v>
      </c>
      <c r="I308" s="3">
        <f>H308+1</f>
        <v>174</v>
      </c>
      <c r="J308" s="3">
        <v>187</v>
      </c>
      <c r="K308" s="3">
        <f>VLOOKUP($A308,'SegEnds_NonXtal_BW#'!$A:$Z,8,FALSE)+VLOOKUP($A308,A:AL,10,FALSE)-50</f>
        <v>204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229</v>
      </c>
      <c r="P308" s="3">
        <v>261</v>
      </c>
      <c r="Q308" s="3">
        <f>VLOOKUP($A308,'SegEnds_NonXtal_BW#'!$A:$Z,12,FALSE)+VLOOKUP($A308,A:AL,16,FALSE)-50</f>
        <v>267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272</v>
      </c>
      <c r="V308" s="3">
        <v>284</v>
      </c>
      <c r="W308" s="3">
        <f>IF(ISERROR(VLOOKUP($A308,'SegEnds_NonXtal_BW#'!$A:$Z,16,FALSE)+VLOOKUP($A308,A:AL,22,FALSE)-50),"-",(VLOOKUP($A308,'SegEnds_NonXtal_BW#'!$A:$Z,16,FALSE)+VLOOKUP($A308,A:AL,22,FALSE)-50))</f>
        <v>302</v>
      </c>
      <c r="X308" s="3">
        <f>IF(ISERROR(VLOOKUP($A308,'SegEnds_NonXtal_BW#'!$A:$Z,17,FALSE)+VLOOKUP($A308,A:AL,25,FALSE)-50),"-",(VLOOKUP($A308,'SegEnds_NonXtal_BW#'!$A:$Z,17,FALSE)+VLOOKUP($A308,A:AL,25,FALSE)-50))</f>
        <v>306</v>
      </c>
      <c r="Y308" s="3">
        <v>306</v>
      </c>
      <c r="Z308" s="3">
        <f>Y308+2</f>
        <v>308</v>
      </c>
      <c r="AA308" s="3">
        <f>IF(ISERROR(VLOOKUP($A308,'SegEnds_NonXtal_BW#'!$A:$Z,19,FALSE)+VLOOKUP($A308,A:AL,28,FALSE)-50),"-",(VLOOKUP($A308,'SegEnds_NonXtal_BW#'!$A:$Z,19,FALSE)+VLOOKUP($A308,A:AL,28,FALSE)-50))</f>
        <v>314</v>
      </c>
      <c r="AB308" s="3">
        <v>325</v>
      </c>
      <c r="AC308" s="3">
        <f>IF(ISERROR((VLOOKUP($A308,'SegEnds_NonXtal_BW#'!$A:$Z,20,FALSE)+VLOOKUP($A308,A:AL,28,FALSE)-50)),"-",(VLOOKUP($A308,'SegEnds_NonXtal_BW#'!$A:$Z,20,FALSE)+VLOOKUP($A308,A:AL,28,FALSE)-50))</f>
        <v>344</v>
      </c>
      <c r="AD308" s="3">
        <f>IF(ISERROR(VLOOKUP($A308,'SegEnds_NonXtal_BW#'!$A:$Z,21,FALSE)+VLOOKUP($A308,A:AL,31,FALSE)-50),"-",(VLOOKUP($A308,'SegEnds_NonXtal_BW#'!$A:$Z,21,FALSE)+VLOOKUP($A308,A:AL,31,FALSE)-50))</f>
        <v>353</v>
      </c>
      <c r="AE308" s="3">
        <v>378</v>
      </c>
      <c r="AF308" s="3">
        <f>IF(ISERROR((VLOOKUP($A308,'SegEnds_NonXtal_BW#'!$A:$Z,22,FALSE)+VLOOKUP($A308,A:AL,31,FALSE)-50)),"-",(VLOOKUP($A308,'SegEnds_NonXtal_BW#'!$A:$Z,22,FALSE)+VLOOKUP($A308,A:AL,31,FALSE)-50))</f>
        <v>381</v>
      </c>
      <c r="AG308" s="3">
        <f>IF(ISERROR(VLOOKUP($A308,'SegEnds_NonXtal_BW#'!$A:$Z,23,FALSE)+VLOOKUP($A308,A:AL,34,FALSE)-50),"-",(VLOOKUP($A308,'SegEnds_NonXtal_BW#'!$A:$Z,23,FALSE)+VLOOKUP($A308,A:AL,34,FALSE)-50))</f>
        <v>388</v>
      </c>
      <c r="AH308" s="3">
        <v>410</v>
      </c>
      <c r="AI308" s="3">
        <f>IF(ISERROR((VLOOKUP($A308,'SegEnds_NonXtal_BW#'!$A:$Z,24,FALSE)+VLOOKUP($A308,A:AL,34,FALSE)-50)),"-",(VLOOKUP($A308,'SegEnds_NonXtal_BW#'!$A:$Z,24,FALSE)+VLOOKUP($A308,A:AL,34,FALSE)-50))</f>
        <v>416</v>
      </c>
      <c r="AJ308" s="3">
        <f>IF(ISERROR(VLOOKUP($A308,'SegEnds_NonXtal_BW#'!$A:$Z,25,FALSE)+VLOOKUP($A308,A:AL,37,FALSE)-50),"-",(VLOOKUP($A308,'SegEnds_NonXtal_BW#'!$A:$Z,25,FALSE)+VLOOKUP($A308,A:AL,37,FALSE)-50))</f>
        <v>417</v>
      </c>
      <c r="AK308" s="3">
        <v>420</v>
      </c>
      <c r="AL308" s="3">
        <f>IF(ISERROR((VLOOKUP($A308,'SegEnds_NonXtal_BW#'!$A:$Z,26,FALSE)+VLOOKUP($A308,A:AL,37,FALSE)-50)),"-",(VLOOKUP($A308,'SegEnds_NonXtal_BW#'!$A:$Z,26,FALSE)+VLOOKUP($A308,A:AL,37,FALSE)-50))</f>
        <v>442</v>
      </c>
      <c r="AM308" s="28" t="str">
        <f>VLOOKUP(A308,Classification!A:B,2,FALSE)</f>
        <v>B1</v>
      </c>
      <c r="AN308" s="28" t="b">
        <f>AND(IF(Y308="-",IF(AA308-W308&gt;3,TRUE,FALSE),TRUE),IF(M308="-",IF(O308-K308&gt;3,TRUE,FALSE),TRUE),C308&lt;E308,OR(E308&lt;F308,F308="-"),OR(F308&lt;H308,F308="-"),OR(H308&lt;I308,H308="-"),I308&lt;K308,OR(K308&lt;L308,L308="-"),OR(L308&lt;N308,L308="-"),OR(N308&lt;O308,N308="-"),O308&lt;Q308,OR(Q308&lt;R308,R308="-"),OR(R308&lt;T308,R308="-"),OR(T308&lt;U308,T308="-"),U308&lt;W308,OR(W308&lt;X308,X308="-"),OR(X308&lt;Z308,X308="-"),OR(Z308&lt;AA308,Z308="-"),AA308&lt;AC308,AC308&lt;AD308,AD308&lt;AF308,AF308&lt;AG308,AG308&lt;AI308,OR(AI308&lt;AJ308,AJ308="-"),OR(AJ308&lt;AL308,AJ308="-"))</f>
        <v>1</v>
      </c>
      <c r="AO308" s="3" t="str">
        <f>IF(ISERROR(MATCH(A308,'SegEnds_Xtal_Prot#'!B:B, 0)), "NoXtal", "Xtal")</f>
        <v>NoXtal</v>
      </c>
      <c r="AP308" s="3">
        <f>IF(ISERROR(F308-E308),"-",F308-E308)</f>
        <v>1</v>
      </c>
      <c r="AQ308" s="3">
        <f>IF(ISERROR(I308-H308),"-",I308-H308)</f>
        <v>1</v>
      </c>
      <c r="AR308" s="3" t="str">
        <f>IF(ISERROR(L308-K308),"-",L308-K308)</f>
        <v>-</v>
      </c>
      <c r="AS308" s="3" t="str">
        <f>IF(ISERROR(O308-N308),"-",O308-N308)</f>
        <v>-</v>
      </c>
      <c r="AT308" s="3" t="str">
        <f>IF(ISERROR(R308-Q308),"-",R308-Q308)</f>
        <v>-</v>
      </c>
      <c r="AU308" s="3" t="str">
        <f>IF(ISERROR(U308-T308),"-",U308-T308)</f>
        <v>-</v>
      </c>
      <c r="AV308" s="3">
        <f>IF(ISERROR(X308-W308),"-",X308-W308)</f>
        <v>4</v>
      </c>
      <c r="AW308" s="3">
        <f>IF(ISERROR(AA308-Z308),"-",AA308-Z308)</f>
        <v>6</v>
      </c>
      <c r="AX308" s="3">
        <f>IF(ISERROR(AD308-AC308),"-",AD308-AC308)</f>
        <v>9</v>
      </c>
      <c r="AY308" s="3">
        <f>IF(ISERROR(AG308-AF308),"-",AG308-AF308)</f>
        <v>7</v>
      </c>
      <c r="AZ308" s="3">
        <f>IF(ISERROR(AJ308-AI308),"-",AJ308-AI308)</f>
        <v>1</v>
      </c>
      <c r="BA308" s="3">
        <f>IF(ISERROR(LEN(VLOOKUP(A308,Seqs!A:E,2,FALSE))-AL308),"-",LEN(VLOOKUP(A308,Seqs!A:E,2,FALSE))-AL308)</f>
        <v>108</v>
      </c>
      <c r="BB308" s="16">
        <f>J308-D308</f>
        <v>28</v>
      </c>
      <c r="BC308" s="9" t="str">
        <f>IF(ISERROR(V308-S308),"-",V308-S308)</f>
        <v>-</v>
      </c>
      <c r="BD308" s="3">
        <f>J308-D308</f>
        <v>28</v>
      </c>
      <c r="BE308" s="3">
        <f>AE308-AB308</f>
        <v>53</v>
      </c>
    </row>
    <row r="309" spans="1:58" s="3" customFormat="1" x14ac:dyDescent="0.2">
      <c r="A309" s="3" t="s">
        <v>411</v>
      </c>
      <c r="B309" s="3" t="str">
        <f>LOWER(VLOOKUP(A309,Xtal_Templ!A:B,2,FALSE))</f>
        <v>glp1r_human</v>
      </c>
      <c r="C309" s="3">
        <f>VLOOKUP($A309,'SegEnds_NonXtal_BW#'!$A:$Z,3,FALSE)+D309-50</f>
        <v>136</v>
      </c>
      <c r="D309" s="3">
        <v>157</v>
      </c>
      <c r="E309" s="3">
        <f>IF(ISERROR(VLOOKUP($A309,'SegEnds_NonXtal_BW#'!$A:$Z,4,FALSE)+VLOOKUP($A309,A:AL,4,FALSE)-50),"-",(VLOOKUP($A309,'SegEnds_NonXtal_BW#'!$A:$Z,4,FALSE)+VLOOKUP($A309,A:AL,4,FALSE)-50))</f>
        <v>167</v>
      </c>
      <c r="F309" s="3">
        <f>G309-2</f>
        <v>168</v>
      </c>
      <c r="G309" s="3">
        <v>170</v>
      </c>
      <c r="H309" s="3">
        <f>G309+1</f>
        <v>171</v>
      </c>
      <c r="I309" s="3">
        <f>H309+1</f>
        <v>172</v>
      </c>
      <c r="J309" s="3">
        <v>185</v>
      </c>
      <c r="K309" s="3">
        <f>VLOOKUP($A309,'SegEnds_NonXtal_BW#'!$A:$Z,8,FALSE)+VLOOKUP($A309,A:AL,10,FALSE)-50</f>
        <v>199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211</v>
      </c>
      <c r="P309" s="3">
        <v>240</v>
      </c>
      <c r="Q309" s="3">
        <f>VLOOKUP($A309,'SegEnds_NonXtal_BW#'!$A:$Z,12,FALSE)+VLOOKUP($A309,A:AL,16,FALSE)-50</f>
        <v>246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251</v>
      </c>
      <c r="V309" s="3">
        <v>263</v>
      </c>
      <c r="W309" s="3">
        <f>IF(ISERROR(VLOOKUP($A309,'SegEnds_NonXtal_BW#'!$A:$Z,16,FALSE)+VLOOKUP($A309,A:AL,22,FALSE)-50),"-",(VLOOKUP($A309,'SegEnds_NonXtal_BW#'!$A:$Z,16,FALSE)+VLOOKUP($A309,A:AL,22,FALSE)-50))</f>
        <v>281</v>
      </c>
      <c r="X309" s="3">
        <f>IF(ISERROR(VLOOKUP($A309,'SegEnds_NonXtal_BW#'!$A:$Z,17,FALSE)+VLOOKUP($A309,A:AL,25,FALSE)-50),"-",(VLOOKUP($A309,'SegEnds_NonXtal_BW#'!$A:$Z,17,FALSE)+VLOOKUP($A309,A:AL,25,FALSE)-50))</f>
        <v>285</v>
      </c>
      <c r="Y309" s="3">
        <v>285</v>
      </c>
      <c r="Z309" s="3">
        <f>Y309+2</f>
        <v>287</v>
      </c>
      <c r="AA309" s="3">
        <f>IF(ISERROR(VLOOKUP($A309,'SegEnds_NonXtal_BW#'!$A:$Z,19,FALSE)+VLOOKUP($A309,A:AL,28,FALSE)-50),"-",(VLOOKUP($A309,'SegEnds_NonXtal_BW#'!$A:$Z,19,FALSE)+VLOOKUP($A309,A:AL,28,FALSE)-50))</f>
        <v>294</v>
      </c>
      <c r="AB309" s="3">
        <v>305</v>
      </c>
      <c r="AC309" s="3">
        <f>IF(ISERROR((VLOOKUP($A309,'SegEnds_NonXtal_BW#'!$A:$Z,20,FALSE)+VLOOKUP($A309,A:AL,28,FALSE)-50)),"-",(VLOOKUP($A309,'SegEnds_NonXtal_BW#'!$A:$Z,20,FALSE)+VLOOKUP($A309,A:AL,28,FALSE)-50))</f>
        <v>324</v>
      </c>
      <c r="AD309" s="3">
        <f>IF(ISERROR(VLOOKUP($A309,'SegEnds_NonXtal_BW#'!$A:$Z,21,FALSE)+VLOOKUP($A309,A:AL,31,FALSE)-50),"-",(VLOOKUP($A309,'SegEnds_NonXtal_BW#'!$A:$Z,21,FALSE)+VLOOKUP($A309,A:AL,31,FALSE)-50))</f>
        <v>332</v>
      </c>
      <c r="AE309" s="3">
        <v>357</v>
      </c>
      <c r="AF309" s="3">
        <f>IF(ISERROR((VLOOKUP($A309,'SegEnds_NonXtal_BW#'!$A:$Z,22,FALSE)+VLOOKUP($A309,A:AL,31,FALSE)-50)),"-",(VLOOKUP($A309,'SegEnds_NonXtal_BW#'!$A:$Z,22,FALSE)+VLOOKUP($A309,A:AL,31,FALSE)-50))</f>
        <v>360</v>
      </c>
      <c r="AG309" s="3">
        <f>IF(ISERROR(VLOOKUP($A309,'SegEnds_NonXtal_BW#'!$A:$Z,23,FALSE)+VLOOKUP($A309,A:AL,34,FALSE)-50),"-",(VLOOKUP($A309,'SegEnds_NonXtal_BW#'!$A:$Z,23,FALSE)+VLOOKUP($A309,A:AL,34,FALSE)-50))</f>
        <v>366</v>
      </c>
      <c r="AH309" s="3">
        <v>385</v>
      </c>
      <c r="AI309" s="3">
        <f>IF(ISERROR((VLOOKUP($A309,'SegEnds_NonXtal_BW#'!$A:$Z,24,FALSE)+VLOOKUP($A309,A:AL,34,FALSE)-50)),"-",(VLOOKUP($A309,'SegEnds_NonXtal_BW#'!$A:$Z,24,FALSE)+VLOOKUP($A309,A:AL,34,FALSE)-50))</f>
        <v>391</v>
      </c>
      <c r="AJ309" s="3">
        <f>IF(ISERROR(VLOOKUP($A309,'SegEnds_NonXtal_BW#'!$A:$Z,25,FALSE)+VLOOKUP($A309,A:AL,37,FALSE)-50),"-",(VLOOKUP($A309,'SegEnds_NonXtal_BW#'!$A:$Z,25,FALSE)+VLOOKUP($A309,A:AL,37,FALSE)-50))</f>
        <v>392</v>
      </c>
      <c r="AK309" s="3">
        <v>395</v>
      </c>
      <c r="AL309" s="3">
        <f>IF(ISERROR((VLOOKUP($A309,'SegEnds_NonXtal_BW#'!$A:$Z,26,FALSE)+VLOOKUP($A309,A:AL,37,FALSE)-50)),"-",(VLOOKUP($A309,'SegEnds_NonXtal_BW#'!$A:$Z,26,FALSE)+VLOOKUP($A309,A:AL,37,FALSE)-50))</f>
        <v>417</v>
      </c>
      <c r="AM309" s="28" t="str">
        <f>VLOOKUP(A309,Classification!A:B,2,FALSE)</f>
        <v>B1</v>
      </c>
      <c r="AN309" s="28" t="b">
        <f>AND(IF(Y309="-",IF(AA309-W309&gt;3,TRUE,FALSE),TRUE),IF(M309="-",IF(O309-K309&gt;3,TRUE,FALSE),TRUE),C309&lt;E309,OR(E309&lt;F309,F309="-"),OR(F309&lt;H309,F309="-"),OR(H309&lt;I309,H309="-"),I309&lt;K309,OR(K309&lt;L309,L309="-"),OR(L309&lt;N309,L309="-"),OR(N309&lt;O309,N309="-"),O309&lt;Q309,OR(Q309&lt;R309,R309="-"),OR(R309&lt;T309,R309="-"),OR(T309&lt;U309,T309="-"),U309&lt;W309,OR(W309&lt;X309,X309="-"),OR(X309&lt;Z309,X309="-"),OR(Z309&lt;AA309,Z309="-"),AA309&lt;AC309,AC309&lt;AD309,AD309&lt;AF309,AF309&lt;AG309,AG309&lt;AI309,OR(AI309&lt;AJ309,AJ309="-"),OR(AJ309&lt;AL309,AJ309="-"))</f>
        <v>1</v>
      </c>
      <c r="AO309" s="3" t="str">
        <f>IF(ISERROR(MATCH(A309,'SegEnds_Xtal_Prot#'!B:B, 0)), "NoXtal", "Xtal")</f>
        <v>NoXtal</v>
      </c>
      <c r="AP309" s="3">
        <f>IF(ISERROR(F309-E309),"-",F309-E309)</f>
        <v>1</v>
      </c>
      <c r="AQ309" s="3">
        <f>IF(ISERROR(I309-H309),"-",I309-H309)</f>
        <v>1</v>
      </c>
      <c r="AR309" s="3" t="str">
        <f>IF(ISERROR(L309-K309),"-",L309-K309)</f>
        <v>-</v>
      </c>
      <c r="AS309" s="3" t="str">
        <f>IF(ISERROR(O309-N309),"-",O309-N309)</f>
        <v>-</v>
      </c>
      <c r="AT309" s="3" t="str">
        <f>IF(ISERROR(R309-Q309),"-",R309-Q309)</f>
        <v>-</v>
      </c>
      <c r="AU309" s="3" t="str">
        <f>IF(ISERROR(U309-T309),"-",U309-T309)</f>
        <v>-</v>
      </c>
      <c r="AV309" s="3">
        <f>IF(ISERROR(X309-W309),"-",X309-W309)</f>
        <v>4</v>
      </c>
      <c r="AW309" s="3">
        <f>IF(ISERROR(AA309-Z309),"-",AA309-Z309)</f>
        <v>7</v>
      </c>
      <c r="AX309" s="3">
        <f>IF(ISERROR(AD309-AC309),"-",AD309-AC309)</f>
        <v>8</v>
      </c>
      <c r="AY309" s="3">
        <f>IF(ISERROR(AG309-AF309),"-",AG309-AF309)</f>
        <v>6</v>
      </c>
      <c r="AZ309" s="3">
        <f>IF(ISERROR(AJ309-AI309),"-",AJ309-AI309)</f>
        <v>1</v>
      </c>
      <c r="BA309" s="3">
        <f>IF(ISERROR(LEN(VLOOKUP(A309,Seqs!A:E,2,FALSE))-AL309),"-",LEN(VLOOKUP(A309,Seqs!A:E,2,FALSE))-AL309)</f>
        <v>23</v>
      </c>
      <c r="BB309" s="16">
        <f>J309-D309</f>
        <v>28</v>
      </c>
      <c r="BC309" s="9" t="str">
        <f>IF(ISERROR(V309-S309),"-",V309-S309)</f>
        <v>-</v>
      </c>
      <c r="BD309" s="3">
        <f>J309-D309</f>
        <v>28</v>
      </c>
      <c r="BE309" s="3">
        <f>AE309-AB309</f>
        <v>52</v>
      </c>
      <c r="BF309" s="3">
        <f>AH309-AE309</f>
        <v>28</v>
      </c>
    </row>
    <row r="310" spans="1:58" s="3" customFormat="1" x14ac:dyDescent="0.2">
      <c r="A310" s="3" t="s">
        <v>412</v>
      </c>
      <c r="B310" s="3" t="str">
        <f>LOWER(VLOOKUP(A310,Xtal_Templ!A:B,2,FALSE))</f>
        <v>glp1r_human</v>
      </c>
      <c r="C310" s="3">
        <f>VLOOKUP($A310,'SegEnds_NonXtal_BW#'!$A:$Z,3,FALSE)+D310-50</f>
        <v>136</v>
      </c>
      <c r="D310" s="3">
        <v>157</v>
      </c>
      <c r="E310" s="3">
        <f>IF(ISERROR(VLOOKUP($A310,'SegEnds_NonXtal_BW#'!$A:$Z,4,FALSE)+VLOOKUP($A310,A:AL,4,FALSE)-50),"-",(VLOOKUP($A310,'SegEnds_NonXtal_BW#'!$A:$Z,4,FALSE)+VLOOKUP($A310,A:AL,4,FALSE)-50))</f>
        <v>167</v>
      </c>
      <c r="F310" s="3">
        <f>G310-2</f>
        <v>168</v>
      </c>
      <c r="G310" s="3">
        <v>170</v>
      </c>
      <c r="H310" s="3">
        <f>G310+1</f>
        <v>171</v>
      </c>
      <c r="I310" s="3">
        <f>H310+1</f>
        <v>172</v>
      </c>
      <c r="J310" s="3">
        <v>185</v>
      </c>
      <c r="K310" s="3">
        <f>VLOOKUP($A310,'SegEnds_NonXtal_BW#'!$A:$Z,8,FALSE)+VLOOKUP($A310,A:AL,10,FALSE)-50</f>
        <v>199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211</v>
      </c>
      <c r="P310" s="3">
        <v>240</v>
      </c>
      <c r="Q310" s="3">
        <f>VLOOKUP($A310,'SegEnds_NonXtal_BW#'!$A:$Z,12,FALSE)+VLOOKUP($A310,A:AL,16,FALSE)-50</f>
        <v>246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251</v>
      </c>
      <c r="V310" s="3">
        <v>263</v>
      </c>
      <c r="W310" s="3">
        <f>IF(ISERROR(VLOOKUP($A310,'SegEnds_NonXtal_BW#'!$A:$Z,16,FALSE)+VLOOKUP($A310,A:AL,22,FALSE)-50),"-",(VLOOKUP($A310,'SegEnds_NonXtal_BW#'!$A:$Z,16,FALSE)+VLOOKUP($A310,A:AL,22,FALSE)-50))</f>
        <v>281</v>
      </c>
      <c r="X310" s="3">
        <f>IF(ISERROR(VLOOKUP($A310,'SegEnds_NonXtal_BW#'!$A:$Z,17,FALSE)+VLOOKUP($A310,A:AL,25,FALSE)-50),"-",(VLOOKUP($A310,'SegEnds_NonXtal_BW#'!$A:$Z,17,FALSE)+VLOOKUP($A310,A:AL,25,FALSE)-50))</f>
        <v>285</v>
      </c>
      <c r="Y310" s="3">
        <v>285</v>
      </c>
      <c r="Z310" s="3">
        <f>Y310+2</f>
        <v>287</v>
      </c>
      <c r="AA310" s="3">
        <f>IF(ISERROR(VLOOKUP($A310,'SegEnds_NonXtal_BW#'!$A:$Z,19,FALSE)+VLOOKUP($A310,A:AL,28,FALSE)-50),"-",(VLOOKUP($A310,'SegEnds_NonXtal_BW#'!$A:$Z,19,FALSE)+VLOOKUP($A310,A:AL,28,FALSE)-50))</f>
        <v>293</v>
      </c>
      <c r="AB310" s="3">
        <v>304</v>
      </c>
      <c r="AC310" s="3">
        <f>IF(ISERROR((VLOOKUP($A310,'SegEnds_NonXtal_BW#'!$A:$Z,20,FALSE)+VLOOKUP($A310,A:AL,28,FALSE)-50)),"-",(VLOOKUP($A310,'SegEnds_NonXtal_BW#'!$A:$Z,20,FALSE)+VLOOKUP($A310,A:AL,28,FALSE)-50))</f>
        <v>323</v>
      </c>
      <c r="AD310" s="3">
        <f>IF(ISERROR(VLOOKUP($A310,'SegEnds_NonXtal_BW#'!$A:$Z,21,FALSE)+VLOOKUP($A310,A:AL,31,FALSE)-50),"-",(VLOOKUP($A310,'SegEnds_NonXtal_BW#'!$A:$Z,21,FALSE)+VLOOKUP($A310,A:AL,31,FALSE)-50))</f>
        <v>331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366</v>
      </c>
      <c r="AH310" s="3">
        <v>385</v>
      </c>
      <c r="AI310" s="3">
        <f>IF(ISERROR((VLOOKUP($A310,'SegEnds_NonXtal_BW#'!$A:$Z,24,FALSE)+VLOOKUP($A310,A:AL,34,FALSE)-50)),"-",(VLOOKUP($A310,'SegEnds_NonXtal_BW#'!$A:$Z,24,FALSE)+VLOOKUP($A310,A:AL,34,FALSE)-50))</f>
        <v>391</v>
      </c>
      <c r="AJ310" s="3">
        <f>IF(ISERROR(VLOOKUP($A310,'SegEnds_NonXtal_BW#'!$A:$Z,25,FALSE)+VLOOKUP($A310,A:AL,37,FALSE)-50),"-",(VLOOKUP($A310,'SegEnds_NonXtal_BW#'!$A:$Z,25,FALSE)+VLOOKUP($A310,A:AL,37,FALSE)-50))</f>
        <v>392</v>
      </c>
      <c r="AK310" s="3">
        <v>395</v>
      </c>
      <c r="AL310" s="3">
        <f>IF(ISERROR((VLOOKUP($A310,'SegEnds_NonXtal_BW#'!$A:$Z,26,FALSE)+VLOOKUP($A310,A:AL,37,FALSE)-50)),"-",(VLOOKUP($A310,'SegEnds_NonXtal_BW#'!$A:$Z,26,FALSE)+VLOOKUP($A310,A:AL,37,FALSE)-50))</f>
        <v>417</v>
      </c>
      <c r="AM310" s="28" t="str">
        <f>VLOOKUP(A310,Classification!A:B,2,FALSE)</f>
        <v>B1</v>
      </c>
      <c r="AN310" s="28" t="b">
        <f>AND(IF(Y310="-",IF(AA310-W310&gt;3,TRUE,FALSE),TRUE),IF(M310="-",IF(O310-K310&gt;3,TRUE,FALSE),TRUE),C310&lt;E310,OR(E310&lt;F310,F310="-"),OR(F310&lt;H310,F310="-"),OR(H310&lt;I310,H310="-"),I310&lt;K310,OR(K310&lt;L310,L310="-"),OR(L310&lt;N310,L310="-"),OR(N310&lt;O310,N310="-"),O310&lt;Q310,OR(Q310&lt;R310,R310="-"),OR(R310&lt;T310,R310="-"),OR(T310&lt;U310,T310="-"),U310&lt;W310,OR(W310&lt;X310,X310="-"),OR(X310&lt;Z310,X310="-"),OR(Z310&lt;AA310,Z310="-"),AA310&lt;AC310,AC310&lt;AD310,AD310&lt;AF310,AF310&lt;AG310,AG310&lt;AI310,OR(AI310&lt;AJ310,AJ310="-"),OR(AJ310&lt;AL310,AJ310="-"))</f>
        <v>1</v>
      </c>
      <c r="AO310" s="3" t="str">
        <f>IF(ISERROR(MATCH(A310,'SegEnds_Xtal_Prot#'!B:B, 0)), "NoXtal", "Xtal")</f>
        <v>NoXtal</v>
      </c>
      <c r="AP310" s="3">
        <f>IF(ISERROR(F310-E310),"-",F310-E310)</f>
        <v>1</v>
      </c>
      <c r="AQ310" s="3">
        <f>IF(ISERROR(I310-H310),"-",I310-H310)</f>
        <v>1</v>
      </c>
      <c r="AR310" s="3" t="str">
        <f>IF(ISERROR(L310-K310),"-",L310-K310)</f>
        <v>-</v>
      </c>
      <c r="AS310" s="3" t="str">
        <f>IF(ISERROR(O310-N310),"-",O310-N310)</f>
        <v>-</v>
      </c>
      <c r="AT310" s="3" t="str">
        <f>IF(ISERROR(R310-Q310),"-",R310-Q310)</f>
        <v>-</v>
      </c>
      <c r="AU310" s="3" t="str">
        <f>IF(ISERROR(U310-T310),"-",U310-T310)</f>
        <v>-</v>
      </c>
      <c r="AV310" s="3">
        <f>IF(ISERROR(X310-W310),"-",X310-W310)</f>
        <v>4</v>
      </c>
      <c r="AW310" s="3">
        <f>IF(ISERROR(AA310-Z310),"-",AA310-Z310)</f>
        <v>6</v>
      </c>
      <c r="AX310" s="3">
        <f>IF(ISERROR(AD310-AC310),"-",AD310-AC310)</f>
        <v>8</v>
      </c>
      <c r="AY310" s="3">
        <f>IF(ISERROR(AG310-AF310),"-",AG310-AF310)</f>
        <v>7</v>
      </c>
      <c r="AZ310" s="3">
        <f>IF(ISERROR(AJ310-AI310),"-",AJ310-AI310)</f>
        <v>1</v>
      </c>
      <c r="BA310" s="3">
        <f>IF(ISERROR(LEN(VLOOKUP(A310,Seqs!A:E,2,FALSE))-AL310),"-",LEN(VLOOKUP(A310,Seqs!A:E,2,FALSE))-AL310)</f>
        <v>40</v>
      </c>
      <c r="BB310" s="16">
        <f>J310-D310</f>
        <v>28</v>
      </c>
      <c r="BC310" s="9" t="str">
        <f>IF(ISERROR(V310-S310),"-",V310-S310)</f>
        <v>-</v>
      </c>
      <c r="BD310" s="3">
        <f>J310-D310</f>
        <v>28</v>
      </c>
      <c r="BE310" s="3">
        <f>AE310-AB310</f>
        <v>52</v>
      </c>
    </row>
    <row r="311" spans="1:58" s="3" customFormat="1" x14ac:dyDescent="0.2">
      <c r="A311" s="3" t="s">
        <v>413</v>
      </c>
      <c r="B311" s="3" t="str">
        <f>LOWER(VLOOKUP(A311,Xtal_Templ!A:B,2,FALSE))</f>
        <v>glr_human</v>
      </c>
      <c r="C311" s="3">
        <f>VLOOKUP($A311,'SegEnds_NonXtal_BW#'!$A:$Z,3,FALSE)+D311-50</f>
        <v>116</v>
      </c>
      <c r="D311" s="3">
        <v>141</v>
      </c>
      <c r="E311" s="3">
        <f>IF(ISERROR(VLOOKUP($A311,'SegEnds_NonXtal_BW#'!$A:$Z,4,FALSE)+VLOOKUP($A311,A:AL,4,FALSE)-50),"-",(VLOOKUP($A311,'SegEnds_NonXtal_BW#'!$A:$Z,4,FALSE)+VLOOKUP($A311,A:AL,4,FALSE)-50))</f>
        <v>151</v>
      </c>
      <c r="F311" s="3">
        <f>G311-2</f>
        <v>152</v>
      </c>
      <c r="G311" s="3">
        <v>154</v>
      </c>
      <c r="H311" s="3">
        <f>G311+1</f>
        <v>155</v>
      </c>
      <c r="I311" s="3">
        <f>H311+1</f>
        <v>156</v>
      </c>
      <c r="J311" s="3">
        <v>169</v>
      </c>
      <c r="K311" s="3">
        <f>VLOOKUP($A311,'SegEnds_NonXtal_BW#'!$A:$Z,8,FALSE)+VLOOKUP($A311,A:AL,10,FALSE)-50</f>
        <v>183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200</v>
      </c>
      <c r="P311" s="3">
        <v>227</v>
      </c>
      <c r="Q311" s="3">
        <f>VLOOKUP($A311,'SegEnds_NonXtal_BW#'!$A:$Z,12,FALSE)+VLOOKUP($A311,A:AL,16,FALSE)-50</f>
        <v>233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239</v>
      </c>
      <c r="V311" s="3">
        <v>249</v>
      </c>
      <c r="W311" s="3">
        <f>IF(ISERROR(VLOOKUP($A311,'SegEnds_NonXtal_BW#'!$A:$Z,16,FALSE)+VLOOKUP($A311,A:AL,22,FALSE)-50),"-",(VLOOKUP($A311,'SegEnds_NonXtal_BW#'!$A:$Z,16,FALSE)+VLOOKUP($A311,A:AL,22,FALSE)-50))</f>
        <v>267</v>
      </c>
      <c r="X311" s="3">
        <f>IF(ISERROR(VLOOKUP($A311,'SegEnds_NonXtal_BW#'!$A:$Z,17,FALSE)+VLOOKUP($A311,A:AL,25,FALSE)-50),"-",(VLOOKUP($A311,'SegEnds_NonXtal_BW#'!$A:$Z,17,FALSE)+VLOOKUP($A311,A:AL,25,FALSE)-50))</f>
        <v>271</v>
      </c>
      <c r="Y311" s="3">
        <v>271</v>
      </c>
      <c r="Z311" s="3">
        <f>Y311+2</f>
        <v>273</v>
      </c>
      <c r="AA311" s="3">
        <f>IF(ISERROR(VLOOKUP($A311,'SegEnds_NonXtal_BW#'!$A:$Z,19,FALSE)+VLOOKUP($A311,A:AL,28,FALSE)-50),"-",(VLOOKUP($A311,'SegEnds_NonXtal_BW#'!$A:$Z,19,FALSE)+VLOOKUP($A311,A:AL,28,FALSE)-50))</f>
        <v>280</v>
      </c>
      <c r="AB311" s="3">
        <v>291</v>
      </c>
      <c r="AC311" s="3">
        <f>IF(ISERROR((VLOOKUP($A311,'SegEnds_NonXtal_BW#'!$A:$Z,20,FALSE)+VLOOKUP($A311,A:AL,28,FALSE)-50)),"-",(VLOOKUP($A311,'SegEnds_NonXtal_BW#'!$A:$Z,20,FALSE)+VLOOKUP($A311,A:AL,28,FALSE)-50))</f>
        <v>310</v>
      </c>
      <c r="AD311" s="3">
        <f>IF(ISERROR(VLOOKUP($A311,'SegEnds_NonXtal_BW#'!$A:$Z,21,FALSE)+VLOOKUP($A311,A:AL,31,FALSE)-50),"-",(VLOOKUP($A311,'SegEnds_NonXtal_BW#'!$A:$Z,21,FALSE)+VLOOKUP($A311,A:AL,31,FALSE)-50))</f>
        <v>318</v>
      </c>
      <c r="AE311" s="3">
        <v>343</v>
      </c>
      <c r="AF311" s="3">
        <f>IF(ISERROR((VLOOKUP($A311,'SegEnds_NonXtal_BW#'!$A:$Z,22,FALSE)+VLOOKUP($A311,A:AL,31,FALSE)-50)),"-",(VLOOKUP($A311,'SegEnds_NonXtal_BW#'!$A:$Z,22,FALSE)+VLOOKUP($A311,A:AL,31,FALSE)-50))</f>
        <v>346</v>
      </c>
      <c r="AG311" s="3">
        <f>IF(ISERROR(VLOOKUP($A311,'SegEnds_NonXtal_BW#'!$A:$Z,23,FALSE)+VLOOKUP($A311,A:AL,34,FALSE)-50),"-",(VLOOKUP($A311,'SegEnds_NonXtal_BW#'!$A:$Z,23,FALSE)+VLOOKUP($A311,A:AL,34,FALSE)-50))</f>
        <v>353</v>
      </c>
      <c r="AH311" s="3">
        <v>372</v>
      </c>
      <c r="AI311" s="3">
        <f>IF(ISERROR((VLOOKUP($A311,'SegEnds_NonXtal_BW#'!$A:$Z,24,FALSE)+VLOOKUP($A311,A:AL,34,FALSE)-50)),"-",(VLOOKUP($A311,'SegEnds_NonXtal_BW#'!$A:$Z,24,FALSE)+VLOOKUP($A311,A:AL,34,FALSE)-50))</f>
        <v>378</v>
      </c>
      <c r="AJ311" s="3">
        <f>IF(ISERROR(VLOOKUP($A311,'SegEnds_NonXtal_BW#'!$A:$Z,25,FALSE)+VLOOKUP($A311,A:AL,37,FALSE)-50),"-",(VLOOKUP($A311,'SegEnds_NonXtal_BW#'!$A:$Z,25,FALSE)+VLOOKUP($A311,A:AL,37,FALSE)-50))</f>
        <v>379</v>
      </c>
      <c r="AK311" s="3">
        <v>382</v>
      </c>
      <c r="AL311" s="3">
        <f>IF(ISERROR((VLOOKUP($A311,'SegEnds_NonXtal_BW#'!$A:$Z,26,FALSE)+VLOOKUP($A311,A:AL,37,FALSE)-50)),"-",(VLOOKUP($A311,'SegEnds_NonXtal_BW#'!$A:$Z,26,FALSE)+VLOOKUP($A311,A:AL,37,FALSE)-50))</f>
        <v>404</v>
      </c>
      <c r="AM311" s="28" t="str">
        <f>VLOOKUP(A311,Classification!A:B,2,FALSE)</f>
        <v>B1</v>
      </c>
      <c r="AN311" s="28" t="b">
        <f>AND(IF(Y311="-",IF(AA311-W311&gt;3,TRUE,FALSE),TRUE),IF(M311="-",IF(O311-K311&gt;3,TRUE,FALSE),TRUE),C311&lt;E311,OR(E311&lt;F311,F311="-"),OR(F311&lt;H311,F311="-"),OR(H311&lt;I311,H311="-"),I311&lt;K311,OR(K311&lt;L311,L311="-"),OR(L311&lt;N311,L311="-"),OR(N311&lt;O311,N311="-"),O311&lt;Q311,OR(Q311&lt;R311,R311="-"),OR(R311&lt;T311,R311="-"),OR(T311&lt;U311,T311="-"),U311&lt;W311,OR(W311&lt;X311,X311="-"),OR(X311&lt;Z311,X311="-"),OR(Z311&lt;AA311,Z311="-"),AA311&lt;AC311,AC311&lt;AD311,AD311&lt;AF311,AF311&lt;AG311,AG311&lt;AI311,OR(AI311&lt;AJ311,AJ311="-"),OR(AJ311&lt;AL311,AJ311="-"))</f>
        <v>1</v>
      </c>
      <c r="AO311" s="3" t="str">
        <f>IF(ISERROR(MATCH(A311,'SegEnds_Xtal_Prot#'!B:B, 0)), "NoXtal", "Xtal")</f>
        <v>NoXtal</v>
      </c>
      <c r="AP311" s="3">
        <f>IF(ISERROR(F311-E311),"-",F311-E311)</f>
        <v>1</v>
      </c>
      <c r="AQ311" s="3">
        <f>IF(ISERROR(I311-H311),"-",I311-H311)</f>
        <v>1</v>
      </c>
      <c r="AR311" s="3" t="str">
        <f>IF(ISERROR(L311-K311),"-",L311-K311)</f>
        <v>-</v>
      </c>
      <c r="AS311" s="3" t="str">
        <f>IF(ISERROR(O311-N311),"-",O311-N311)</f>
        <v>-</v>
      </c>
      <c r="AT311" s="3" t="str">
        <f>IF(ISERROR(R311-Q311),"-",R311-Q311)</f>
        <v>-</v>
      </c>
      <c r="AU311" s="3" t="str">
        <f>IF(ISERROR(U311-T311),"-",U311-T311)</f>
        <v>-</v>
      </c>
      <c r="AV311" s="3">
        <f>IF(ISERROR(X311-W311),"-",X311-W311)</f>
        <v>4</v>
      </c>
      <c r="AW311" s="3">
        <f>IF(ISERROR(AA311-Z311),"-",AA311-Z311)</f>
        <v>7</v>
      </c>
      <c r="AX311" s="3">
        <f>IF(ISERROR(AD311-AC311),"-",AD311-AC311)</f>
        <v>8</v>
      </c>
      <c r="AY311" s="3">
        <f>IF(ISERROR(AG311-AF311),"-",AG311-AF311)</f>
        <v>7</v>
      </c>
      <c r="AZ311" s="3">
        <f>IF(ISERROR(AJ311-AI311),"-",AJ311-AI311)</f>
        <v>1</v>
      </c>
      <c r="BA311" s="3">
        <f>IF(ISERROR(LEN(VLOOKUP(A311,Seqs!A:E,2,FALSE))-AL311),"-",LEN(VLOOKUP(A311,Seqs!A:E,2,FALSE))-AL311)</f>
        <v>34</v>
      </c>
      <c r="BB311" s="16">
        <f>J311-D311</f>
        <v>28</v>
      </c>
      <c r="BC311" s="9" t="str">
        <f>IF(ISERROR(V311-S311),"-",V311-S311)</f>
        <v>-</v>
      </c>
      <c r="BD311" s="3">
        <f>J311-D311</f>
        <v>28</v>
      </c>
      <c r="BE311" s="3">
        <f>AE311-AB311</f>
        <v>52</v>
      </c>
    </row>
    <row r="312" spans="1:58" s="3" customFormat="1" x14ac:dyDescent="0.2">
      <c r="A312" s="3" t="s">
        <v>1177</v>
      </c>
      <c r="B312" s="3" t="str">
        <f>LOWER(VLOOKUP(A312,Xtal_Templ!A:B,2,FALSE))</f>
        <v>crfr1_human</v>
      </c>
      <c r="C312" s="3">
        <f>VLOOKUP($A312,'SegEnds_NonXtal_BW#'!$A:$Z,3,FALSE)+D312-50</f>
        <v>8</v>
      </c>
      <c r="D312" s="3">
        <v>35</v>
      </c>
      <c r="E312" s="3">
        <f>IF(ISERROR(VLOOKUP($A312,'SegEnds_NonXtal_BW#'!$A:$Z,4,FALSE)+VLOOKUP($A312,A:AL,4,FALSE)-50),"-",(VLOOKUP($A312,'SegEnds_NonXtal_BW#'!$A:$Z,4,FALSE)+VLOOKUP($A312,A:AL,4,FALSE)-50))</f>
        <v>45</v>
      </c>
      <c r="F312" s="3" t="s">
        <v>23</v>
      </c>
      <c r="G312" s="3" t="s">
        <v>23</v>
      </c>
      <c r="H312" s="3" t="s">
        <v>23</v>
      </c>
      <c r="I312" s="3">
        <f>VLOOKUP($A312,'SegEnds_NonXtal_BW#'!$A:$Z,7,FALSE)+J312-50</f>
        <v>48</v>
      </c>
      <c r="J312" s="3">
        <v>61</v>
      </c>
      <c r="K312" s="3">
        <f>VLOOKUP($A312,'SegEnds_NonXtal_BW#'!$A:$Z,8,FALSE)+VLOOKUP($A312,A:AL,10,FALSE)-50</f>
        <v>74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81</v>
      </c>
      <c r="P312" s="3">
        <v>108</v>
      </c>
      <c r="Q312" s="3">
        <f>VLOOKUP($A312,'SegEnds_NonXtal_BW#'!$A:$Z,12,FALSE)+VLOOKUP($A312,A:AL,16,FALSE)-50</f>
        <v>114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130</v>
      </c>
      <c r="V312" s="3">
        <v>140</v>
      </c>
      <c r="W312" s="3">
        <f>IF(ISERROR(VLOOKUP($A312,'SegEnds_NonXtal_BW#'!$A:$Z,16,FALSE)+VLOOKUP($A312,A:AL,22,FALSE)-50),"-",(VLOOKUP($A312,'SegEnds_NonXtal_BW#'!$A:$Z,16,FALSE)+VLOOKUP($A312,A:AL,22,FALSE)-50))</f>
        <v>158</v>
      </c>
      <c r="X312" s="3">
        <f>IF(ISERROR(VLOOKUP($A312,'SegEnds_NonXtal_BW#'!$A:$Z,17,FALSE)+VLOOKUP($A312,A:AL,25,FALSE)-50),"-",(VLOOKUP($A312,'SegEnds_NonXtal_BW#'!$A:$Z,17,FALSE)+VLOOKUP($A312,A:AL,25,FALSE)-50))</f>
        <v>168</v>
      </c>
      <c r="Y312" s="3">
        <v>168</v>
      </c>
      <c r="Z312" s="3">
        <f>Y312+2</f>
        <v>170</v>
      </c>
      <c r="AA312" s="3">
        <f>IF(ISERROR(VLOOKUP($A312,'SegEnds_NonXtal_BW#'!$A:$Z,19,FALSE)+VLOOKUP($A312,A:AL,28,FALSE)-50),"-",(VLOOKUP($A312,'SegEnds_NonXtal_BW#'!$A:$Z,19,FALSE)+VLOOKUP($A312,A:AL,28,FALSE)-50))</f>
        <v>172</v>
      </c>
      <c r="AB312" s="3">
        <v>186</v>
      </c>
      <c r="AC312" s="3">
        <f>IF(ISERROR((VLOOKUP($A312,'SegEnds_NonXtal_BW#'!$A:$Z,20,FALSE)+VLOOKUP($A312,A:AL,28,FALSE)-50)),"-",(VLOOKUP($A312,'SegEnds_NonXtal_BW#'!$A:$Z,20,FALSE)+VLOOKUP($A312,A:AL,28,FALSE)-50))</f>
        <v>205</v>
      </c>
      <c r="AD312" s="3">
        <f>IF(ISERROR(VLOOKUP($A312,'SegEnds_NonXtal_BW#'!$A:$Z,21,FALSE)+VLOOKUP($A312,A:AL,31,FALSE)-50),"-",(VLOOKUP($A312,'SegEnds_NonXtal_BW#'!$A:$Z,21,FALSE)+VLOOKUP($A312,A:AL,31,FALSE)-50))</f>
        <v>251</v>
      </c>
      <c r="AE312" s="3">
        <v>272</v>
      </c>
      <c r="AF312" s="3">
        <f>IF(ISERROR((VLOOKUP($A312,'SegEnds_NonXtal_BW#'!$A:$Z,22,FALSE)+VLOOKUP($A312,A:AL,31,FALSE)-50)),"-",(VLOOKUP($A312,'SegEnds_NonXtal_BW#'!$A:$Z,22,FALSE)+VLOOKUP($A312,A:AL,31,FALSE)-50))</f>
        <v>275</v>
      </c>
      <c r="AG312" s="3">
        <f>IF(ISERROR(VLOOKUP($A312,'SegEnds_NonXtal_BW#'!$A:$Z,23,FALSE)+VLOOKUP($A312,A:AL,34,FALSE)-50),"-",(VLOOKUP($A312,'SegEnds_NonXtal_BW#'!$A:$Z,23,FALSE)+VLOOKUP($A312,A:AL,34,FALSE)-50))</f>
        <v>282</v>
      </c>
      <c r="AH312" s="3">
        <v>303</v>
      </c>
      <c r="AI312" s="3">
        <f>IF(ISERROR((VLOOKUP($A312,'SegEnds_NonXtal_BW#'!$A:$Z,24,FALSE)+VLOOKUP($A312,A:AL,34,FALSE)-50)),"-",(VLOOKUP($A312,'SegEnds_NonXtal_BW#'!$A:$Z,24,FALSE)+VLOOKUP($A312,A:AL,34,FALSE)-50))</f>
        <v>309</v>
      </c>
      <c r="AJ312" s="3">
        <f>IF(ISERROR(VLOOKUP($A312,'SegEnds_NonXtal_BW#'!$A:$Z,25,FALSE)+VLOOKUP($A312,A:AL,37,FALSE)-50),"-",(VLOOKUP($A312,'SegEnds_NonXtal_BW#'!$A:$Z,25,FALSE)+VLOOKUP($A312,A:AL,37,FALSE)-50))</f>
        <v>310</v>
      </c>
      <c r="AK312" s="3">
        <v>313</v>
      </c>
      <c r="AL312" s="3">
        <f>IF(ISERROR((VLOOKUP($A312,'SegEnds_NonXtal_BW#'!$A:$Z,26,FALSE)+VLOOKUP($A312,A:AL,37,FALSE)-50)),"-",(VLOOKUP($A312,'SegEnds_NonXtal_BW#'!$A:$Z,26,FALSE)+VLOOKUP($A312,A:AL,37,FALSE)-50))</f>
        <v>326</v>
      </c>
      <c r="AM312" s="28" t="str">
        <f>VLOOKUP(A312,Classification!A:B,2,FALSE)</f>
        <v>B2</v>
      </c>
      <c r="AN312" s="28" t="b">
        <f>AND(IF(Y312="-",IF(AA312-W312&gt;3,TRUE,FALSE),TRUE),IF(M312="-",IF(O312-K312&gt;3,TRUE,FALSE),TRUE),C312&lt;E312,OR(E312&lt;F312,F312="-"),OR(F312&lt;H312,F312="-"),OR(H312&lt;I312,H312="-"),I312&lt;K312,OR(K312&lt;L312,L312="-"),OR(L312&lt;N312,L312="-"),OR(N312&lt;O312,N312="-"),O312&lt;Q312,OR(Q312&lt;R312,R312="-"),OR(R312&lt;T312,R312="-"),OR(T312&lt;U312,T312="-"),U312&lt;W312,OR(W312&lt;X312,X312="-"),OR(X312&lt;Z312,X312="-"),OR(Z312&lt;AA312,Z312="-"),AA312&lt;AC312,AC312&lt;AD312,AD312&lt;AF312,AF312&lt;AG312,AG312&lt;AI312,OR(AI312&lt;AJ312,AJ312="-"),OR(AJ312&lt;AL312,AJ312="-"))</f>
        <v>1</v>
      </c>
      <c r="AO312" s="3" t="str">
        <f>IF(ISERROR(MATCH(A312,'SegEnds_Xtal_Prot#'!B:B, 0)), "NoXtal", "Xtal")</f>
        <v>NoXtal</v>
      </c>
      <c r="AP312" s="3" t="str">
        <f>IF(ISERROR(F312-E312),"-",F312-E312)</f>
        <v>-</v>
      </c>
      <c r="AQ312" s="3" t="str">
        <f>IF(ISERROR(I312-H312),"-",I312-H312)</f>
        <v>-</v>
      </c>
      <c r="AR312" s="3" t="str">
        <f>IF(ISERROR(L312-K312),"-",L312-K312)</f>
        <v>-</v>
      </c>
      <c r="AS312" s="3" t="str">
        <f>IF(ISERROR(O312-N312),"-",O312-N312)</f>
        <v>-</v>
      </c>
      <c r="AT312" s="3" t="str">
        <f>IF(ISERROR(R312-Q312),"-",R312-Q312)</f>
        <v>-</v>
      </c>
      <c r="AU312" s="3" t="str">
        <f>IF(ISERROR(U312-T312),"-",U312-T312)</f>
        <v>-</v>
      </c>
      <c r="AV312" s="3">
        <f>IF(ISERROR(X312-W312),"-",X312-W312)</f>
        <v>10</v>
      </c>
      <c r="AW312" s="3">
        <f>IF(ISERROR(AA312-Z312),"-",AA312-Z312)</f>
        <v>2</v>
      </c>
      <c r="AX312" s="3">
        <f>IF(ISERROR(AD312-AC312),"-",AD312-AC312)</f>
        <v>46</v>
      </c>
      <c r="AY312" s="3">
        <f>IF(ISERROR(AG312-AF312),"-",AG312-AF312)</f>
        <v>7</v>
      </c>
      <c r="AZ312" s="3">
        <f>IF(ISERROR(AJ312-AI312),"-",AJ312-AI312)</f>
        <v>1</v>
      </c>
      <c r="BA312" s="3">
        <f>IF(ISERROR(LEN(VLOOKUP(A312,Seqs!A:E,2,FALSE))-AL312),"-",LEN(VLOOKUP(A312,Seqs!A:E,2,FALSE))-AL312)</f>
        <v>234</v>
      </c>
      <c r="BB312" s="16">
        <f>J312-D312</f>
        <v>26</v>
      </c>
      <c r="BC312" s="9" t="str">
        <f>IF(ISERROR(V312-S312),"-",V312-S312)</f>
        <v>-</v>
      </c>
      <c r="BD312" s="3">
        <f>J312-D312</f>
        <v>26</v>
      </c>
      <c r="BE312" s="3">
        <f>AE312-AB312</f>
        <v>86</v>
      </c>
    </row>
    <row r="313" spans="1:58" s="3" customFormat="1" x14ac:dyDescent="0.2">
      <c r="A313" s="3" t="s">
        <v>1178</v>
      </c>
      <c r="B313" s="3" t="str">
        <f>LOWER(VLOOKUP(A313,Xtal_Templ!A:B,2,FALSE))</f>
        <v>crfr1_human</v>
      </c>
      <c r="C313" s="3">
        <f>VLOOKUP($A313,'SegEnds_NonXtal_BW#'!$A:$Z,3,FALSE)+D313-50</f>
        <v>760</v>
      </c>
      <c r="D313" s="3">
        <v>787</v>
      </c>
      <c r="E313" s="3">
        <f>IF(ISERROR(VLOOKUP($A313,'SegEnds_NonXtal_BW#'!$A:$Z,4,FALSE)+VLOOKUP($A313,A:AL,4,FALSE)-50),"-",(VLOOKUP($A313,'SegEnds_NonXtal_BW#'!$A:$Z,4,FALSE)+VLOOKUP($A313,A:AL,4,FALSE)-50))</f>
        <v>797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800</v>
      </c>
      <c r="J313" s="3">
        <v>813</v>
      </c>
      <c r="K313" s="3">
        <f>VLOOKUP($A313,'SegEnds_NonXtal_BW#'!$A:$Z,8,FALSE)+VLOOKUP($A313,A:AL,10,FALSE)-50</f>
        <v>826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833</v>
      </c>
      <c r="P313" s="3">
        <v>860</v>
      </c>
      <c r="Q313" s="3">
        <f>VLOOKUP($A313,'SegEnds_NonXtal_BW#'!$A:$Z,12,FALSE)+VLOOKUP($A313,A:AL,16,FALSE)-50</f>
        <v>866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882</v>
      </c>
      <c r="V313" s="3">
        <v>892</v>
      </c>
      <c r="W313" s="3">
        <f>IF(ISERROR(VLOOKUP($A313,'SegEnds_NonXtal_BW#'!$A:$Z,16,FALSE)+VLOOKUP($A313,A:AL,22,FALSE)-50),"-",(VLOOKUP($A313,'SegEnds_NonXtal_BW#'!$A:$Z,16,FALSE)+VLOOKUP($A313,A:AL,22,FALSE)-50))</f>
        <v>910</v>
      </c>
      <c r="X313" s="3">
        <f>IF(ISERROR(VLOOKUP($A313,'SegEnds_NonXtal_BW#'!$A:$Z,17,FALSE)+VLOOKUP($A313,A:AL,25,FALSE)-50),"-",(VLOOKUP($A313,'SegEnds_NonXtal_BW#'!$A:$Z,17,FALSE)+VLOOKUP($A313,A:AL,25,FALSE)-50))</f>
        <v>917</v>
      </c>
      <c r="Y313" s="3">
        <v>917</v>
      </c>
      <c r="Z313" s="3">
        <f>Y313+2</f>
        <v>919</v>
      </c>
      <c r="AA313" s="3">
        <f>IF(ISERROR(VLOOKUP($A313,'SegEnds_NonXtal_BW#'!$A:$Z,19,FALSE)+VLOOKUP($A313,A:AL,28,FALSE)-50),"-",(VLOOKUP($A313,'SegEnds_NonXtal_BW#'!$A:$Z,19,FALSE)+VLOOKUP($A313,A:AL,28,FALSE)-50))</f>
        <v>921</v>
      </c>
      <c r="AB313" s="3">
        <v>935</v>
      </c>
      <c r="AC313" s="3">
        <f>IF(ISERROR((VLOOKUP($A313,'SegEnds_NonXtal_BW#'!$A:$Z,20,FALSE)+VLOOKUP($A313,A:AL,28,FALSE)-50)),"-",(VLOOKUP($A313,'SegEnds_NonXtal_BW#'!$A:$Z,20,FALSE)+VLOOKUP($A313,A:AL,28,FALSE)-50))</f>
        <v>954</v>
      </c>
      <c r="AD313" s="3">
        <f>IF(ISERROR(VLOOKUP($A313,'SegEnds_NonXtal_BW#'!$A:$Z,21,FALSE)+VLOOKUP($A313,A:AL,31,FALSE)-50),"-",(VLOOKUP($A313,'SegEnds_NonXtal_BW#'!$A:$Z,21,FALSE)+VLOOKUP($A313,A:AL,31,FALSE)-50))</f>
        <v>1014</v>
      </c>
      <c r="AE313" s="3">
        <v>1035</v>
      </c>
      <c r="AF313" s="3">
        <f>IF(ISERROR((VLOOKUP($A313,'SegEnds_NonXtal_BW#'!$A:$Z,22,FALSE)+VLOOKUP($A313,A:AL,31,FALSE)-50)),"-",(VLOOKUP($A313,'SegEnds_NonXtal_BW#'!$A:$Z,22,FALSE)+VLOOKUP($A313,A:AL,31,FALSE)-50))</f>
        <v>1038</v>
      </c>
      <c r="AG313" s="3">
        <f>IF(ISERROR(VLOOKUP($A313,'SegEnds_NonXtal_BW#'!$A:$Z,23,FALSE)+VLOOKUP($A313,A:AL,34,FALSE)-50),"-",(VLOOKUP($A313,'SegEnds_NonXtal_BW#'!$A:$Z,23,FALSE)+VLOOKUP($A313,A:AL,34,FALSE)-50))</f>
        <v>1045</v>
      </c>
      <c r="AH313" s="3">
        <v>1066</v>
      </c>
      <c r="AI313" s="3">
        <f>IF(ISERROR((VLOOKUP($A313,'SegEnds_NonXtal_BW#'!$A:$Z,24,FALSE)+VLOOKUP($A313,A:AL,34,FALSE)-50)),"-",(VLOOKUP($A313,'SegEnds_NonXtal_BW#'!$A:$Z,24,FALSE)+VLOOKUP($A313,A:AL,34,FALSE)-50))</f>
        <v>1072</v>
      </c>
      <c r="AJ313" s="3">
        <f>IF(ISERROR(VLOOKUP($A313,'SegEnds_NonXtal_BW#'!$A:$Z,25,FALSE)+VLOOKUP($A313,A:AL,37,FALSE)-50),"-",(VLOOKUP($A313,'SegEnds_NonXtal_BW#'!$A:$Z,25,FALSE)+VLOOKUP($A313,A:AL,37,FALSE)-50))</f>
        <v>1073</v>
      </c>
      <c r="AK313" s="3">
        <v>1076</v>
      </c>
      <c r="AL313" s="3">
        <f>IF(ISERROR((VLOOKUP($A313,'SegEnds_NonXtal_BW#'!$A:$Z,26,FALSE)+VLOOKUP($A313,A:AL,37,FALSE)-50)),"-",(VLOOKUP($A313,'SegEnds_NonXtal_BW#'!$A:$Z,26,FALSE)+VLOOKUP($A313,A:AL,37,FALSE)-50))</f>
        <v>1089</v>
      </c>
      <c r="AM313" s="28" t="str">
        <f>VLOOKUP(A313,Classification!A:B,2,FALSE)</f>
        <v>B2</v>
      </c>
      <c r="AN313" s="28" t="b">
        <f>AND(IF(Y313="-",IF(AA313-W313&gt;3,TRUE,FALSE),TRUE),IF(M313="-",IF(O313-K313&gt;3,TRUE,FALSE),TRUE),C313&lt;E313,OR(E313&lt;F313,F313="-"),OR(F313&lt;H313,F313="-"),OR(H313&lt;I313,H313="-"),I313&lt;K313,OR(K313&lt;L313,L313="-"),OR(L313&lt;N313,L313="-"),OR(N313&lt;O313,N313="-"),O313&lt;Q313,OR(Q313&lt;R313,R313="-"),OR(R313&lt;T313,R313="-"),OR(T313&lt;U313,T313="-"),U313&lt;W313,OR(W313&lt;X313,X313="-"),OR(X313&lt;Z313,X313="-"),OR(Z313&lt;AA313,Z313="-"),AA313&lt;AC313,AC313&lt;AD313,AD313&lt;AF313,AF313&lt;AG313,AG313&lt;AI313,OR(AI313&lt;AJ313,AJ313="-"),OR(AJ313&lt;AL313,AJ313="-"))</f>
        <v>1</v>
      </c>
      <c r="AO313" s="3" t="str">
        <f>IF(ISERROR(MATCH(A313,'SegEnds_Xtal_Prot#'!B:B, 0)), "NoXtal", "Xtal")</f>
        <v>NoXtal</v>
      </c>
      <c r="AP313" s="3" t="str">
        <f>IF(ISERROR(F313-E313),"-",F313-E313)</f>
        <v>-</v>
      </c>
      <c r="AQ313" s="3" t="str">
        <f>IF(ISERROR(I313-H313),"-",I313-H313)</f>
        <v>-</v>
      </c>
      <c r="AR313" s="3" t="str">
        <f>IF(ISERROR(L313-K313),"-",L313-K313)</f>
        <v>-</v>
      </c>
      <c r="AS313" s="3" t="str">
        <f>IF(ISERROR(O313-N313),"-",O313-N313)</f>
        <v>-</v>
      </c>
      <c r="AT313" s="3" t="str">
        <f>IF(ISERROR(R313-Q313),"-",R313-Q313)</f>
        <v>-</v>
      </c>
      <c r="AU313" s="3" t="str">
        <f>IF(ISERROR(U313-T313),"-",U313-T313)</f>
        <v>-</v>
      </c>
      <c r="AV313" s="3">
        <f>IF(ISERROR(X313-W313),"-",X313-W313)</f>
        <v>7</v>
      </c>
      <c r="AW313" s="3">
        <f>IF(ISERROR(AA313-Z313),"-",AA313-Z313)</f>
        <v>2</v>
      </c>
      <c r="AX313" s="3">
        <f>IF(ISERROR(AD313-AC313),"-",AD313-AC313)</f>
        <v>60</v>
      </c>
      <c r="AY313" s="3">
        <f>IF(ISERROR(AG313-AF313),"-",AG313-AF313)</f>
        <v>7</v>
      </c>
      <c r="AZ313" s="3">
        <f>IF(ISERROR(AJ313-AI313),"-",AJ313-AI313)</f>
        <v>1</v>
      </c>
      <c r="BA313" s="3">
        <f>IF(ISERROR(LEN(VLOOKUP(A313,Seqs!A:E,2,FALSE))-AL313),"-",LEN(VLOOKUP(A313,Seqs!A:E,2,FALSE))-AL313)</f>
        <v>249</v>
      </c>
      <c r="BB313" s="16">
        <f>J313-D313</f>
        <v>26</v>
      </c>
      <c r="BC313" s="9" t="str">
        <f>IF(ISERROR(V313-S313),"-",V313-S313)</f>
        <v>-</v>
      </c>
      <c r="BD313" s="3">
        <f>J313-D313</f>
        <v>26</v>
      </c>
      <c r="BE313" s="3">
        <f>AE313-AB313</f>
        <v>100</v>
      </c>
    </row>
    <row r="314" spans="1:58" s="3" customFormat="1" x14ac:dyDescent="0.2">
      <c r="A314" s="3" t="s">
        <v>1179</v>
      </c>
      <c r="B314" s="3" t="str">
        <f>LOWER(VLOOKUP(A314,Xtal_Templ!A:B,2,FALSE))</f>
        <v>crfr1_human</v>
      </c>
      <c r="C314" s="3">
        <f>VLOOKUP($A314,'SegEnds_NonXtal_BW#'!$A:$Z,3,FALSE)+D314-50</f>
        <v>750</v>
      </c>
      <c r="D314" s="3">
        <v>777</v>
      </c>
      <c r="E314" s="3">
        <f>IF(ISERROR(VLOOKUP($A314,'SegEnds_NonXtal_BW#'!$A:$Z,4,FALSE)+VLOOKUP($A314,A:AL,4,FALSE)-50),"-",(VLOOKUP($A314,'SegEnds_NonXtal_BW#'!$A:$Z,4,FALSE)+VLOOKUP($A314,A:AL,4,FALSE)-50))</f>
        <v>787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790</v>
      </c>
      <c r="J314" s="3">
        <v>803</v>
      </c>
      <c r="K314" s="3">
        <f>VLOOKUP($A314,'SegEnds_NonXtal_BW#'!$A:$Z,8,FALSE)+VLOOKUP($A314,A:AL,10,FALSE)-50</f>
        <v>816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823</v>
      </c>
      <c r="P314" s="3">
        <v>850</v>
      </c>
      <c r="Q314" s="3">
        <f>VLOOKUP($A314,'SegEnds_NonXtal_BW#'!$A:$Z,12,FALSE)+VLOOKUP($A314,A:AL,16,FALSE)-50</f>
        <v>856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872</v>
      </c>
      <c r="V314" s="3">
        <v>882</v>
      </c>
      <c r="W314" s="3">
        <f>IF(ISERROR(VLOOKUP($A314,'SegEnds_NonXtal_BW#'!$A:$Z,16,FALSE)+VLOOKUP($A314,A:AL,22,FALSE)-50),"-",(VLOOKUP($A314,'SegEnds_NonXtal_BW#'!$A:$Z,16,FALSE)+VLOOKUP($A314,A:AL,22,FALSE)-50))</f>
        <v>900</v>
      </c>
      <c r="X314" s="3">
        <f>IF(ISERROR(VLOOKUP($A314,'SegEnds_NonXtal_BW#'!$A:$Z,17,FALSE)+VLOOKUP($A314,A:AL,25,FALSE)-50),"-",(VLOOKUP($A314,'SegEnds_NonXtal_BW#'!$A:$Z,17,FALSE)+VLOOKUP($A314,A:AL,25,FALSE)-50))</f>
        <v>909</v>
      </c>
      <c r="Y314" s="3">
        <v>909</v>
      </c>
      <c r="Z314" s="3">
        <f>Y314+2</f>
        <v>911</v>
      </c>
      <c r="AA314" s="3">
        <f>IF(ISERROR(VLOOKUP($A314,'SegEnds_NonXtal_BW#'!$A:$Z,19,FALSE)+VLOOKUP($A314,A:AL,28,FALSE)-50),"-",(VLOOKUP($A314,'SegEnds_NonXtal_BW#'!$A:$Z,19,FALSE)+VLOOKUP($A314,A:AL,28,FALSE)-50))</f>
        <v>913</v>
      </c>
      <c r="AB314" s="3">
        <v>927</v>
      </c>
      <c r="AC314" s="3">
        <f>IF(ISERROR((VLOOKUP($A314,'SegEnds_NonXtal_BW#'!$A:$Z,20,FALSE)+VLOOKUP($A314,A:AL,28,FALSE)-50)),"-",(VLOOKUP($A314,'SegEnds_NonXtal_BW#'!$A:$Z,20,FALSE)+VLOOKUP($A314,A:AL,28,FALSE)-50))</f>
        <v>946</v>
      </c>
      <c r="AD314" s="3">
        <f>IF(ISERROR(VLOOKUP($A314,'SegEnds_NonXtal_BW#'!$A:$Z,21,FALSE)+VLOOKUP($A314,A:AL,31,FALSE)-50),"-",(VLOOKUP($A314,'SegEnds_NonXtal_BW#'!$A:$Z,21,FALSE)+VLOOKUP($A314,A:AL,31,FALSE)-50))</f>
        <v>991</v>
      </c>
      <c r="AE314" s="3">
        <v>1012</v>
      </c>
      <c r="AF314" s="3">
        <f>IF(ISERROR((VLOOKUP($A314,'SegEnds_NonXtal_BW#'!$A:$Z,22,FALSE)+VLOOKUP($A314,A:AL,31,FALSE)-50)),"-",(VLOOKUP($A314,'SegEnds_NonXtal_BW#'!$A:$Z,22,FALSE)+VLOOKUP($A314,A:AL,31,FALSE)-50))</f>
        <v>1015</v>
      </c>
      <c r="AG314" s="3">
        <f>IF(ISERROR(VLOOKUP($A314,'SegEnds_NonXtal_BW#'!$A:$Z,23,FALSE)+VLOOKUP($A314,A:AL,34,FALSE)-50),"-",(VLOOKUP($A314,'SegEnds_NonXtal_BW#'!$A:$Z,23,FALSE)+VLOOKUP($A314,A:AL,34,FALSE)-50))</f>
        <v>1022</v>
      </c>
      <c r="AH314" s="3">
        <v>1043</v>
      </c>
      <c r="AI314" s="3">
        <f>IF(ISERROR((VLOOKUP($A314,'SegEnds_NonXtal_BW#'!$A:$Z,24,FALSE)+VLOOKUP($A314,A:AL,34,FALSE)-50)),"-",(VLOOKUP($A314,'SegEnds_NonXtal_BW#'!$A:$Z,24,FALSE)+VLOOKUP($A314,A:AL,34,FALSE)-50))</f>
        <v>1049</v>
      </c>
      <c r="AJ314" s="3">
        <f>IF(ISERROR(VLOOKUP($A314,'SegEnds_NonXtal_BW#'!$A:$Z,25,FALSE)+VLOOKUP($A314,A:AL,37,FALSE)-50),"-",(VLOOKUP($A314,'SegEnds_NonXtal_BW#'!$A:$Z,25,FALSE)+VLOOKUP($A314,A:AL,37,FALSE)-50))</f>
        <v>1050</v>
      </c>
      <c r="AK314" s="3">
        <v>1053</v>
      </c>
      <c r="AL314" s="3">
        <f>IF(ISERROR((VLOOKUP($A314,'SegEnds_NonXtal_BW#'!$A:$Z,26,FALSE)+VLOOKUP($A314,A:AL,37,FALSE)-50)),"-",(VLOOKUP($A314,'SegEnds_NonXtal_BW#'!$A:$Z,26,FALSE)+VLOOKUP($A314,A:AL,37,FALSE)-50))</f>
        <v>1066</v>
      </c>
      <c r="AM314" s="28" t="str">
        <f>VLOOKUP(A314,Classification!A:B,2,FALSE)</f>
        <v>B2</v>
      </c>
      <c r="AN314" s="28" t="b">
        <f>AND(IF(Y314="-",IF(AA314-W314&gt;3,TRUE,FALSE),TRUE),IF(M314="-",IF(O314-K314&gt;3,TRUE,FALSE),TRUE),C314&lt;E314,OR(E314&lt;F314,F314="-"),OR(F314&lt;H314,F314="-"),OR(H314&lt;I314,H314="-"),I314&lt;K314,OR(K314&lt;L314,L314="-"),OR(L314&lt;N314,L314="-"),OR(N314&lt;O314,N314="-"),O314&lt;Q314,OR(Q314&lt;R314,R314="-"),OR(R314&lt;T314,R314="-"),OR(T314&lt;U314,T314="-"),U314&lt;W314,OR(W314&lt;X314,X314="-"),OR(X314&lt;Z314,X314="-"),OR(Z314&lt;AA314,Z314="-"),AA314&lt;AC314,AC314&lt;AD314,AD314&lt;AF314,AF314&lt;AG314,AG314&lt;AI314,OR(AI314&lt;AJ314,AJ314="-"),OR(AJ314&lt;AL314,AJ314="-"))</f>
        <v>1</v>
      </c>
      <c r="AO314" s="3" t="str">
        <f>IF(ISERROR(MATCH(A314,'SegEnds_Xtal_Prot#'!B:B, 0)), "NoXtal", "Xtal")</f>
        <v>NoXtal</v>
      </c>
      <c r="AP314" s="3" t="str">
        <f>IF(ISERROR(F314-E314),"-",F314-E314)</f>
        <v>-</v>
      </c>
      <c r="AQ314" s="3" t="str">
        <f>IF(ISERROR(I314-H314),"-",I314-H314)</f>
        <v>-</v>
      </c>
      <c r="AR314" s="3" t="str">
        <f>IF(ISERROR(L314-K314),"-",L314-K314)</f>
        <v>-</v>
      </c>
      <c r="AS314" s="3" t="str">
        <f>IF(ISERROR(O314-N314),"-",O314-N314)</f>
        <v>-</v>
      </c>
      <c r="AT314" s="3" t="str">
        <f>IF(ISERROR(R314-Q314),"-",R314-Q314)</f>
        <v>-</v>
      </c>
      <c r="AU314" s="3" t="str">
        <f>IF(ISERROR(U314-T314),"-",U314-T314)</f>
        <v>-</v>
      </c>
      <c r="AV314" s="3">
        <f>IF(ISERROR(X314-W314),"-",X314-W314)</f>
        <v>9</v>
      </c>
      <c r="AW314" s="3">
        <f>IF(ISERROR(AA314-Z314),"-",AA314-Z314)</f>
        <v>2</v>
      </c>
      <c r="AX314" s="3">
        <f>IF(ISERROR(AD314-AC314),"-",AD314-AC314)</f>
        <v>45</v>
      </c>
      <c r="AY314" s="3">
        <f>IF(ISERROR(AG314-AF314),"-",AG314-AF314)</f>
        <v>7</v>
      </c>
      <c r="AZ314" s="3">
        <f>IF(ISERROR(AJ314-AI314),"-",AJ314-AI314)</f>
        <v>1</v>
      </c>
      <c r="BA314" s="3">
        <f>IF(ISERROR(LEN(VLOOKUP(A314,Seqs!A:E,2,FALSE))-AL314),"-",LEN(VLOOKUP(A314,Seqs!A:E,2,FALSE))-AL314)</f>
        <v>255</v>
      </c>
      <c r="BB314" s="16">
        <f>J314-D314</f>
        <v>26</v>
      </c>
      <c r="BC314" s="9" t="str">
        <f>IF(ISERROR(V314-S314),"-",V314-S314)</f>
        <v>-</v>
      </c>
      <c r="BD314" s="3">
        <f>J314-D314</f>
        <v>26</v>
      </c>
      <c r="BE314" s="3">
        <f>AE314-AB314</f>
        <v>85</v>
      </c>
    </row>
    <row r="315" spans="1:58" s="3" customFormat="1" x14ac:dyDescent="0.2">
      <c r="A315" s="3" t="s">
        <v>1180</v>
      </c>
      <c r="B315" s="3" t="str">
        <f>LOWER(VLOOKUP(A315,Xtal_Templ!A:B,2,FALSE))</f>
        <v>crfr1_human</v>
      </c>
      <c r="C315" s="3">
        <f>VLOOKUP($A315,'SegEnds_NonXtal_BW#'!$A:$Z,3,FALSE)+D315-50</f>
        <v>920</v>
      </c>
      <c r="D315" s="3">
        <v>947</v>
      </c>
      <c r="E315" s="3">
        <f>IF(ISERROR(VLOOKUP($A315,'SegEnds_NonXtal_BW#'!$A:$Z,4,FALSE)+VLOOKUP($A315,A:AL,4,FALSE)-50),"-",(VLOOKUP($A315,'SegEnds_NonXtal_BW#'!$A:$Z,4,FALSE)+VLOOKUP($A315,A:AL,4,FALSE)-50))</f>
        <v>957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963</v>
      </c>
      <c r="J315" s="3">
        <v>976</v>
      </c>
      <c r="K315" s="3">
        <f>VLOOKUP($A315,'SegEnds_NonXtal_BW#'!$A:$Z,8,FALSE)+VLOOKUP($A315,A:AL,10,FALSE)-50</f>
        <v>989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994</v>
      </c>
      <c r="P315" s="3">
        <v>1021</v>
      </c>
      <c r="Q315" s="3">
        <f>VLOOKUP($A315,'SegEnds_NonXtal_BW#'!$A:$Z,12,FALSE)+VLOOKUP($A315,A:AL,16,FALSE)-50</f>
        <v>1027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1033</v>
      </c>
      <c r="V315" s="3">
        <v>1043</v>
      </c>
      <c r="W315" s="3">
        <f>IF(ISERROR(VLOOKUP($A315,'SegEnds_NonXtal_BW#'!$A:$Z,16,FALSE)+VLOOKUP($A315,A:AL,22,FALSE)-50),"-",(VLOOKUP($A315,'SegEnds_NonXtal_BW#'!$A:$Z,16,FALSE)+VLOOKUP($A315,A:AL,22,FALSE)-50))</f>
        <v>1061</v>
      </c>
      <c r="X315" s="3">
        <f>IF(ISERROR(VLOOKUP($A315,'SegEnds_NonXtal_BW#'!$A:$Z,17,FALSE)+VLOOKUP($A315,A:AL,25,FALSE)-50),"-",(VLOOKUP($A315,'SegEnds_NonXtal_BW#'!$A:$Z,17,FALSE)+VLOOKUP($A315,A:AL,25,FALSE)-50))</f>
        <v>1068</v>
      </c>
      <c r="Y315" s="3">
        <v>1068</v>
      </c>
      <c r="Z315" s="3">
        <f>Y315+2</f>
        <v>1070</v>
      </c>
      <c r="AA315" s="3">
        <f>IF(ISERROR(VLOOKUP($A315,'SegEnds_NonXtal_BW#'!$A:$Z,19,FALSE)+VLOOKUP($A315,A:AL,28,FALSE)-50),"-",(VLOOKUP($A315,'SegEnds_NonXtal_BW#'!$A:$Z,19,FALSE)+VLOOKUP($A315,A:AL,28,FALSE)-50))</f>
        <v>1073</v>
      </c>
      <c r="AB315" s="3">
        <v>1087</v>
      </c>
      <c r="AC315" s="3">
        <f>IF(ISERROR((VLOOKUP($A315,'SegEnds_NonXtal_BW#'!$A:$Z,20,FALSE)+VLOOKUP($A315,A:AL,28,FALSE)-50)),"-",(VLOOKUP($A315,'SegEnds_NonXtal_BW#'!$A:$Z,20,FALSE)+VLOOKUP($A315,A:AL,28,FALSE)-50))</f>
        <v>1106</v>
      </c>
      <c r="AD315" s="3">
        <f>IF(ISERROR(VLOOKUP($A315,'SegEnds_NonXtal_BW#'!$A:$Z,21,FALSE)+VLOOKUP($A315,A:AL,31,FALSE)-50),"-",(VLOOKUP($A315,'SegEnds_NonXtal_BW#'!$A:$Z,21,FALSE)+VLOOKUP($A315,A:AL,31,FALSE)-50))</f>
        <v>1149</v>
      </c>
      <c r="AE315" s="3">
        <v>1170</v>
      </c>
      <c r="AF315" s="3">
        <f>IF(ISERROR((VLOOKUP($A315,'SegEnds_NonXtal_BW#'!$A:$Z,22,FALSE)+VLOOKUP($A315,A:AL,31,FALSE)-50)),"-",(VLOOKUP($A315,'SegEnds_NonXtal_BW#'!$A:$Z,22,FALSE)+VLOOKUP($A315,A:AL,31,FALSE)-50))</f>
        <v>1173</v>
      </c>
      <c r="AG315" s="3">
        <f>IF(ISERROR(VLOOKUP($A315,'SegEnds_NonXtal_BW#'!$A:$Z,23,FALSE)+VLOOKUP($A315,A:AL,34,FALSE)-50),"-",(VLOOKUP($A315,'SegEnds_NonXtal_BW#'!$A:$Z,23,FALSE)+VLOOKUP($A315,A:AL,34,FALSE)-50))</f>
        <v>1180</v>
      </c>
      <c r="AH315" s="3">
        <v>1199</v>
      </c>
      <c r="AI315" s="3">
        <f>IF(ISERROR((VLOOKUP($A315,'SegEnds_NonXtal_BW#'!$A:$Z,24,FALSE)+VLOOKUP($A315,A:AL,34,FALSE)-50)),"-",(VLOOKUP($A315,'SegEnds_NonXtal_BW#'!$A:$Z,24,FALSE)+VLOOKUP($A315,A:AL,34,FALSE)-50))</f>
        <v>1205</v>
      </c>
      <c r="AJ315" s="3">
        <f>IF(ISERROR(VLOOKUP($A315,'SegEnds_NonXtal_BW#'!$A:$Z,25,FALSE)+VLOOKUP($A315,A:AL,37,FALSE)-50),"-",(VLOOKUP($A315,'SegEnds_NonXtal_BW#'!$A:$Z,25,FALSE)+VLOOKUP($A315,A:AL,37,FALSE)-50))</f>
        <v>1206</v>
      </c>
      <c r="AK315" s="3">
        <v>1209</v>
      </c>
      <c r="AL315" s="3">
        <f>IF(ISERROR((VLOOKUP($A315,'SegEnds_NonXtal_BW#'!$A:$Z,26,FALSE)+VLOOKUP($A315,A:AL,37,FALSE)-50)),"-",(VLOOKUP($A315,'SegEnds_NonXtal_BW#'!$A:$Z,26,FALSE)+VLOOKUP($A315,A:AL,37,FALSE)-50))</f>
        <v>1222</v>
      </c>
      <c r="AM315" s="28" t="str">
        <f>VLOOKUP(A315,Classification!A:B,2,FALSE)</f>
        <v>B2</v>
      </c>
      <c r="AN315" s="28" t="b">
        <f>AND(IF(Y315="-",IF(AA315-W315&gt;3,TRUE,FALSE),TRUE),IF(M315="-",IF(O315-K315&gt;3,TRUE,FALSE),TRUE),C315&lt;E315,OR(E315&lt;F315,F315="-"),OR(F315&lt;H315,F315="-"),OR(H315&lt;I315,H315="-"),I315&lt;K315,OR(K315&lt;L315,L315="-"),OR(L315&lt;N315,L315="-"),OR(N315&lt;O315,N315="-"),O315&lt;Q315,OR(Q315&lt;R315,R315="-"),OR(R315&lt;T315,R315="-"),OR(T315&lt;U315,T315="-"),U315&lt;W315,OR(W315&lt;X315,X315="-"),OR(X315&lt;Z315,X315="-"),OR(Z315&lt;AA315,Z315="-"),AA315&lt;AC315,AC315&lt;AD315,AD315&lt;AF315,AF315&lt;AG315,AG315&lt;AI315,OR(AI315&lt;AJ315,AJ315="-"),OR(AJ315&lt;AL315,AJ315="-"))</f>
        <v>1</v>
      </c>
      <c r="AO315" s="3" t="str">
        <f>IF(ISERROR(MATCH(A315,'SegEnds_Xtal_Prot#'!B:B, 0)), "NoXtal", "Xtal")</f>
        <v>NoXtal</v>
      </c>
      <c r="AP315" s="3" t="str">
        <f>IF(ISERROR(F315-E315),"-",F315-E315)</f>
        <v>-</v>
      </c>
      <c r="AQ315" s="3" t="str">
        <f>IF(ISERROR(I315-H315),"-",I315-H315)</f>
        <v>-</v>
      </c>
      <c r="AR315" s="3" t="str">
        <f>IF(ISERROR(L315-K315),"-",L315-K315)</f>
        <v>-</v>
      </c>
      <c r="AS315" s="3" t="str">
        <f>IF(ISERROR(O315-N315),"-",O315-N315)</f>
        <v>-</v>
      </c>
      <c r="AT315" s="3" t="str">
        <f>IF(ISERROR(R315-Q315),"-",R315-Q315)</f>
        <v>-</v>
      </c>
      <c r="AU315" s="3" t="str">
        <f>IF(ISERROR(U315-T315),"-",U315-T315)</f>
        <v>-</v>
      </c>
      <c r="AV315" s="3">
        <f>IF(ISERROR(X315-W315),"-",X315-W315)</f>
        <v>7</v>
      </c>
      <c r="AW315" s="3">
        <f>IF(ISERROR(AA315-Z315),"-",AA315-Z315)</f>
        <v>3</v>
      </c>
      <c r="AX315" s="3">
        <f>IF(ISERROR(AD315-AC315),"-",AD315-AC315)</f>
        <v>43</v>
      </c>
      <c r="AY315" s="3">
        <f>IF(ISERROR(AG315-AF315),"-",AG315-AF315)</f>
        <v>7</v>
      </c>
      <c r="AZ315" s="3">
        <f>IF(ISERROR(AJ315-AI315),"-",AJ315-AI315)</f>
        <v>1</v>
      </c>
      <c r="BA315" s="3">
        <f>IF(ISERROR(LEN(VLOOKUP(A315,Seqs!A:E,2,FALSE))-AL315),"-",LEN(VLOOKUP(A315,Seqs!A:E,2,FALSE))-AL315)</f>
        <v>363</v>
      </c>
      <c r="BB315" s="16">
        <f>J315-D315</f>
        <v>29</v>
      </c>
      <c r="BC315" s="9" t="str">
        <f>IF(ISERROR(V315-S315),"-",V315-S315)</f>
        <v>-</v>
      </c>
      <c r="BD315" s="3">
        <f>J315-D315</f>
        <v>29</v>
      </c>
      <c r="BE315" s="3">
        <f>AE315-AB315</f>
        <v>83</v>
      </c>
    </row>
    <row r="316" spans="1:58" s="3" customFormat="1" x14ac:dyDescent="0.2">
      <c r="A316" s="3" t="s">
        <v>1181</v>
      </c>
      <c r="B316" s="3" t="str">
        <f>LOWER(VLOOKUP(A316,Xtal_Templ!A:B,2,FALSE))</f>
        <v>crfr1_human</v>
      </c>
      <c r="C316" s="3">
        <f>VLOOKUP($A316,'SegEnds_NonXtal_BW#'!$A:$Z,3,FALSE)+D316-50</f>
        <v>865</v>
      </c>
      <c r="D316" s="3">
        <v>892</v>
      </c>
      <c r="E316" s="3">
        <f>IF(ISERROR(VLOOKUP($A316,'SegEnds_NonXtal_BW#'!$A:$Z,4,FALSE)+VLOOKUP($A316,A:AL,4,FALSE)-50),"-",(VLOOKUP($A316,'SegEnds_NonXtal_BW#'!$A:$Z,4,FALSE)+VLOOKUP($A316,A:AL,4,FALSE)-50))</f>
        <v>902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908</v>
      </c>
      <c r="J316" s="3">
        <v>921</v>
      </c>
      <c r="K316" s="3">
        <f>VLOOKUP($A316,'SegEnds_NonXtal_BW#'!$A:$Z,8,FALSE)+VLOOKUP($A316,A:AL,10,FALSE)-50</f>
        <v>934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939</v>
      </c>
      <c r="P316" s="3">
        <v>966</v>
      </c>
      <c r="Q316" s="3">
        <f>VLOOKUP($A316,'SegEnds_NonXtal_BW#'!$A:$Z,12,FALSE)+VLOOKUP($A316,A:AL,16,FALSE)-50</f>
        <v>972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978</v>
      </c>
      <c r="V316" s="3">
        <v>988</v>
      </c>
      <c r="W316" s="3">
        <f>IF(ISERROR(VLOOKUP($A316,'SegEnds_NonXtal_BW#'!$A:$Z,16,FALSE)+VLOOKUP($A316,A:AL,22,FALSE)-50),"-",(VLOOKUP($A316,'SegEnds_NonXtal_BW#'!$A:$Z,16,FALSE)+VLOOKUP($A316,A:AL,22,FALSE)-50))</f>
        <v>1006</v>
      </c>
      <c r="X316" s="3">
        <f>IF(ISERROR(VLOOKUP($A316,'SegEnds_NonXtal_BW#'!$A:$Z,17,FALSE)+VLOOKUP($A316,A:AL,25,FALSE)-50),"-",(VLOOKUP($A316,'SegEnds_NonXtal_BW#'!$A:$Z,17,FALSE)+VLOOKUP($A316,A:AL,25,FALSE)-50))</f>
        <v>1013</v>
      </c>
      <c r="Y316" s="3">
        <v>1013</v>
      </c>
      <c r="Z316" s="3">
        <f>Y316+2</f>
        <v>1015</v>
      </c>
      <c r="AA316" s="3">
        <f>IF(ISERROR(VLOOKUP($A316,'SegEnds_NonXtal_BW#'!$A:$Z,19,FALSE)+VLOOKUP($A316,A:AL,28,FALSE)-50),"-",(VLOOKUP($A316,'SegEnds_NonXtal_BW#'!$A:$Z,19,FALSE)+VLOOKUP($A316,A:AL,28,FALSE)-50))</f>
        <v>1018</v>
      </c>
      <c r="AB316" s="3">
        <v>1032</v>
      </c>
      <c r="AC316" s="3">
        <f>IF(ISERROR((VLOOKUP($A316,'SegEnds_NonXtal_BW#'!$A:$Z,20,FALSE)+VLOOKUP($A316,A:AL,28,FALSE)-50)),"-",(VLOOKUP($A316,'SegEnds_NonXtal_BW#'!$A:$Z,20,FALSE)+VLOOKUP($A316,A:AL,28,FALSE)-50))</f>
        <v>1051</v>
      </c>
      <c r="AD316" s="3">
        <f>IF(ISERROR(VLOOKUP($A316,'SegEnds_NonXtal_BW#'!$A:$Z,21,FALSE)+VLOOKUP($A316,A:AL,31,FALSE)-50),"-",(VLOOKUP($A316,'SegEnds_NonXtal_BW#'!$A:$Z,21,FALSE)+VLOOKUP($A316,A:AL,31,FALSE)-50))</f>
        <v>1094</v>
      </c>
      <c r="AE316" s="3">
        <v>1115</v>
      </c>
      <c r="AF316" s="3">
        <f>IF(ISERROR((VLOOKUP($A316,'SegEnds_NonXtal_BW#'!$A:$Z,22,FALSE)+VLOOKUP($A316,A:AL,31,FALSE)-50)),"-",(VLOOKUP($A316,'SegEnds_NonXtal_BW#'!$A:$Z,22,FALSE)+VLOOKUP($A316,A:AL,31,FALSE)-50))</f>
        <v>1118</v>
      </c>
      <c r="AG316" s="3">
        <f>IF(ISERROR(VLOOKUP($A316,'SegEnds_NonXtal_BW#'!$A:$Z,23,FALSE)+VLOOKUP($A316,A:AL,34,FALSE)-50),"-",(VLOOKUP($A316,'SegEnds_NonXtal_BW#'!$A:$Z,23,FALSE)+VLOOKUP($A316,A:AL,34,FALSE)-50))</f>
        <v>1125</v>
      </c>
      <c r="AH316" s="3">
        <v>1144</v>
      </c>
      <c r="AI316" s="3">
        <f>IF(ISERROR((VLOOKUP($A316,'SegEnds_NonXtal_BW#'!$A:$Z,24,FALSE)+VLOOKUP($A316,A:AL,34,FALSE)-50)),"-",(VLOOKUP($A316,'SegEnds_NonXtal_BW#'!$A:$Z,24,FALSE)+VLOOKUP($A316,A:AL,34,FALSE)-50))</f>
        <v>1150</v>
      </c>
      <c r="AJ316" s="3">
        <f>IF(ISERROR(VLOOKUP($A316,'SegEnds_NonXtal_BW#'!$A:$Z,25,FALSE)+VLOOKUP($A316,A:AL,37,FALSE)-50),"-",(VLOOKUP($A316,'SegEnds_NonXtal_BW#'!$A:$Z,25,FALSE)+VLOOKUP($A316,A:AL,37,FALSE)-50))</f>
        <v>1151</v>
      </c>
      <c r="AK316" s="3">
        <v>1154</v>
      </c>
      <c r="AL316" s="3">
        <f>IF(ISERROR((VLOOKUP($A316,'SegEnds_NonXtal_BW#'!$A:$Z,26,FALSE)+VLOOKUP($A316,A:AL,37,FALSE)-50)),"-",(VLOOKUP($A316,'SegEnds_NonXtal_BW#'!$A:$Z,26,FALSE)+VLOOKUP($A316,A:AL,37,FALSE)-50))</f>
        <v>1167</v>
      </c>
      <c r="AM316" s="28" t="str">
        <f>VLOOKUP(A316,Classification!A:B,2,FALSE)</f>
        <v>B2</v>
      </c>
      <c r="AN316" s="28" t="b">
        <f>AND(IF(Y316="-",IF(AA316-W316&gt;3,TRUE,FALSE),TRUE),IF(M316="-",IF(O316-K316&gt;3,TRUE,FALSE),TRUE),C316&lt;E316,OR(E316&lt;F316,F316="-"),OR(F316&lt;H316,F316="-"),OR(H316&lt;I316,H316="-"),I316&lt;K316,OR(K316&lt;L316,L316="-"),OR(L316&lt;N316,L316="-"),OR(N316&lt;O316,N316="-"),O316&lt;Q316,OR(Q316&lt;R316,R316="-"),OR(R316&lt;T316,R316="-"),OR(T316&lt;U316,T316="-"),U316&lt;W316,OR(W316&lt;X316,X316="-"),OR(X316&lt;Z316,X316="-"),OR(Z316&lt;AA316,Z316="-"),AA316&lt;AC316,AC316&lt;AD316,AD316&lt;AF316,AF316&lt;AG316,AG316&lt;AI316,OR(AI316&lt;AJ316,AJ316="-"),OR(AJ316&lt;AL316,AJ316="-"))</f>
        <v>1</v>
      </c>
      <c r="AO316" s="3" t="str">
        <f>IF(ISERROR(MATCH(A316,'SegEnds_Xtal_Prot#'!B:B, 0)), "NoXtal", "Xtal")</f>
        <v>NoXtal</v>
      </c>
      <c r="AP316" s="3" t="str">
        <f>IF(ISERROR(F316-E316),"-",F316-E316)</f>
        <v>-</v>
      </c>
      <c r="AQ316" s="3" t="str">
        <f>IF(ISERROR(I316-H316),"-",I316-H316)</f>
        <v>-</v>
      </c>
      <c r="AR316" s="3" t="str">
        <f>IF(ISERROR(L316-K316),"-",L316-K316)</f>
        <v>-</v>
      </c>
      <c r="AS316" s="3" t="str">
        <f>IF(ISERROR(O316-N316),"-",O316-N316)</f>
        <v>-</v>
      </c>
      <c r="AT316" s="3" t="str">
        <f>IF(ISERROR(R316-Q316),"-",R316-Q316)</f>
        <v>-</v>
      </c>
      <c r="AU316" s="3" t="str">
        <f>IF(ISERROR(U316-T316),"-",U316-T316)</f>
        <v>-</v>
      </c>
      <c r="AV316" s="3">
        <f>IF(ISERROR(X316-W316),"-",X316-W316)</f>
        <v>7</v>
      </c>
      <c r="AW316" s="3">
        <f>IF(ISERROR(AA316-Z316),"-",AA316-Z316)</f>
        <v>3</v>
      </c>
      <c r="AX316" s="3">
        <f>IF(ISERROR(AD316-AC316),"-",AD316-AC316)</f>
        <v>43</v>
      </c>
      <c r="AY316" s="3">
        <f>IF(ISERROR(AG316-AF316),"-",AG316-AF316)</f>
        <v>7</v>
      </c>
      <c r="AZ316" s="3">
        <f>IF(ISERROR(AJ316-AI316),"-",AJ316-AI316)</f>
        <v>1</v>
      </c>
      <c r="BA316" s="3">
        <f>IF(ISERROR(LEN(VLOOKUP(A316,Seqs!A:E,2,FALSE))-AL316),"-",LEN(VLOOKUP(A316,Seqs!A:E,2,FALSE))-AL316)</f>
        <v>355</v>
      </c>
      <c r="BB316" s="16">
        <f>J316-D316</f>
        <v>29</v>
      </c>
      <c r="BC316" s="9" t="str">
        <f>IF(ISERROR(V316-S316),"-",V316-S316)</f>
        <v>-</v>
      </c>
      <c r="BD316" s="3">
        <f>J316-D316</f>
        <v>29</v>
      </c>
      <c r="BE316" s="3">
        <f>AE316-AB316</f>
        <v>83</v>
      </c>
    </row>
    <row r="317" spans="1:58" s="3" customFormat="1" x14ac:dyDescent="0.2">
      <c r="A317" s="3" t="s">
        <v>1182</v>
      </c>
      <c r="B317" s="3" t="str">
        <f>LOWER(VLOOKUP(A317,Xtal_Templ!A:B,2,FALSE))</f>
        <v>crfr1_human</v>
      </c>
      <c r="C317" s="3">
        <f>VLOOKUP($A317,'SegEnds_NonXtal_BW#'!$A:$Z,3,FALSE)+D317-50</f>
        <v>554</v>
      </c>
      <c r="D317" s="3">
        <v>581</v>
      </c>
      <c r="E317" s="3">
        <f>IF(ISERROR(VLOOKUP($A317,'SegEnds_NonXtal_BW#'!$A:$Z,4,FALSE)+VLOOKUP($A317,A:AL,4,FALSE)-50),"-",(VLOOKUP($A317,'SegEnds_NonXtal_BW#'!$A:$Z,4,FALSE)+VLOOKUP($A317,A:AL,4,FALSE)-50))</f>
        <v>591</v>
      </c>
      <c r="F317" s="3">
        <f>G317-2</f>
        <v>592</v>
      </c>
      <c r="G317" s="3">
        <v>594</v>
      </c>
      <c r="H317" s="3">
        <f>G317+1</f>
        <v>595</v>
      </c>
      <c r="I317" s="3">
        <f>H317+1</f>
        <v>596</v>
      </c>
      <c r="J317" s="3">
        <v>612</v>
      </c>
      <c r="K317" s="3">
        <f>VLOOKUP($A317,'SegEnds_NonXtal_BW#'!$A:$Z,8,FALSE)+VLOOKUP($A317,A:AL,10,FALSE)-50</f>
        <v>625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630</v>
      </c>
      <c r="P317" s="3">
        <v>657</v>
      </c>
      <c r="Q317" s="3">
        <f>VLOOKUP($A317,'SegEnds_NonXtal_BW#'!$A:$Z,12,FALSE)+VLOOKUP($A317,A:AL,16,FALSE)-50</f>
        <v>663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670</v>
      </c>
      <c r="V317" s="3">
        <v>680</v>
      </c>
      <c r="W317" s="3">
        <f>IF(ISERROR(VLOOKUP($A317,'SegEnds_NonXtal_BW#'!$A:$Z,16,FALSE)+VLOOKUP($A317,A:AL,22,FALSE)-50),"-",(VLOOKUP($A317,'SegEnds_NonXtal_BW#'!$A:$Z,16,FALSE)+VLOOKUP($A317,A:AL,22,FALSE)-50))</f>
        <v>698</v>
      </c>
      <c r="X317" s="3">
        <f>IF(ISERROR(VLOOKUP($A317,'SegEnds_NonXtal_BW#'!$A:$Z,17,FALSE)+VLOOKUP($A317,A:AL,25,FALSE)-50),"-",(VLOOKUP($A317,'SegEnds_NonXtal_BW#'!$A:$Z,17,FALSE)+VLOOKUP($A317,A:AL,25,FALSE)-50))</f>
        <v>704</v>
      </c>
      <c r="Y317" s="3">
        <v>704</v>
      </c>
      <c r="Z317" s="3">
        <f>Y317+2</f>
        <v>706</v>
      </c>
      <c r="AA317" s="3">
        <f>IF(ISERROR(VLOOKUP($A317,'SegEnds_NonXtal_BW#'!$A:$Z,19,FALSE)+VLOOKUP($A317,A:AL,28,FALSE)-50),"-",(VLOOKUP($A317,'SegEnds_NonXtal_BW#'!$A:$Z,19,FALSE)+VLOOKUP($A317,A:AL,28,FALSE)-50))</f>
        <v>709</v>
      </c>
      <c r="AB317" s="3">
        <v>723</v>
      </c>
      <c r="AC317" s="3">
        <f>IF(ISERROR((VLOOKUP($A317,'SegEnds_NonXtal_BW#'!$A:$Z,20,FALSE)+VLOOKUP($A317,A:AL,28,FALSE)-50)),"-",(VLOOKUP($A317,'SegEnds_NonXtal_BW#'!$A:$Z,20,FALSE)+VLOOKUP($A317,A:AL,28,FALSE)-50))</f>
        <v>742</v>
      </c>
      <c r="AD317" s="3">
        <f>IF(ISERROR(VLOOKUP($A317,'SegEnds_NonXtal_BW#'!$A:$Z,21,FALSE)+VLOOKUP($A317,A:AL,31,FALSE)-50),"-",(VLOOKUP($A317,'SegEnds_NonXtal_BW#'!$A:$Z,21,FALSE)+VLOOKUP($A317,A:AL,31,FALSE)-50))</f>
        <v>754</v>
      </c>
      <c r="AE317" s="3">
        <v>775</v>
      </c>
      <c r="AF317" s="3">
        <f>IF(ISERROR((VLOOKUP($A317,'SegEnds_NonXtal_BW#'!$A:$Z,22,FALSE)+VLOOKUP($A317,A:AL,31,FALSE)-50)),"-",(VLOOKUP($A317,'SegEnds_NonXtal_BW#'!$A:$Z,22,FALSE)+VLOOKUP($A317,A:AL,31,FALSE)-50))</f>
        <v>778</v>
      </c>
      <c r="AG317" s="3">
        <f>IF(ISERROR(VLOOKUP($A317,'SegEnds_NonXtal_BW#'!$A:$Z,23,FALSE)+VLOOKUP($A317,A:AL,34,FALSE)-50),"-",(VLOOKUP($A317,'SegEnds_NonXtal_BW#'!$A:$Z,23,FALSE)+VLOOKUP($A317,A:AL,34,FALSE)-50))</f>
        <v>784</v>
      </c>
      <c r="AH317" s="3">
        <v>803</v>
      </c>
      <c r="AI317" s="3">
        <f>IF(ISERROR((VLOOKUP($A317,'SegEnds_NonXtal_BW#'!$A:$Z,24,FALSE)+VLOOKUP($A317,A:AL,34,FALSE)-50)),"-",(VLOOKUP($A317,'SegEnds_NonXtal_BW#'!$A:$Z,24,FALSE)+VLOOKUP($A317,A:AL,34,FALSE)-50))</f>
        <v>809</v>
      </c>
      <c r="AJ317" s="3">
        <f>IF(ISERROR(VLOOKUP($A317,'SegEnds_NonXtal_BW#'!$A:$Z,25,FALSE)+VLOOKUP($A317,A:AL,37,FALSE)-50),"-",(VLOOKUP($A317,'SegEnds_NonXtal_BW#'!$A:$Z,25,FALSE)+VLOOKUP($A317,A:AL,37,FALSE)-50))</f>
        <v>810</v>
      </c>
      <c r="AK317" s="3">
        <v>813</v>
      </c>
      <c r="AL317" s="3">
        <f>IF(ISERROR((VLOOKUP($A317,'SegEnds_NonXtal_BW#'!$A:$Z,26,FALSE)+VLOOKUP($A317,A:AL,37,FALSE)-50)),"-",(VLOOKUP($A317,'SegEnds_NonXtal_BW#'!$A:$Z,26,FALSE)+VLOOKUP($A317,A:AL,37,FALSE)-50))</f>
        <v>826</v>
      </c>
      <c r="AM317" s="28" t="str">
        <f>VLOOKUP(A317,Classification!A:B,2,FALSE)</f>
        <v>B2</v>
      </c>
      <c r="AN317" s="28" t="b">
        <f>AND(IF(Y317="-",IF(AA317-W317&gt;3,TRUE,FALSE),TRUE),IF(M317="-",IF(O317-K317&gt;3,TRUE,FALSE),TRUE),C317&lt;E317,OR(E317&lt;F317,F317="-"),OR(F317&lt;H317,F317="-"),OR(H317&lt;I317,H317="-"),I317&lt;K317,OR(K317&lt;L317,L317="-"),OR(L317&lt;N317,L317="-"),OR(N317&lt;O317,N317="-"),O317&lt;Q317,OR(Q317&lt;R317,R317="-"),OR(R317&lt;T317,R317="-"),OR(T317&lt;U317,T317="-"),U317&lt;W317,OR(W317&lt;X317,X317="-"),OR(X317&lt;Z317,X317="-"),OR(Z317&lt;AA317,Z317="-"),AA317&lt;AC317,AC317&lt;AD317,AD317&lt;AF317,AF317&lt;AG317,AG317&lt;AI317,OR(AI317&lt;AJ317,AJ317="-"),OR(AJ317&lt;AL317,AJ317="-"))</f>
        <v>1</v>
      </c>
      <c r="AO317" s="3" t="str">
        <f>IF(ISERROR(MATCH(A317,'SegEnds_Xtal_Prot#'!B:B, 0)), "NoXtal", "Xtal")</f>
        <v>NoXtal</v>
      </c>
      <c r="AP317" s="3">
        <f>IF(ISERROR(F317-E317),"-",F317-E317)</f>
        <v>1</v>
      </c>
      <c r="AQ317" s="3">
        <f>IF(ISERROR(I317-H317),"-",I317-H317)</f>
        <v>1</v>
      </c>
      <c r="AR317" s="3" t="str">
        <f>IF(ISERROR(L317-K317),"-",L317-K317)</f>
        <v>-</v>
      </c>
      <c r="AS317" s="3" t="str">
        <f>IF(ISERROR(O317-N317),"-",O317-N317)</f>
        <v>-</v>
      </c>
      <c r="AT317" s="3" t="str">
        <f>IF(ISERROR(R317-Q317),"-",R317-Q317)</f>
        <v>-</v>
      </c>
      <c r="AU317" s="3" t="str">
        <f>IF(ISERROR(U317-T317),"-",U317-T317)</f>
        <v>-</v>
      </c>
      <c r="AV317" s="3">
        <f>IF(ISERROR(X317-W317),"-",X317-W317)</f>
        <v>6</v>
      </c>
      <c r="AW317" s="3">
        <f>IF(ISERROR(AA317-Z317),"-",AA317-Z317)</f>
        <v>3</v>
      </c>
      <c r="AX317" s="3">
        <f>IF(ISERROR(AD317-AC317),"-",AD317-AC317)</f>
        <v>12</v>
      </c>
      <c r="AY317" s="3">
        <f>IF(ISERROR(AG317-AF317),"-",AG317-AF317)</f>
        <v>6</v>
      </c>
      <c r="AZ317" s="3">
        <f>IF(ISERROR(AJ317-AI317),"-",AJ317-AI317)</f>
        <v>1</v>
      </c>
      <c r="BA317" s="3">
        <f>IF(ISERROR(LEN(VLOOKUP(A317,Seqs!A:E,2,FALSE))-AL317),"-",LEN(VLOOKUP(A317,Seqs!A:E,2,FALSE))-AL317)</f>
        <v>48</v>
      </c>
      <c r="BB317" s="16">
        <f>J317-D317</f>
        <v>31</v>
      </c>
      <c r="BC317" s="9" t="str">
        <f>IF(ISERROR(V317-S317),"-",V317-S317)</f>
        <v>-</v>
      </c>
      <c r="BD317" s="3">
        <f>J317-D317</f>
        <v>31</v>
      </c>
      <c r="BE317" s="3">
        <f>AE317-AB317</f>
        <v>52</v>
      </c>
    </row>
    <row r="318" spans="1:58" s="3" customFormat="1" x14ac:dyDescent="0.2">
      <c r="A318" s="3" t="s">
        <v>1183</v>
      </c>
      <c r="B318" s="3" t="str">
        <f>LOWER(VLOOKUP(A318,Xtal_Templ!A:B,2,FALSE))</f>
        <v>crfr1_human</v>
      </c>
      <c r="C318" s="3">
        <f>VLOOKUP($A318,'SegEnds_NonXtal_BW#'!$A:$Z,3,FALSE)+D318-50</f>
        <v>646</v>
      </c>
      <c r="D318" s="3">
        <v>673</v>
      </c>
      <c r="E318" s="3">
        <f>IF(ISERROR(VLOOKUP($A318,'SegEnds_NonXtal_BW#'!$A:$Z,4,FALSE)+VLOOKUP($A318,A:AL,4,FALSE)-50),"-",(VLOOKUP($A318,'SegEnds_NonXtal_BW#'!$A:$Z,4,FALSE)+VLOOKUP($A318,A:AL,4,FALSE)-50))</f>
        <v>683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688</v>
      </c>
      <c r="J318" s="3">
        <v>701</v>
      </c>
      <c r="K318" s="3">
        <f>VLOOKUP($A318,'SegEnds_NonXtal_BW#'!$A:$Z,8,FALSE)+VLOOKUP($A318,A:AL,10,FALSE)-50</f>
        <v>714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719</v>
      </c>
      <c r="P318" s="3">
        <v>746</v>
      </c>
      <c r="Q318" s="3">
        <f>VLOOKUP($A318,'SegEnds_NonXtal_BW#'!$A:$Z,12,FALSE)+VLOOKUP($A318,A:AL,16,FALSE)-50</f>
        <v>752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759</v>
      </c>
      <c r="V318" s="3">
        <v>769</v>
      </c>
      <c r="W318" s="3">
        <f>IF(ISERROR(VLOOKUP($A318,'SegEnds_NonXtal_BW#'!$A:$Z,16,FALSE)+VLOOKUP($A318,A:AL,22,FALSE)-50),"-",(VLOOKUP($A318,'SegEnds_NonXtal_BW#'!$A:$Z,16,FALSE)+VLOOKUP($A318,A:AL,22,FALSE)-50))</f>
        <v>787</v>
      </c>
      <c r="X318" s="3">
        <f>IF(ISERROR(VLOOKUP($A318,'SegEnds_NonXtal_BW#'!$A:$Z,17,FALSE)+VLOOKUP($A318,A:AL,25,FALSE)-50),"-",(VLOOKUP($A318,'SegEnds_NonXtal_BW#'!$A:$Z,17,FALSE)+VLOOKUP($A318,A:AL,25,FALSE)-50))</f>
        <v>793</v>
      </c>
      <c r="Y318" s="3">
        <v>793</v>
      </c>
      <c r="Z318" s="3">
        <f>Y318+2</f>
        <v>795</v>
      </c>
      <c r="AA318" s="3">
        <f>IF(ISERROR(VLOOKUP($A318,'SegEnds_NonXtal_BW#'!$A:$Z,19,FALSE)+VLOOKUP($A318,A:AL,28,FALSE)-50),"-",(VLOOKUP($A318,'SegEnds_NonXtal_BW#'!$A:$Z,19,FALSE)+VLOOKUP($A318,A:AL,28,FALSE)-50))</f>
        <v>798</v>
      </c>
      <c r="AB318" s="3">
        <v>812</v>
      </c>
      <c r="AC318" s="3">
        <f>IF(ISERROR((VLOOKUP($A318,'SegEnds_NonXtal_BW#'!$A:$Z,20,FALSE)+VLOOKUP($A318,A:AL,28,FALSE)-50)),"-",(VLOOKUP($A318,'SegEnds_NonXtal_BW#'!$A:$Z,20,FALSE)+VLOOKUP($A318,A:AL,28,FALSE)-50))</f>
        <v>831</v>
      </c>
      <c r="AD318" s="3">
        <f>IF(ISERROR(VLOOKUP($A318,'SegEnds_NonXtal_BW#'!$A:$Z,21,FALSE)+VLOOKUP($A318,A:AL,31,FALSE)-50),"-",(VLOOKUP($A318,'SegEnds_NonXtal_BW#'!$A:$Z,21,FALSE)+VLOOKUP($A318,A:AL,31,FALSE)-50))</f>
        <v>857</v>
      </c>
      <c r="AE318" s="3">
        <v>878</v>
      </c>
      <c r="AF318" s="3">
        <f>IF(ISERROR((VLOOKUP($A318,'SegEnds_NonXtal_BW#'!$A:$Z,22,FALSE)+VLOOKUP($A318,A:AL,31,FALSE)-50)),"-",(VLOOKUP($A318,'SegEnds_NonXtal_BW#'!$A:$Z,22,FALSE)+VLOOKUP($A318,A:AL,31,FALSE)-50))</f>
        <v>878</v>
      </c>
      <c r="AG318" s="3">
        <f>IF(ISERROR(VLOOKUP($A318,'SegEnds_NonXtal_BW#'!$A:$Z,23,FALSE)+VLOOKUP($A318,A:AL,34,FALSE)-50),"-",(VLOOKUP($A318,'SegEnds_NonXtal_BW#'!$A:$Z,23,FALSE)+VLOOKUP($A318,A:AL,34,FALSE)-50))</f>
        <v>881</v>
      </c>
      <c r="AH318" s="3">
        <v>898</v>
      </c>
      <c r="AI318" s="3">
        <f>IF(ISERROR((VLOOKUP($A318,'SegEnds_NonXtal_BW#'!$A:$Z,24,FALSE)+VLOOKUP($A318,A:AL,34,FALSE)-50)),"-",(VLOOKUP($A318,'SegEnds_NonXtal_BW#'!$A:$Z,24,FALSE)+VLOOKUP($A318,A:AL,34,FALSE)-50))</f>
        <v>904</v>
      </c>
      <c r="AJ318" s="3">
        <f>IF(ISERROR(VLOOKUP($A318,'SegEnds_NonXtal_BW#'!$A:$Z,25,FALSE)+VLOOKUP($A318,A:AL,37,FALSE)-50),"-",(VLOOKUP($A318,'SegEnds_NonXtal_BW#'!$A:$Z,25,FALSE)+VLOOKUP($A318,A:AL,37,FALSE)-50))</f>
        <v>905</v>
      </c>
      <c r="AK318" s="3">
        <v>908</v>
      </c>
      <c r="AL318" s="3">
        <f>IF(ISERROR((VLOOKUP($A318,'SegEnds_NonXtal_BW#'!$A:$Z,26,FALSE)+VLOOKUP($A318,A:AL,37,FALSE)-50)),"-",(VLOOKUP($A318,'SegEnds_NonXtal_BW#'!$A:$Z,26,FALSE)+VLOOKUP($A318,A:AL,37,FALSE)-50))</f>
        <v>921</v>
      </c>
      <c r="AM318" s="28" t="str">
        <f>VLOOKUP(A318,Classification!A:B,2,FALSE)</f>
        <v>B2</v>
      </c>
      <c r="AN318" s="28" t="b">
        <f>AND(IF(Y318="-",IF(AA318-W318&gt;3,TRUE,FALSE),TRUE),IF(M318="-",IF(O318-K318&gt;3,TRUE,FALSE),TRUE),C318&lt;E318,OR(E318&lt;F318,F318="-"),OR(F318&lt;H318,F318="-"),OR(H318&lt;I318,H318="-"),I318&lt;K318,OR(K318&lt;L318,L318="-"),OR(L318&lt;N318,L318="-"),OR(N318&lt;O318,N318="-"),O318&lt;Q318,OR(Q318&lt;R318,R318="-"),OR(R318&lt;T318,R318="-"),OR(T318&lt;U318,T318="-"),U318&lt;W318,OR(W318&lt;X318,X318="-"),OR(X318&lt;Z318,X318="-"),OR(Z318&lt;AA318,Z318="-"),AA318&lt;AC318,AC318&lt;AD318,AD318&lt;AF318,AF318&lt;AG318,AG318&lt;AI318,OR(AI318&lt;AJ318,AJ318="-"),OR(AJ318&lt;AL318,AJ318="-"))</f>
        <v>1</v>
      </c>
      <c r="AO318" s="3" t="str">
        <f>IF(ISERROR(MATCH(A318,'SegEnds_Xtal_Prot#'!B:B, 0)), "NoXtal", "Xtal")</f>
        <v>NoXtal</v>
      </c>
      <c r="AP318" s="3" t="str">
        <f>IF(ISERROR(F318-E318),"-",F318-E318)</f>
        <v>-</v>
      </c>
      <c r="AQ318" s="3" t="str">
        <f>IF(ISERROR(I318-H318),"-",I318-H318)</f>
        <v>-</v>
      </c>
      <c r="AR318" s="3" t="str">
        <f>IF(ISERROR(L318-K318),"-",L318-K318)</f>
        <v>-</v>
      </c>
      <c r="AS318" s="3" t="str">
        <f>IF(ISERROR(O318-N318),"-",O318-N318)</f>
        <v>-</v>
      </c>
      <c r="AT318" s="3" t="str">
        <f>IF(ISERROR(R318-Q318),"-",R318-Q318)</f>
        <v>-</v>
      </c>
      <c r="AU318" s="3" t="str">
        <f>IF(ISERROR(U318-T318),"-",U318-T318)</f>
        <v>-</v>
      </c>
      <c r="AV318" s="3">
        <f>IF(ISERROR(X318-W318),"-",X318-W318)</f>
        <v>6</v>
      </c>
      <c r="AW318" s="3">
        <f>IF(ISERROR(AA318-Z318),"-",AA318-Z318)</f>
        <v>3</v>
      </c>
      <c r="AX318" s="3">
        <f>IF(ISERROR(AD318-AC318),"-",AD318-AC318)</f>
        <v>26</v>
      </c>
      <c r="AY318" s="3">
        <f>IF(ISERROR(AG318-AF318),"-",AG318-AF318)</f>
        <v>3</v>
      </c>
      <c r="AZ318" s="3">
        <f>IF(ISERROR(AJ318-AI318),"-",AJ318-AI318)</f>
        <v>1</v>
      </c>
      <c r="BA318" s="3">
        <f>IF(ISERROR(LEN(VLOOKUP(A318,Seqs!A:E,2,FALSE))-AL318),"-",LEN(VLOOKUP(A318,Seqs!A:E,2,FALSE))-AL318)</f>
        <v>42</v>
      </c>
      <c r="BB318" s="16">
        <f>J318-D318</f>
        <v>28</v>
      </c>
      <c r="BC318" s="9" t="str">
        <f>IF(ISERROR(V318-S318),"-",V318-S318)</f>
        <v>-</v>
      </c>
      <c r="BD318" s="3">
        <f>J318-D318</f>
        <v>28</v>
      </c>
      <c r="BE318" s="3">
        <f>AE318-AB318</f>
        <v>66</v>
      </c>
    </row>
    <row r="319" spans="1:58" s="3" customFormat="1" x14ac:dyDescent="0.2">
      <c r="A319" s="3" t="s">
        <v>1184</v>
      </c>
      <c r="B319" s="3" t="str">
        <f>LOWER(VLOOKUP(A319,Xtal_Templ!A:B,2,FALSE))</f>
        <v>calcr_human</v>
      </c>
      <c r="C319" s="3">
        <f>VLOOKUP($A319,'SegEnds_NonXtal_BW#'!$A:$Z,3,FALSE)+D319-50</f>
        <v>590</v>
      </c>
      <c r="D319" s="3">
        <v>617</v>
      </c>
      <c r="E319" s="3">
        <f>IF(ISERROR(VLOOKUP($A319,'SegEnds_NonXtal_BW#'!$A:$Z,4,FALSE)+VLOOKUP($A319,A:AL,4,FALSE)-50),"-",(VLOOKUP($A319,'SegEnds_NonXtal_BW#'!$A:$Z,4,FALSE)+VLOOKUP($A319,A:AL,4,FALSE)-50))</f>
        <v>627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632</v>
      </c>
      <c r="J319" s="3">
        <v>645</v>
      </c>
      <c r="K319" s="3">
        <f>VLOOKUP($A319,'SegEnds_NonXtal_BW#'!$A:$Z,8,FALSE)+VLOOKUP($A319,A:AL,10,FALSE)-50</f>
        <v>658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663</v>
      </c>
      <c r="P319" s="3">
        <v>690</v>
      </c>
      <c r="Q319" s="3">
        <f>VLOOKUP($A319,'SegEnds_NonXtal_BW#'!$A:$Z,12,FALSE)+VLOOKUP($A319,A:AL,16,FALSE)-50</f>
        <v>696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709</v>
      </c>
      <c r="V319" s="3">
        <v>718</v>
      </c>
      <c r="W319" s="3">
        <f>IF(ISERROR(VLOOKUP($A319,'SegEnds_NonXtal_BW#'!$A:$Z,16,FALSE)+VLOOKUP($A319,A:AL,22,FALSE)-50),"-",(VLOOKUP($A319,'SegEnds_NonXtal_BW#'!$A:$Z,16,FALSE)+VLOOKUP($A319,A:AL,22,FALSE)-50))</f>
        <v>736</v>
      </c>
      <c r="X319" s="3">
        <f>IF(ISERROR(VLOOKUP($A319,'SegEnds_NonXtal_BW#'!$A:$Z,17,FALSE)+VLOOKUP($A319,A:AL,25,FALSE)-50),"-",(VLOOKUP($A319,'SegEnds_NonXtal_BW#'!$A:$Z,17,FALSE)+VLOOKUP($A319,A:AL,25,FALSE)-50))</f>
        <v>742</v>
      </c>
      <c r="Y319" s="3">
        <v>742</v>
      </c>
      <c r="Z319" s="3">
        <f>Y319+2</f>
        <v>744</v>
      </c>
      <c r="AA319" s="3">
        <f>IF(ISERROR(VLOOKUP($A319,'SegEnds_NonXtal_BW#'!$A:$Z,19,FALSE)+VLOOKUP($A319,A:AL,28,FALSE)-50),"-",(VLOOKUP($A319,'SegEnds_NonXtal_BW#'!$A:$Z,19,FALSE)+VLOOKUP($A319,A:AL,28,FALSE)-50))</f>
        <v>747</v>
      </c>
      <c r="AB319" s="3">
        <v>761</v>
      </c>
      <c r="AC319" s="3">
        <f>IF(ISERROR((VLOOKUP($A319,'SegEnds_NonXtal_BW#'!$A:$Z,20,FALSE)+VLOOKUP($A319,A:AL,28,FALSE)-50)),"-",(VLOOKUP($A319,'SegEnds_NonXtal_BW#'!$A:$Z,20,FALSE)+VLOOKUP($A319,A:AL,28,FALSE)-50))</f>
        <v>780</v>
      </c>
      <c r="AD319" s="3">
        <f>IF(ISERROR(VLOOKUP($A319,'SegEnds_NonXtal_BW#'!$A:$Z,21,FALSE)+VLOOKUP($A319,A:AL,31,FALSE)-50),"-",(VLOOKUP($A319,'SegEnds_NonXtal_BW#'!$A:$Z,21,FALSE)+VLOOKUP($A319,A:AL,31,FALSE)-50))</f>
        <v>792</v>
      </c>
      <c r="AE319" s="3">
        <v>813</v>
      </c>
      <c r="AF319" s="3">
        <f>IF(ISERROR((VLOOKUP($A319,'SegEnds_NonXtal_BW#'!$A:$Z,22,FALSE)+VLOOKUP($A319,A:AL,31,FALSE)-50)),"-",(VLOOKUP($A319,'SegEnds_NonXtal_BW#'!$A:$Z,22,FALSE)+VLOOKUP($A319,A:AL,31,FALSE)-50))</f>
        <v>816</v>
      </c>
      <c r="AG319" s="3">
        <f>IF(ISERROR(VLOOKUP($A319,'SegEnds_NonXtal_BW#'!$A:$Z,23,FALSE)+VLOOKUP($A319,A:AL,34,FALSE)-50),"-",(VLOOKUP($A319,'SegEnds_NonXtal_BW#'!$A:$Z,23,FALSE)+VLOOKUP($A319,A:AL,34,FALSE)-50))</f>
        <v>822</v>
      </c>
      <c r="AH319" s="3">
        <v>841</v>
      </c>
      <c r="AI319" s="3">
        <f>IF(ISERROR((VLOOKUP($A319,'SegEnds_NonXtal_BW#'!$A:$Z,24,FALSE)+VLOOKUP($A319,A:AL,34,FALSE)-50)),"-",(VLOOKUP($A319,'SegEnds_NonXtal_BW#'!$A:$Z,24,FALSE)+VLOOKUP($A319,A:AL,34,FALSE)-50))</f>
        <v>847</v>
      </c>
      <c r="AJ319" s="3">
        <f>IF(ISERROR(VLOOKUP($A319,'SegEnds_NonXtal_BW#'!$A:$Z,25,FALSE)+VLOOKUP($A319,A:AL,37,FALSE)-50),"-",(VLOOKUP($A319,'SegEnds_NonXtal_BW#'!$A:$Z,25,FALSE)+VLOOKUP($A319,A:AL,37,FALSE)-50))</f>
        <v>848</v>
      </c>
      <c r="AK319" s="3">
        <v>851</v>
      </c>
      <c r="AL319" s="3">
        <f>IF(ISERROR((VLOOKUP($A319,'SegEnds_NonXtal_BW#'!$A:$Z,26,FALSE)+VLOOKUP($A319,A:AL,37,FALSE)-50)),"-",(VLOOKUP($A319,'SegEnds_NonXtal_BW#'!$A:$Z,26,FALSE)+VLOOKUP($A319,A:AL,37,FALSE)-50))</f>
        <v>864</v>
      </c>
      <c r="AM319" s="28" t="str">
        <f>VLOOKUP(A319,Classification!A:B,2,FALSE)</f>
        <v>B2</v>
      </c>
      <c r="AN319" s="28" t="b">
        <f>AND(IF(Y319="-",IF(AA319-W319&gt;3,TRUE,FALSE),TRUE),IF(M319="-",IF(O319-K319&gt;3,TRUE,FALSE),TRUE),C319&lt;E319,OR(E319&lt;F319,F319="-"),OR(F319&lt;H319,F319="-"),OR(H319&lt;I319,H319="-"),I319&lt;K319,OR(K319&lt;L319,L319="-"),OR(L319&lt;N319,L319="-"),OR(N319&lt;O319,N319="-"),O319&lt;Q319,OR(Q319&lt;R319,R319="-"),OR(R319&lt;T319,R319="-"),OR(T319&lt;U319,T319="-"),U319&lt;W319,OR(W319&lt;X319,X319="-"),OR(X319&lt;Z319,X319="-"),OR(Z319&lt;AA319,Z319="-"),AA319&lt;AC319,AC319&lt;AD319,AD319&lt;AF319,AF319&lt;AG319,AG319&lt;AI319,OR(AI319&lt;AJ319,AJ319="-"),OR(AJ319&lt;AL319,AJ319="-"))</f>
        <v>1</v>
      </c>
      <c r="AO319" s="3" t="str">
        <f>IF(ISERROR(MATCH(A319,'SegEnds_Xtal_Prot#'!B:B, 0)), "NoXtal", "Xtal")</f>
        <v>NoXtal</v>
      </c>
      <c r="AP319" s="3" t="str">
        <f>IF(ISERROR(F319-E319),"-",F319-E319)</f>
        <v>-</v>
      </c>
      <c r="AQ319" s="3" t="str">
        <f>IF(ISERROR(I319-H319),"-",I319-H319)</f>
        <v>-</v>
      </c>
      <c r="AR319" s="3" t="str">
        <f>IF(ISERROR(L319-K319),"-",L319-K319)</f>
        <v>-</v>
      </c>
      <c r="AS319" s="3" t="str">
        <f>IF(ISERROR(O319-N319),"-",O319-N319)</f>
        <v>-</v>
      </c>
      <c r="AT319" s="3" t="str">
        <f>IF(ISERROR(R319-Q319),"-",R319-Q319)</f>
        <v>-</v>
      </c>
      <c r="AU319" s="3" t="str">
        <f>IF(ISERROR(U319-T319),"-",U319-T319)</f>
        <v>-</v>
      </c>
      <c r="AV319" s="3">
        <f>IF(ISERROR(X319-W319),"-",X319-W319)</f>
        <v>6</v>
      </c>
      <c r="AW319" s="3">
        <f>IF(ISERROR(AA319-Z319),"-",AA319-Z319)</f>
        <v>3</v>
      </c>
      <c r="AX319" s="3">
        <f>IF(ISERROR(AD319-AC319),"-",AD319-AC319)</f>
        <v>12</v>
      </c>
      <c r="AY319" s="3">
        <f>IF(ISERROR(AG319-AF319),"-",AG319-AF319)</f>
        <v>6</v>
      </c>
      <c r="AZ319" s="3">
        <f>IF(ISERROR(AJ319-AI319),"-",AJ319-AI319)</f>
        <v>1</v>
      </c>
      <c r="BA319" s="3">
        <f>IF(ISERROR(LEN(VLOOKUP(A319,Seqs!A:E,2,FALSE))-AL319),"-",LEN(VLOOKUP(A319,Seqs!A:E,2,FALSE))-AL319)</f>
        <v>22</v>
      </c>
      <c r="BB319" s="16">
        <f>J319-D319</f>
        <v>28</v>
      </c>
      <c r="BC319" s="9" t="str">
        <f>IF(ISERROR(V319-S319),"-",V319-S319)</f>
        <v>-</v>
      </c>
      <c r="BD319" s="3">
        <f>J319-D319</f>
        <v>28</v>
      </c>
      <c r="BE319" s="3">
        <f>AE319-AB319</f>
        <v>52</v>
      </c>
      <c r="BF319" s="3">
        <f>AH319-AE319</f>
        <v>28</v>
      </c>
    </row>
    <row r="320" spans="1:58" s="3" customFormat="1" x14ac:dyDescent="0.2">
      <c r="A320" s="3" t="s">
        <v>1185</v>
      </c>
      <c r="B320" s="3" t="str">
        <f>LOWER(VLOOKUP(A320,Xtal_Templ!A:B,2,FALSE))</f>
        <v>glp1r_human</v>
      </c>
      <c r="C320" s="3">
        <f>VLOOKUP($A320,'SegEnds_NonXtal_BW#'!$A:$Z,3,FALSE)+D320-50</f>
        <v>524</v>
      </c>
      <c r="D320" s="3">
        <v>551</v>
      </c>
      <c r="E320" s="3">
        <f>IF(ISERROR(VLOOKUP($A320,'SegEnds_NonXtal_BW#'!$A:$Z,4,FALSE)+VLOOKUP($A320,A:AL,4,FALSE)-50),"-",(VLOOKUP($A320,'SegEnds_NonXtal_BW#'!$A:$Z,4,FALSE)+VLOOKUP($A320,A:AL,4,FALSE)-50))</f>
        <v>561</v>
      </c>
      <c r="F320" s="3">
        <f>G320-2</f>
        <v>562</v>
      </c>
      <c r="G320" s="3">
        <v>564</v>
      </c>
      <c r="H320" s="3">
        <f>G320+1</f>
        <v>565</v>
      </c>
      <c r="I320" s="3">
        <f>H320+1</f>
        <v>566</v>
      </c>
      <c r="J320" s="3">
        <v>579</v>
      </c>
      <c r="K320" s="3">
        <f>VLOOKUP($A320,'SegEnds_NonXtal_BW#'!$A:$Z,8,FALSE)+VLOOKUP($A320,A:AL,10,FALSE)-50</f>
        <v>592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597</v>
      </c>
      <c r="P320" s="3">
        <v>624</v>
      </c>
      <c r="Q320" s="3">
        <f>VLOOKUP($A320,'SegEnds_NonXtal_BW#'!$A:$Z,12,FALSE)+VLOOKUP($A320,A:AL,16,FALSE)-50</f>
        <v>630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640</v>
      </c>
      <c r="V320" s="3">
        <v>652</v>
      </c>
      <c r="W320" s="3">
        <f>IF(ISERROR(VLOOKUP($A320,'SegEnds_NonXtal_BW#'!$A:$Z,16,FALSE)+VLOOKUP($A320,A:AL,22,FALSE)-50),"-",(VLOOKUP($A320,'SegEnds_NonXtal_BW#'!$A:$Z,16,FALSE)+VLOOKUP($A320,A:AL,22,FALSE)-50))</f>
        <v>670</v>
      </c>
      <c r="X320" s="3">
        <f>IF(ISERROR(VLOOKUP($A320,'SegEnds_NonXtal_BW#'!$A:$Z,17,FALSE)+VLOOKUP($A320,A:AL,25,FALSE)-50),"-",(VLOOKUP($A320,'SegEnds_NonXtal_BW#'!$A:$Z,17,FALSE)+VLOOKUP($A320,A:AL,25,FALSE)-50))</f>
        <v>676</v>
      </c>
      <c r="Y320" s="3">
        <v>676</v>
      </c>
      <c r="Z320" s="3">
        <f>Y320+2</f>
        <v>678</v>
      </c>
      <c r="AA320" s="3">
        <f>IF(ISERROR(VLOOKUP($A320,'SegEnds_NonXtal_BW#'!$A:$Z,19,FALSE)+VLOOKUP($A320,A:AL,28,FALSE)-50),"-",(VLOOKUP($A320,'SegEnds_NonXtal_BW#'!$A:$Z,19,FALSE)+VLOOKUP($A320,A:AL,28,FALSE)-50))</f>
        <v>681</v>
      </c>
      <c r="AB320" s="3">
        <v>695</v>
      </c>
      <c r="AC320" s="3">
        <f>IF(ISERROR((VLOOKUP($A320,'SegEnds_NonXtal_BW#'!$A:$Z,20,FALSE)+VLOOKUP($A320,A:AL,28,FALSE)-50)),"-",(VLOOKUP($A320,'SegEnds_NonXtal_BW#'!$A:$Z,20,FALSE)+VLOOKUP($A320,A:AL,28,FALSE)-50))</f>
        <v>714</v>
      </c>
      <c r="AD320" s="3">
        <f>IF(ISERROR(VLOOKUP($A320,'SegEnds_NonXtal_BW#'!$A:$Z,21,FALSE)+VLOOKUP($A320,A:AL,31,FALSE)-50),"-",(VLOOKUP($A320,'SegEnds_NonXtal_BW#'!$A:$Z,21,FALSE)+VLOOKUP($A320,A:AL,31,FALSE)-50))</f>
        <v>726</v>
      </c>
      <c r="AE320" s="3">
        <v>747</v>
      </c>
      <c r="AF320" s="3">
        <f>IF(ISERROR((VLOOKUP($A320,'SegEnds_NonXtal_BW#'!$A:$Z,22,FALSE)+VLOOKUP($A320,A:AL,31,FALSE)-50)),"-",(VLOOKUP($A320,'SegEnds_NonXtal_BW#'!$A:$Z,22,FALSE)+VLOOKUP($A320,A:AL,31,FALSE)-50))</f>
        <v>750</v>
      </c>
      <c r="AG320" s="3">
        <f>IF(ISERROR(VLOOKUP($A320,'SegEnds_NonXtal_BW#'!$A:$Z,23,FALSE)+VLOOKUP($A320,A:AL,34,FALSE)-50),"-",(VLOOKUP($A320,'SegEnds_NonXtal_BW#'!$A:$Z,23,FALSE)+VLOOKUP($A320,A:AL,34,FALSE)-50))</f>
        <v>756</v>
      </c>
      <c r="AH320" s="3">
        <v>775</v>
      </c>
      <c r="AI320" s="3">
        <f>IF(ISERROR((VLOOKUP($A320,'SegEnds_NonXtal_BW#'!$A:$Z,24,FALSE)+VLOOKUP($A320,A:AL,34,FALSE)-50)),"-",(VLOOKUP($A320,'SegEnds_NonXtal_BW#'!$A:$Z,24,FALSE)+VLOOKUP($A320,A:AL,34,FALSE)-50))</f>
        <v>781</v>
      </c>
      <c r="AJ320" s="3">
        <f>IF(ISERROR(VLOOKUP($A320,'SegEnds_NonXtal_BW#'!$A:$Z,25,FALSE)+VLOOKUP($A320,A:AL,37,FALSE)-50),"-",(VLOOKUP($A320,'SegEnds_NonXtal_BW#'!$A:$Z,25,FALSE)+VLOOKUP($A320,A:AL,37,FALSE)-50))</f>
        <v>782</v>
      </c>
      <c r="AK320" s="3">
        <v>785</v>
      </c>
      <c r="AL320" s="3">
        <f>IF(ISERROR((VLOOKUP($A320,'SegEnds_NonXtal_BW#'!$A:$Z,26,FALSE)+VLOOKUP($A320,A:AL,37,FALSE)-50)),"-",(VLOOKUP($A320,'SegEnds_NonXtal_BW#'!$A:$Z,26,FALSE)+VLOOKUP($A320,A:AL,37,FALSE)-50))</f>
        <v>798</v>
      </c>
      <c r="AM320" s="28" t="str">
        <f>VLOOKUP(A320,Classification!A:B,2,FALSE)</f>
        <v>B2</v>
      </c>
      <c r="AN320" s="28" t="b">
        <f>AND(IF(Y320="-",IF(AA320-W320&gt;3,TRUE,FALSE),TRUE),IF(M320="-",IF(O320-K320&gt;3,TRUE,FALSE),TRUE),C320&lt;E320,OR(E320&lt;F320,F320="-"),OR(F320&lt;H320,F320="-"),OR(H320&lt;I320,H320="-"),I320&lt;K320,OR(K320&lt;L320,L320="-"),OR(L320&lt;N320,L320="-"),OR(N320&lt;O320,N320="-"),O320&lt;Q320,OR(Q320&lt;R320,R320="-"),OR(R320&lt;T320,R320="-"),OR(T320&lt;U320,T320="-"),U320&lt;W320,OR(W320&lt;X320,X320="-"),OR(X320&lt;Z320,X320="-"),OR(Z320&lt;AA320,Z320="-"),AA320&lt;AC320,AC320&lt;AD320,AD320&lt;AF320,AF320&lt;AG320,AG320&lt;AI320,OR(AI320&lt;AJ320,AJ320="-"),OR(AJ320&lt;AL320,AJ320="-"))</f>
        <v>1</v>
      </c>
      <c r="AO320" s="3" t="str">
        <f>IF(ISERROR(MATCH(A320,'SegEnds_Xtal_Prot#'!B:B, 0)), "NoXtal", "Xtal")</f>
        <v>NoXtal</v>
      </c>
      <c r="AP320" s="3">
        <f>IF(ISERROR(F320-E320),"-",F320-E320)</f>
        <v>1</v>
      </c>
      <c r="AQ320" s="3">
        <f>IF(ISERROR(I320-H320),"-",I320-H320)</f>
        <v>1</v>
      </c>
      <c r="AR320" s="3" t="str">
        <f>IF(ISERROR(L320-K320),"-",L320-K320)</f>
        <v>-</v>
      </c>
      <c r="AS320" s="3" t="str">
        <f>IF(ISERROR(O320-N320),"-",O320-N320)</f>
        <v>-</v>
      </c>
      <c r="AT320" s="3" t="str">
        <f>IF(ISERROR(R320-Q320),"-",R320-Q320)</f>
        <v>-</v>
      </c>
      <c r="AU320" s="3" t="str">
        <f>IF(ISERROR(U320-T320),"-",U320-T320)</f>
        <v>-</v>
      </c>
      <c r="AV320" s="3">
        <f>IF(ISERROR(X320-W320),"-",X320-W320)</f>
        <v>6</v>
      </c>
      <c r="AW320" s="3">
        <f>IF(ISERROR(AA320-Z320),"-",AA320-Z320)</f>
        <v>3</v>
      </c>
      <c r="AX320" s="3">
        <f>IF(ISERROR(AD320-AC320),"-",AD320-AC320)</f>
        <v>12</v>
      </c>
      <c r="AY320" s="3">
        <f>IF(ISERROR(AG320-AF320),"-",AG320-AF320)</f>
        <v>6</v>
      </c>
      <c r="AZ320" s="3">
        <f>IF(ISERROR(AJ320-AI320),"-",AJ320-AI320)</f>
        <v>1</v>
      </c>
      <c r="BA320" s="3">
        <f>IF(ISERROR(LEN(VLOOKUP(A320,Seqs!A:E,2,FALSE))-AL320),"-",LEN(VLOOKUP(A320,Seqs!A:E,2,FALSE))-AL320)</f>
        <v>25</v>
      </c>
      <c r="BB320" s="16">
        <f>J320-D320</f>
        <v>28</v>
      </c>
      <c r="BC320" s="9" t="str">
        <f>IF(ISERROR(V320-S320),"-",V320-S320)</f>
        <v>-</v>
      </c>
      <c r="BD320" s="3">
        <f>J320-D320</f>
        <v>28</v>
      </c>
      <c r="BE320" s="3">
        <f>AE320-AB320</f>
        <v>52</v>
      </c>
      <c r="BF320" s="3">
        <f>AH320-AE320</f>
        <v>28</v>
      </c>
    </row>
    <row r="321" spans="1:59" s="3" customFormat="1" x14ac:dyDescent="0.2">
      <c r="A321" s="3" t="s">
        <v>1186</v>
      </c>
      <c r="B321" s="3" t="str">
        <f>LOWER(VLOOKUP(A321,Xtal_Templ!A:B,2,FALSE))</f>
        <v>crfr1_human</v>
      </c>
      <c r="C321" s="3">
        <f>VLOOKUP($A321,'SegEnds_NonXtal_BW#'!$A:$Z,3,FALSE)+D321-50</f>
        <v>344</v>
      </c>
      <c r="D321" s="3">
        <v>371</v>
      </c>
      <c r="E321" s="3">
        <f>IF(ISERROR(VLOOKUP($A321,'SegEnds_NonXtal_BW#'!$A:$Z,4,FALSE)+VLOOKUP($A321,A:AL,4,FALSE)-50),"-",(VLOOKUP($A321,'SegEnds_NonXtal_BW#'!$A:$Z,4,FALSE)+VLOOKUP($A321,A:AL,4,FALSE)-50))</f>
        <v>381</v>
      </c>
      <c r="F321" s="3">
        <f>G321-2</f>
        <v>382</v>
      </c>
      <c r="G321" s="3">
        <v>384</v>
      </c>
      <c r="H321" s="3">
        <f>G321+1</f>
        <v>385</v>
      </c>
      <c r="I321" s="3">
        <f>H321+1</f>
        <v>386</v>
      </c>
      <c r="J321" s="3">
        <v>399</v>
      </c>
      <c r="K321" s="3">
        <f>VLOOKUP($A321,'SegEnds_NonXtal_BW#'!$A:$Z,8,FALSE)+VLOOKUP($A321,A:AL,10,FALSE)-50</f>
        <v>412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417</v>
      </c>
      <c r="P321" s="3">
        <v>444</v>
      </c>
      <c r="Q321" s="3">
        <f>VLOOKUP($A321,'SegEnds_NonXtal_BW#'!$A:$Z,12,FALSE)+VLOOKUP($A321,A:AL,16,FALSE)-50</f>
        <v>450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462</v>
      </c>
      <c r="V321" s="3">
        <v>472</v>
      </c>
      <c r="W321" s="3">
        <f>IF(ISERROR(VLOOKUP($A321,'SegEnds_NonXtal_BW#'!$A:$Z,16,FALSE)+VLOOKUP($A321,A:AL,22,FALSE)-50),"-",(VLOOKUP($A321,'SegEnds_NonXtal_BW#'!$A:$Z,16,FALSE)+VLOOKUP($A321,A:AL,22,FALSE)-50))</f>
        <v>490</v>
      </c>
      <c r="X321" s="3">
        <f>IF(ISERROR(VLOOKUP($A321,'SegEnds_NonXtal_BW#'!$A:$Z,17,FALSE)+VLOOKUP($A321,A:AL,25,FALSE)-50),"-",(VLOOKUP($A321,'SegEnds_NonXtal_BW#'!$A:$Z,17,FALSE)+VLOOKUP($A321,A:AL,25,FALSE)-50))</f>
        <v>496</v>
      </c>
      <c r="Y321" s="3">
        <v>496</v>
      </c>
      <c r="Z321" s="3">
        <f>Y321+2</f>
        <v>498</v>
      </c>
      <c r="AA321" s="3">
        <f>IF(ISERROR(VLOOKUP($A321,'SegEnds_NonXtal_BW#'!$A:$Z,19,FALSE)+VLOOKUP($A321,A:AL,28,FALSE)-50),"-",(VLOOKUP($A321,'SegEnds_NonXtal_BW#'!$A:$Z,19,FALSE)+VLOOKUP($A321,A:AL,28,FALSE)-50))</f>
        <v>501</v>
      </c>
      <c r="AB321" s="3">
        <v>515</v>
      </c>
      <c r="AC321" s="3">
        <f>IF(ISERROR((VLOOKUP($A321,'SegEnds_NonXtal_BW#'!$A:$Z,20,FALSE)+VLOOKUP($A321,A:AL,28,FALSE)-50)),"-",(VLOOKUP($A321,'SegEnds_NonXtal_BW#'!$A:$Z,20,FALSE)+VLOOKUP($A321,A:AL,28,FALSE)-50))</f>
        <v>534</v>
      </c>
      <c r="AD321" s="3">
        <f>IF(ISERROR(VLOOKUP($A321,'SegEnds_NonXtal_BW#'!$A:$Z,21,FALSE)+VLOOKUP($A321,A:AL,31,FALSE)-50),"-",(VLOOKUP($A321,'SegEnds_NonXtal_BW#'!$A:$Z,21,FALSE)+VLOOKUP($A321,A:AL,31,FALSE)-50))</f>
        <v>546</v>
      </c>
      <c r="AE321" s="3">
        <v>567</v>
      </c>
      <c r="AF321" s="3">
        <f>IF(ISERROR((VLOOKUP($A321,'SegEnds_NonXtal_BW#'!$A:$Z,22,FALSE)+VLOOKUP($A321,A:AL,31,FALSE)-50)),"-",(VLOOKUP($A321,'SegEnds_NonXtal_BW#'!$A:$Z,22,FALSE)+VLOOKUP($A321,A:AL,31,FALSE)-50))</f>
        <v>570</v>
      </c>
      <c r="AG321" s="3">
        <f>IF(ISERROR(VLOOKUP($A321,'SegEnds_NonXtal_BW#'!$A:$Z,23,FALSE)+VLOOKUP($A321,A:AL,34,FALSE)-50),"-",(VLOOKUP($A321,'SegEnds_NonXtal_BW#'!$A:$Z,23,FALSE)+VLOOKUP($A321,A:AL,34,FALSE)-50))</f>
        <v>576</v>
      </c>
      <c r="AH321" s="3">
        <v>595</v>
      </c>
      <c r="AI321" s="3">
        <f>IF(ISERROR((VLOOKUP($A321,'SegEnds_NonXtal_BW#'!$A:$Z,24,FALSE)+VLOOKUP($A321,A:AL,34,FALSE)-50)),"-",(VLOOKUP($A321,'SegEnds_NonXtal_BW#'!$A:$Z,24,FALSE)+VLOOKUP($A321,A:AL,34,FALSE)-50))</f>
        <v>601</v>
      </c>
      <c r="AJ321" s="3">
        <f>IF(ISERROR(VLOOKUP($A321,'SegEnds_NonXtal_BW#'!$A:$Z,25,FALSE)+VLOOKUP($A321,A:AL,37,FALSE)-50),"-",(VLOOKUP($A321,'SegEnds_NonXtal_BW#'!$A:$Z,25,FALSE)+VLOOKUP($A321,A:AL,37,FALSE)-50))</f>
        <v>602</v>
      </c>
      <c r="AK321" s="3">
        <v>605</v>
      </c>
      <c r="AL321" s="3">
        <f>IF(ISERROR((VLOOKUP($A321,'SegEnds_NonXtal_BW#'!$A:$Z,26,FALSE)+VLOOKUP($A321,A:AL,37,FALSE)-50)),"-",(VLOOKUP($A321,'SegEnds_NonXtal_BW#'!$A:$Z,26,FALSE)+VLOOKUP($A321,A:AL,37,FALSE)-50))</f>
        <v>618</v>
      </c>
      <c r="AM321" s="28" t="str">
        <f>VLOOKUP(A321,Classification!A:B,2,FALSE)</f>
        <v>B2</v>
      </c>
      <c r="AN321" s="28" t="b">
        <f>AND(IF(Y321="-",IF(AA321-W321&gt;3,TRUE,FALSE),TRUE),IF(M321="-",IF(O321-K321&gt;3,TRUE,FALSE),TRUE),C321&lt;E321,OR(E321&lt;F321,F321="-"),OR(F321&lt;H321,F321="-"),OR(H321&lt;I321,H321="-"),I321&lt;K321,OR(K321&lt;L321,L321="-"),OR(L321&lt;N321,L321="-"),OR(N321&lt;O321,N321="-"),O321&lt;Q321,OR(Q321&lt;R321,R321="-"),OR(R321&lt;T321,R321="-"),OR(T321&lt;U321,T321="-"),U321&lt;W321,OR(W321&lt;X321,X321="-"),OR(X321&lt;Z321,X321="-"),OR(Z321&lt;AA321,Z321="-"),AA321&lt;AC321,AC321&lt;AD321,AD321&lt;AF321,AF321&lt;AG321,AG321&lt;AI321,OR(AI321&lt;AJ321,AJ321="-"),OR(AJ321&lt;AL321,AJ321="-"))</f>
        <v>1</v>
      </c>
      <c r="AO321" s="3" t="str">
        <f>IF(ISERROR(MATCH(A321,'SegEnds_Xtal_Prot#'!B:B, 0)), "NoXtal", "Xtal")</f>
        <v>NoXtal</v>
      </c>
      <c r="AP321" s="3">
        <f>IF(ISERROR(F321-E321),"-",F321-E321)</f>
        <v>1</v>
      </c>
      <c r="AQ321" s="3">
        <f>IF(ISERROR(I321-H321),"-",I321-H321)</f>
        <v>1</v>
      </c>
      <c r="AR321" s="3" t="str">
        <f>IF(ISERROR(L321-K321),"-",L321-K321)</f>
        <v>-</v>
      </c>
      <c r="AS321" s="3" t="str">
        <f>IF(ISERROR(O321-N321),"-",O321-N321)</f>
        <v>-</v>
      </c>
      <c r="AT321" s="3" t="str">
        <f>IF(ISERROR(R321-Q321),"-",R321-Q321)</f>
        <v>-</v>
      </c>
      <c r="AU321" s="3" t="str">
        <f>IF(ISERROR(U321-T321),"-",U321-T321)</f>
        <v>-</v>
      </c>
      <c r="AV321" s="3">
        <f>IF(ISERROR(X321-W321),"-",X321-W321)</f>
        <v>6</v>
      </c>
      <c r="AW321" s="3">
        <f>IF(ISERROR(AA321-Z321),"-",AA321-Z321)</f>
        <v>3</v>
      </c>
      <c r="AX321" s="3">
        <f>IF(ISERROR(AD321-AC321),"-",AD321-AC321)</f>
        <v>12</v>
      </c>
      <c r="AY321" s="3">
        <f>IF(ISERROR(AG321-AF321),"-",AG321-AF321)</f>
        <v>6</v>
      </c>
      <c r="AZ321" s="3">
        <f>IF(ISERROR(AJ321-AI321),"-",AJ321-AI321)</f>
        <v>1</v>
      </c>
      <c r="BA321" s="3">
        <f>IF(ISERROR(LEN(VLOOKUP(A321,Seqs!A:E,2,FALSE))-AL321),"-",LEN(VLOOKUP(A321,Seqs!A:E,2,FALSE))-AL321)</f>
        <v>34</v>
      </c>
      <c r="BB321" s="16">
        <f>J321-D321</f>
        <v>28</v>
      </c>
      <c r="BC321" s="9" t="str">
        <f>IF(ISERROR(V321-S321),"-",V321-S321)</f>
        <v>-</v>
      </c>
      <c r="BD321" s="3">
        <f>J321-D321</f>
        <v>28</v>
      </c>
      <c r="BE321" s="3">
        <f>AE321-AB321</f>
        <v>52</v>
      </c>
      <c r="BF321" s="3">
        <f>AH321-AE321</f>
        <v>28</v>
      </c>
    </row>
    <row r="322" spans="1:59" s="3" customFormat="1" x14ac:dyDescent="0.2">
      <c r="A322" s="3" t="s">
        <v>1187</v>
      </c>
      <c r="B322" s="3" t="str">
        <f>LOWER(VLOOKUP(A322,Xtal_Templ!A:B,2,FALSE))</f>
        <v>glp1r_human</v>
      </c>
      <c r="C322" s="3">
        <f>VLOOKUP($A322,'SegEnds_NonXtal_BW#'!$A:$Z,3,FALSE)+D322-50</f>
        <v>178</v>
      </c>
      <c r="D322" s="3">
        <v>205</v>
      </c>
      <c r="E322" s="3">
        <f>IF(ISERROR(VLOOKUP($A322,'SegEnds_NonXtal_BW#'!$A:$Z,4,FALSE)+VLOOKUP($A322,A:AL,4,FALSE)-50),"-",(VLOOKUP($A322,'SegEnds_NonXtal_BW#'!$A:$Z,4,FALSE)+VLOOKUP($A322,A:AL,4,FALSE)-50))</f>
        <v>215</v>
      </c>
      <c r="F322" s="3">
        <f>G322-2</f>
        <v>216</v>
      </c>
      <c r="G322" s="3">
        <v>218</v>
      </c>
      <c r="H322" s="3">
        <f>G322+1</f>
        <v>219</v>
      </c>
      <c r="I322" s="3">
        <f>H322+1</f>
        <v>220</v>
      </c>
      <c r="J322" s="3">
        <v>233</v>
      </c>
      <c r="K322" s="3">
        <f>VLOOKUP($A322,'SegEnds_NonXtal_BW#'!$A:$Z,8,FALSE)+VLOOKUP($A322,A:AL,10,FALSE)-50</f>
        <v>246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251</v>
      </c>
      <c r="P322" s="3">
        <v>278</v>
      </c>
      <c r="Q322" s="3">
        <f>VLOOKUP($A322,'SegEnds_NonXtal_BW#'!$A:$Z,12,FALSE)+VLOOKUP($A322,A:AL,16,FALSE)-50</f>
        <v>284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294</v>
      </c>
      <c r="V322" s="3">
        <v>306</v>
      </c>
      <c r="W322" s="3">
        <f>IF(ISERROR(VLOOKUP($A322,'SegEnds_NonXtal_BW#'!$A:$Z,16,FALSE)+VLOOKUP($A322,A:AL,22,FALSE)-50),"-",(VLOOKUP($A322,'SegEnds_NonXtal_BW#'!$A:$Z,16,FALSE)+VLOOKUP($A322,A:AL,22,FALSE)-50))</f>
        <v>324</v>
      </c>
      <c r="X322" s="3">
        <f>IF(ISERROR(VLOOKUP($A322,'SegEnds_NonXtal_BW#'!$A:$Z,17,FALSE)+VLOOKUP($A322,A:AL,25,FALSE)-50),"-",(VLOOKUP($A322,'SegEnds_NonXtal_BW#'!$A:$Z,17,FALSE)+VLOOKUP($A322,A:AL,25,FALSE)-50))</f>
        <v>329</v>
      </c>
      <c r="Y322" s="3">
        <v>329</v>
      </c>
      <c r="Z322" s="3">
        <f>Y322+2</f>
        <v>331</v>
      </c>
      <c r="AA322" s="3">
        <f>IF(ISERROR(VLOOKUP($A322,'SegEnds_NonXtal_BW#'!$A:$Z,19,FALSE)+VLOOKUP($A322,A:AL,28,FALSE)-50),"-",(VLOOKUP($A322,'SegEnds_NonXtal_BW#'!$A:$Z,19,FALSE)+VLOOKUP($A322,A:AL,28,FALSE)-50))</f>
        <v>334</v>
      </c>
      <c r="AB322" s="3">
        <v>348</v>
      </c>
      <c r="AC322" s="3">
        <f>IF(ISERROR((VLOOKUP($A322,'SegEnds_NonXtal_BW#'!$A:$Z,20,FALSE)+VLOOKUP($A322,A:AL,28,FALSE)-50)),"-",(VLOOKUP($A322,'SegEnds_NonXtal_BW#'!$A:$Z,20,FALSE)+VLOOKUP($A322,A:AL,28,FALSE)-50))</f>
        <v>367</v>
      </c>
      <c r="AD322" s="3">
        <f>IF(ISERROR(VLOOKUP($A322,'SegEnds_NonXtal_BW#'!$A:$Z,21,FALSE)+VLOOKUP($A322,A:AL,31,FALSE)-50),"-",(VLOOKUP($A322,'SegEnds_NonXtal_BW#'!$A:$Z,21,FALSE)+VLOOKUP($A322,A:AL,31,FALSE)-50))</f>
        <v>379</v>
      </c>
      <c r="AE322" s="3">
        <v>400</v>
      </c>
      <c r="AF322" s="3">
        <f>IF(ISERROR((VLOOKUP($A322,'SegEnds_NonXtal_BW#'!$A:$Z,22,FALSE)+VLOOKUP($A322,A:AL,31,FALSE)-50)),"-",(VLOOKUP($A322,'SegEnds_NonXtal_BW#'!$A:$Z,22,FALSE)+VLOOKUP($A322,A:AL,31,FALSE)-50))</f>
        <v>403</v>
      </c>
      <c r="AG322" s="3">
        <f>IF(ISERROR(VLOOKUP($A322,'SegEnds_NonXtal_BW#'!$A:$Z,23,FALSE)+VLOOKUP($A322,A:AL,34,FALSE)-50),"-",(VLOOKUP($A322,'SegEnds_NonXtal_BW#'!$A:$Z,23,FALSE)+VLOOKUP($A322,A:AL,34,FALSE)-50))</f>
        <v>410</v>
      </c>
      <c r="AH322" s="3">
        <v>432</v>
      </c>
      <c r="AI322" s="3">
        <f>IF(ISERROR((VLOOKUP($A322,'SegEnds_NonXtal_BW#'!$A:$Z,24,FALSE)+VLOOKUP($A322,A:AL,34,FALSE)-50)),"-",(VLOOKUP($A322,'SegEnds_NonXtal_BW#'!$A:$Z,24,FALSE)+VLOOKUP($A322,A:AL,34,FALSE)-50))</f>
        <v>438</v>
      </c>
      <c r="AJ322" s="3">
        <f>IF(ISERROR(VLOOKUP($A322,'SegEnds_NonXtal_BW#'!$A:$Z,25,FALSE)+VLOOKUP($A322,A:AL,37,FALSE)-50),"-",(VLOOKUP($A322,'SegEnds_NonXtal_BW#'!$A:$Z,25,FALSE)+VLOOKUP($A322,A:AL,37,FALSE)-50))</f>
        <v>439</v>
      </c>
      <c r="AK322" s="3">
        <v>442</v>
      </c>
      <c r="AL322" s="3">
        <f>IF(ISERROR((VLOOKUP($A322,'SegEnds_NonXtal_BW#'!$A:$Z,26,FALSE)+VLOOKUP($A322,A:AL,37,FALSE)-50)),"-",(VLOOKUP($A322,'SegEnds_NonXtal_BW#'!$A:$Z,26,FALSE)+VLOOKUP($A322,A:AL,37,FALSE)-50))</f>
        <v>455</v>
      </c>
      <c r="AM322" s="28" t="str">
        <f>VLOOKUP(A322,Classification!A:B,2,FALSE)</f>
        <v>B2</v>
      </c>
      <c r="AN322" s="28" t="b">
        <f>AND(IF(Y322="-",IF(AA322-W322&gt;3,TRUE,FALSE),TRUE),IF(M322="-",IF(O322-K322&gt;3,TRUE,FALSE),TRUE),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 t="str">
        <f>IF(ISERROR(MATCH(A322,'SegEnds_Xtal_Prot#'!B:B, 0)), "NoXtal", "Xtal")</f>
        <v>NoXtal</v>
      </c>
      <c r="AP322" s="3">
        <f>IF(ISERROR(F322-E322),"-",F322-E322)</f>
        <v>1</v>
      </c>
      <c r="AQ322" s="3">
        <f>IF(ISERROR(I322-H322),"-",I322-H322)</f>
        <v>1</v>
      </c>
      <c r="AR322" s="3" t="str">
        <f>IF(ISERROR(L322-K322),"-",L322-K322)</f>
        <v>-</v>
      </c>
      <c r="AS322" s="3" t="str">
        <f>IF(ISERROR(O322-N322),"-",O322-N322)</f>
        <v>-</v>
      </c>
      <c r="AT322" s="3" t="str">
        <f>IF(ISERROR(R322-Q322),"-",R322-Q322)</f>
        <v>-</v>
      </c>
      <c r="AU322" s="3" t="str">
        <f>IF(ISERROR(U322-T322),"-",U322-T322)</f>
        <v>-</v>
      </c>
      <c r="AV322" s="3">
        <f>IF(ISERROR(X322-W322),"-",X322-W322)</f>
        <v>5</v>
      </c>
      <c r="AW322" s="3">
        <f>IF(ISERROR(AA322-Z322),"-",AA322-Z322)</f>
        <v>3</v>
      </c>
      <c r="AX322" s="3">
        <f>IF(ISERROR(AD322-AC322),"-",AD322-AC322)</f>
        <v>12</v>
      </c>
      <c r="AY322" s="3">
        <f>IF(ISERROR(AG322-AF322),"-",AG322-AF322)</f>
        <v>7</v>
      </c>
      <c r="AZ322" s="3">
        <f>IF(ISERROR(AJ322-AI322),"-",AJ322-AI322)</f>
        <v>1</v>
      </c>
      <c r="BA322" s="3">
        <f>IF(ISERROR(LEN(VLOOKUP(A322,Seqs!A:E,2,FALSE))-AL322),"-",LEN(VLOOKUP(A322,Seqs!A:E,2,FALSE))-AL322)</f>
        <v>2</v>
      </c>
      <c r="BB322" s="16">
        <f>J322-D322</f>
        <v>28</v>
      </c>
      <c r="BC322" s="9" t="str">
        <f>IF(ISERROR(V322-S322),"-",V322-S322)</f>
        <v>-</v>
      </c>
      <c r="BD322" s="3">
        <f>J322-D322</f>
        <v>28</v>
      </c>
      <c r="BE322" s="3">
        <f>AE322-AB322</f>
        <v>52</v>
      </c>
      <c r="BF322" s="3">
        <f>AH322-AE322</f>
        <v>32</v>
      </c>
    </row>
    <row r="323" spans="1:59" s="3" customFormat="1" x14ac:dyDescent="0.2">
      <c r="A323" s="3" t="s">
        <v>1188</v>
      </c>
      <c r="B323" s="3" t="str">
        <f>LOWER(VLOOKUP(A323,Xtal_Templ!A:B,2,FALSE))</f>
        <v>crfr1_human</v>
      </c>
      <c r="C323" s="3">
        <f>VLOOKUP($A323,'SegEnds_NonXtal_BW#'!$A:$Z,3,FALSE)+D323-50</f>
        <v>573</v>
      </c>
      <c r="D323" s="3">
        <v>600</v>
      </c>
      <c r="E323" s="3">
        <f>IF(ISERROR(VLOOKUP($A323,'SegEnds_NonXtal_BW#'!$A:$Z,4,FALSE)+VLOOKUP($A323,A:AL,4,FALSE)-50),"-",(VLOOKUP($A323,'SegEnds_NonXtal_BW#'!$A:$Z,4,FALSE)+VLOOKUP($A323,A:AL,4,FALSE)-50))</f>
        <v>610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618</v>
      </c>
      <c r="J323" s="3">
        <v>631</v>
      </c>
      <c r="K323" s="3">
        <f>VLOOKUP($A323,'SegEnds_NonXtal_BW#'!$A:$Z,8,FALSE)+VLOOKUP($A323,A:AL,10,FALSE)-50</f>
        <v>644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655</v>
      </c>
      <c r="P323" s="3">
        <v>682</v>
      </c>
      <c r="Q323" s="3">
        <f>VLOOKUP($A323,'SegEnds_NonXtal_BW#'!$A:$Z,12,FALSE)+VLOOKUP($A323,A:AL,16,FALSE)-50</f>
        <v>688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697</v>
      </c>
      <c r="V323" s="3">
        <v>707</v>
      </c>
      <c r="W323" s="3">
        <f>IF(ISERROR(VLOOKUP($A323,'SegEnds_NonXtal_BW#'!$A:$Z,16,FALSE)+VLOOKUP($A323,A:AL,22,FALSE)-50),"-",(VLOOKUP($A323,'SegEnds_NonXtal_BW#'!$A:$Z,16,FALSE)+VLOOKUP($A323,A:AL,22,FALSE)-50))</f>
        <v>725</v>
      </c>
      <c r="X323" s="3">
        <f>IF(ISERROR(VLOOKUP($A323,'SegEnds_NonXtal_BW#'!$A:$Z,17,FALSE)+VLOOKUP($A323,A:AL,25,FALSE)-50),"-",(VLOOKUP($A323,'SegEnds_NonXtal_BW#'!$A:$Z,17,FALSE)+VLOOKUP($A323,A:AL,25,FALSE)-50))</f>
        <v>733</v>
      </c>
      <c r="Y323" s="3">
        <v>733</v>
      </c>
      <c r="Z323" s="3">
        <f>Y323+2</f>
        <v>735</v>
      </c>
      <c r="AA323" s="3">
        <f>IF(ISERROR(VLOOKUP($A323,'SegEnds_NonXtal_BW#'!$A:$Z,19,FALSE)+VLOOKUP($A323,A:AL,28,FALSE)-50),"-",(VLOOKUP($A323,'SegEnds_NonXtal_BW#'!$A:$Z,19,FALSE)+VLOOKUP($A323,A:AL,28,FALSE)-50))</f>
        <v>740</v>
      </c>
      <c r="AB323" s="3">
        <v>754</v>
      </c>
      <c r="AC323" s="3">
        <f>IF(ISERROR((VLOOKUP($A323,'SegEnds_NonXtal_BW#'!$A:$Z,20,FALSE)+VLOOKUP($A323,A:AL,28,FALSE)-50)),"-",(VLOOKUP($A323,'SegEnds_NonXtal_BW#'!$A:$Z,20,FALSE)+VLOOKUP($A323,A:AL,28,FALSE)-50))</f>
        <v>773</v>
      </c>
      <c r="AD323" s="3">
        <f>IF(ISERROR(VLOOKUP($A323,'SegEnds_NonXtal_BW#'!$A:$Z,21,FALSE)+VLOOKUP($A323,A:AL,31,FALSE)-50),"-",(VLOOKUP($A323,'SegEnds_NonXtal_BW#'!$A:$Z,21,FALSE)+VLOOKUP($A323,A:AL,31,FALSE)-50))</f>
        <v>785</v>
      </c>
      <c r="AE323" s="3">
        <v>806</v>
      </c>
      <c r="AF323" s="3">
        <f>IF(ISERROR((VLOOKUP($A323,'SegEnds_NonXtal_BW#'!$A:$Z,22,FALSE)+VLOOKUP($A323,A:AL,31,FALSE)-50)),"-",(VLOOKUP($A323,'SegEnds_NonXtal_BW#'!$A:$Z,22,FALSE)+VLOOKUP($A323,A:AL,31,FALSE)-50))</f>
        <v>809</v>
      </c>
      <c r="AG323" s="3">
        <f>IF(ISERROR(VLOOKUP($A323,'SegEnds_NonXtal_BW#'!$A:$Z,23,FALSE)+VLOOKUP($A323,A:AL,34,FALSE)-50),"-",(VLOOKUP($A323,'SegEnds_NonXtal_BW#'!$A:$Z,23,FALSE)+VLOOKUP($A323,A:AL,34,FALSE)-50))</f>
        <v>816</v>
      </c>
      <c r="AH323" s="3">
        <v>835</v>
      </c>
      <c r="AI323" s="3">
        <f>IF(ISERROR((VLOOKUP($A323,'SegEnds_NonXtal_BW#'!$A:$Z,24,FALSE)+VLOOKUP($A323,A:AL,34,FALSE)-50)),"-",(VLOOKUP($A323,'SegEnds_NonXtal_BW#'!$A:$Z,24,FALSE)+VLOOKUP($A323,A:AL,34,FALSE)-50))</f>
        <v>841</v>
      </c>
      <c r="AJ323" s="3">
        <f>IF(ISERROR(VLOOKUP($A323,'SegEnds_NonXtal_BW#'!$A:$Z,25,FALSE)+VLOOKUP($A323,A:AL,37,FALSE)-50),"-",(VLOOKUP($A323,'SegEnds_NonXtal_BW#'!$A:$Z,25,FALSE)+VLOOKUP($A323,A:AL,37,FALSE)-50))</f>
        <v>842</v>
      </c>
      <c r="AK323" s="3">
        <v>845</v>
      </c>
      <c r="AL323" s="3">
        <f>IF(ISERROR((VLOOKUP($A323,'SegEnds_NonXtal_BW#'!$A:$Z,26,FALSE)+VLOOKUP($A323,A:AL,37,FALSE)-50)),"-",(VLOOKUP($A323,'SegEnds_NonXtal_BW#'!$A:$Z,26,FALSE)+VLOOKUP($A323,A:AL,37,FALSE)-50))</f>
        <v>858</v>
      </c>
      <c r="AM323" s="28" t="str">
        <f>VLOOKUP(A323,Classification!A:B,2,FALSE)</f>
        <v>B2</v>
      </c>
      <c r="AN323" s="28" t="b">
        <f>AND(IF(Y323="-",IF(AA323-W323&gt;3,TRUE,FALSE),TRUE),IF(M323="-",IF(O323-K323&gt;3,TRUE,FALSE),TRUE),C323&lt;E323,OR(E323&lt;F323,F323="-"),OR(F323&lt;H323,F323="-"),OR(H323&lt;I323,H323="-"),I323&lt;K323,OR(K323&lt;L323,L323="-"),OR(L323&lt;N323,L323="-"),OR(N323&lt;O323,N323="-"),O323&lt;Q323,OR(Q323&lt;R323,R323="-"),OR(R323&lt;T323,R323="-"),OR(T323&lt;U323,T323="-"),U323&lt;W323,OR(W323&lt;X323,X323="-"),OR(X323&lt;Z323,X323="-"),OR(Z323&lt;AA323,Z323="-"),AA323&lt;AC323,AC323&lt;AD323,AD323&lt;AF323,AF323&lt;AG323,AG323&lt;AI323,OR(AI323&lt;AJ323,AJ323="-"),OR(AJ323&lt;AL323,AJ323="-"))</f>
        <v>1</v>
      </c>
      <c r="AO323" s="3" t="str">
        <f>IF(ISERROR(MATCH(A323,'SegEnds_Xtal_Prot#'!B:B, 0)), "NoXtal", "Xtal")</f>
        <v>NoXtal</v>
      </c>
      <c r="AP323" s="3" t="str">
        <f>IF(ISERROR(F323-E323),"-",F323-E323)</f>
        <v>-</v>
      </c>
      <c r="AQ323" s="3" t="str">
        <f>IF(ISERROR(I323-H323),"-",I323-H323)</f>
        <v>-</v>
      </c>
      <c r="AR323" s="3" t="str">
        <f>IF(ISERROR(L323-K323),"-",L323-K323)</f>
        <v>-</v>
      </c>
      <c r="AS323" s="3" t="str">
        <f>IF(ISERROR(O323-N323),"-",O323-N323)</f>
        <v>-</v>
      </c>
      <c r="AT323" s="3" t="str">
        <f>IF(ISERROR(R323-Q323),"-",R323-Q323)</f>
        <v>-</v>
      </c>
      <c r="AU323" s="3" t="str">
        <f>IF(ISERROR(U323-T323),"-",U323-T323)</f>
        <v>-</v>
      </c>
      <c r="AV323" s="3">
        <f>IF(ISERROR(X323-W323),"-",X323-W323)</f>
        <v>8</v>
      </c>
      <c r="AW323" s="3">
        <f>IF(ISERROR(AA323-Z323),"-",AA323-Z323)</f>
        <v>5</v>
      </c>
      <c r="AX323" s="3">
        <f>IF(ISERROR(AD323-AC323),"-",AD323-AC323)</f>
        <v>12</v>
      </c>
      <c r="AY323" s="3">
        <f>IF(ISERROR(AG323-AF323),"-",AG323-AF323)</f>
        <v>7</v>
      </c>
      <c r="AZ323" s="3">
        <f>IF(ISERROR(AJ323-AI323),"-",AJ323-AI323)</f>
        <v>1</v>
      </c>
      <c r="BA323" s="3">
        <f>IF(ISERROR(LEN(VLOOKUP(A323,Seqs!A:E,2,FALSE))-AL323),"-",LEN(VLOOKUP(A323,Seqs!A:E,2,FALSE))-AL323)</f>
        <v>52</v>
      </c>
      <c r="BB323" s="16">
        <f>J323-D323</f>
        <v>31</v>
      </c>
      <c r="BC323" s="9" t="str">
        <f>IF(ISERROR(V323-S323),"-",V323-S323)</f>
        <v>-</v>
      </c>
      <c r="BD323" s="3">
        <f>J323-D323</f>
        <v>31</v>
      </c>
      <c r="BE323" s="3">
        <f>AE323-AB323</f>
        <v>52</v>
      </c>
    </row>
    <row r="324" spans="1:59" s="3" customFormat="1" x14ac:dyDescent="0.2">
      <c r="A324" s="3" t="s">
        <v>1189</v>
      </c>
      <c r="B324" s="3" t="str">
        <f>LOWER(VLOOKUP(A324,Xtal_Templ!A:B,2,FALSE))</f>
        <v>calcr_human</v>
      </c>
      <c r="C324" s="3">
        <f>VLOOKUP($A324,'SegEnds_NonXtal_BW#'!$A:$Z,3,FALSE)+D324-50</f>
        <v>434</v>
      </c>
      <c r="D324" s="3">
        <v>461</v>
      </c>
      <c r="E324" s="3">
        <f>IF(ISERROR(VLOOKUP($A324,'SegEnds_NonXtal_BW#'!$A:$Z,4,FALSE)+VLOOKUP($A324,A:AL,4,FALSE)-50),"-",(VLOOKUP($A324,'SegEnds_NonXtal_BW#'!$A:$Z,4,FALSE)+VLOOKUP($A324,A:AL,4,FALSE)-50))</f>
        <v>471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479</v>
      </c>
      <c r="J324" s="3">
        <v>492</v>
      </c>
      <c r="K324" s="3">
        <f>VLOOKUP($A324,'SegEnds_NonXtal_BW#'!$A:$Z,8,FALSE)+VLOOKUP($A324,A:AL,10,FALSE)-50</f>
        <v>505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516</v>
      </c>
      <c r="P324" s="3">
        <v>543</v>
      </c>
      <c r="Q324" s="3">
        <f>VLOOKUP($A324,'SegEnds_NonXtal_BW#'!$A:$Z,12,FALSE)+VLOOKUP($A324,A:AL,16,FALSE)-50</f>
        <v>549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559</v>
      </c>
      <c r="V324" s="3">
        <v>568</v>
      </c>
      <c r="W324" s="3">
        <f>IF(ISERROR(VLOOKUP($A324,'SegEnds_NonXtal_BW#'!$A:$Z,16,FALSE)+VLOOKUP($A324,A:AL,22,FALSE)-50),"-",(VLOOKUP($A324,'SegEnds_NonXtal_BW#'!$A:$Z,16,FALSE)+VLOOKUP($A324,A:AL,22,FALSE)-50))</f>
        <v>586</v>
      </c>
      <c r="X324" s="3">
        <f>IF(ISERROR(VLOOKUP($A324,'SegEnds_NonXtal_BW#'!$A:$Z,17,FALSE)+VLOOKUP($A324,A:AL,25,FALSE)-50),"-",(VLOOKUP($A324,'SegEnds_NonXtal_BW#'!$A:$Z,17,FALSE)+VLOOKUP($A324,A:AL,25,FALSE)-50))</f>
        <v>594</v>
      </c>
      <c r="Y324" s="3">
        <v>594</v>
      </c>
      <c r="Z324" s="3">
        <f>Y324+2</f>
        <v>596</v>
      </c>
      <c r="AA324" s="3">
        <f>IF(ISERROR(VLOOKUP($A324,'SegEnds_NonXtal_BW#'!$A:$Z,19,FALSE)+VLOOKUP($A324,A:AL,28,FALSE)-50),"-",(VLOOKUP($A324,'SegEnds_NonXtal_BW#'!$A:$Z,19,FALSE)+VLOOKUP($A324,A:AL,28,FALSE)-50))</f>
        <v>600</v>
      </c>
      <c r="AB324" s="3">
        <v>614</v>
      </c>
      <c r="AC324" s="3">
        <f>IF(ISERROR((VLOOKUP($A324,'SegEnds_NonXtal_BW#'!$A:$Z,20,FALSE)+VLOOKUP($A324,A:AL,28,FALSE)-50)),"-",(VLOOKUP($A324,'SegEnds_NonXtal_BW#'!$A:$Z,20,FALSE)+VLOOKUP($A324,A:AL,28,FALSE)-50))</f>
        <v>633</v>
      </c>
      <c r="AD324" s="3">
        <f>IF(ISERROR(VLOOKUP($A324,'SegEnds_NonXtal_BW#'!$A:$Z,21,FALSE)+VLOOKUP($A324,A:AL,31,FALSE)-50),"-",(VLOOKUP($A324,'SegEnds_NonXtal_BW#'!$A:$Z,21,FALSE)+VLOOKUP($A324,A:AL,31,FALSE)-50))</f>
        <v>650</v>
      </c>
      <c r="AE324" s="3">
        <v>671</v>
      </c>
      <c r="AF324" s="3">
        <f>IF(ISERROR((VLOOKUP($A324,'SegEnds_NonXtal_BW#'!$A:$Z,22,FALSE)+VLOOKUP($A324,A:AL,31,FALSE)-50)),"-",(VLOOKUP($A324,'SegEnds_NonXtal_BW#'!$A:$Z,22,FALSE)+VLOOKUP($A324,A:AL,31,FALSE)-50))</f>
        <v>674</v>
      </c>
      <c r="AG324" s="3">
        <f>IF(ISERROR(VLOOKUP($A324,'SegEnds_NonXtal_BW#'!$A:$Z,23,FALSE)+VLOOKUP($A324,A:AL,34,FALSE)-50),"-",(VLOOKUP($A324,'SegEnds_NonXtal_BW#'!$A:$Z,23,FALSE)+VLOOKUP($A324,A:AL,34,FALSE)-50))</f>
        <v>675</v>
      </c>
      <c r="AH324" s="3">
        <v>694</v>
      </c>
      <c r="AI324" s="3">
        <f>IF(ISERROR((VLOOKUP($A324,'SegEnds_NonXtal_BW#'!$A:$Z,24,FALSE)+VLOOKUP($A324,A:AL,34,FALSE)-50)),"-",(VLOOKUP($A324,'SegEnds_NonXtal_BW#'!$A:$Z,24,FALSE)+VLOOKUP($A324,A:AL,34,FALSE)-50))</f>
        <v>700</v>
      </c>
      <c r="AJ324" s="3" t="s">
        <v>23</v>
      </c>
      <c r="AK324" s="3" t="s">
        <v>23</v>
      </c>
      <c r="AL324" s="3" t="s">
        <v>23</v>
      </c>
      <c r="AM324" s="28" t="str">
        <f>VLOOKUP(A324,Classification!A:B,2,FALSE)</f>
        <v>B2</v>
      </c>
      <c r="AN324" s="28" t="b">
        <f>AND(IF(Y324="-",IF(AA324-W324&gt;3,TRUE,FALSE),TRUE),IF(M324="-",IF(O324-K324&gt;3,TRUE,FALSE),TRUE),C324&lt;E324,OR(E324&lt;F324,F324="-"),OR(F324&lt;H324,F324="-"),OR(H324&lt;I324,H324="-"),I324&lt;K324,OR(K324&lt;L324,L324="-"),OR(L324&lt;N324,L324="-"),OR(N324&lt;O324,N324="-"),O324&lt;Q324,OR(Q324&lt;R324,R324="-"),OR(R324&lt;T324,R324="-"),OR(T324&lt;U324,T324="-"),U324&lt;W324,OR(W324&lt;X324,X324="-"),OR(X324&lt;Z324,X324="-"),OR(Z324&lt;AA324,Z324="-"),AA324&lt;AC324,AC324&lt;AD324,AD324&lt;AF324,AF324&lt;AG324,AG324&lt;AI324,OR(AI324&lt;AJ324,AJ324="-"),OR(AJ324&lt;AL324,AJ324="-"))</f>
        <v>1</v>
      </c>
      <c r="AO324" s="3" t="str">
        <f>IF(ISERROR(MATCH(A324,'SegEnds_Xtal_Prot#'!B:B, 0)), "NoXtal", "Xtal")</f>
        <v>NoXtal</v>
      </c>
      <c r="AP324" s="3" t="str">
        <f>IF(ISERROR(F324-E324),"-",F324-E324)</f>
        <v>-</v>
      </c>
      <c r="AQ324" s="3" t="str">
        <f>IF(ISERROR(I324-H324),"-",I324-H324)</f>
        <v>-</v>
      </c>
      <c r="AR324" s="3" t="str">
        <f>IF(ISERROR(L324-K324),"-",L324-K324)</f>
        <v>-</v>
      </c>
      <c r="AS324" s="3" t="str">
        <f>IF(ISERROR(O324-N324),"-",O324-N324)</f>
        <v>-</v>
      </c>
      <c r="AT324" s="3" t="str">
        <f>IF(ISERROR(R324-Q324),"-",R324-Q324)</f>
        <v>-</v>
      </c>
      <c r="AU324" s="3" t="str">
        <f>IF(ISERROR(U324-T324),"-",U324-T324)</f>
        <v>-</v>
      </c>
      <c r="AV324" s="3">
        <f>IF(ISERROR(X324-W324),"-",X324-W324)</f>
        <v>8</v>
      </c>
      <c r="AW324" s="3">
        <f>IF(ISERROR(AA324-Z324),"-",AA324-Z324)</f>
        <v>4</v>
      </c>
      <c r="AX324" s="3">
        <f>IF(ISERROR(AD324-AC324),"-",AD324-AC324)</f>
        <v>17</v>
      </c>
      <c r="AY324" s="3">
        <f>IF(ISERROR(AG324-AF324),"-",AG324-AF324)</f>
        <v>1</v>
      </c>
      <c r="AZ324" s="3" t="str">
        <f>IF(ISERROR(AJ324-AI324),"-",AJ324-AI324)</f>
        <v>-</v>
      </c>
      <c r="BA324" s="3" t="str">
        <f>IF(ISERROR(LEN(VLOOKUP(A324,Seqs!A:E,2,FALSE))-AL324),"-",LEN(VLOOKUP(A324,Seqs!A:E,2,FALSE))-AL324)</f>
        <v>-</v>
      </c>
      <c r="BB324" s="16">
        <f>J324-D324</f>
        <v>31</v>
      </c>
      <c r="BC324" s="9" t="str">
        <f>IF(ISERROR(V324-S324),"-",V324-S324)</f>
        <v>-</v>
      </c>
      <c r="BD324" s="3">
        <f>J324-D324</f>
        <v>31</v>
      </c>
      <c r="BE324" s="3">
        <f>AE324-AB324</f>
        <v>57</v>
      </c>
      <c r="BF324" s="3">
        <f>AH324-AE324</f>
        <v>23</v>
      </c>
      <c r="BG324" s="3" t="s">
        <v>1312</v>
      </c>
    </row>
    <row r="325" spans="1:59" s="3" customFormat="1" x14ac:dyDescent="0.2">
      <c r="A325" s="3" t="s">
        <v>1190</v>
      </c>
      <c r="B325" s="3" t="str">
        <f>LOWER(VLOOKUP(A325,Xtal_Templ!A:B,2,FALSE))</f>
        <v>crfr1_human</v>
      </c>
      <c r="C325" s="3">
        <f>VLOOKUP($A325,'SegEnds_NonXtal_BW#'!$A:$Z,3,FALSE)+D325-50</f>
        <v>758</v>
      </c>
      <c r="D325" s="3">
        <v>785</v>
      </c>
      <c r="E325" s="3">
        <f>IF(ISERROR(VLOOKUP($A325,'SegEnds_NonXtal_BW#'!$A:$Z,4,FALSE)+VLOOKUP($A325,A:AL,4,FALSE)-50),"-",(VLOOKUP($A325,'SegEnds_NonXtal_BW#'!$A:$Z,4,FALSE)+VLOOKUP($A325,A:AL,4,FALSE)-50))</f>
        <v>795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803</v>
      </c>
      <c r="J325" s="3">
        <v>816</v>
      </c>
      <c r="K325" s="3">
        <f>VLOOKUP($A325,'SegEnds_NonXtal_BW#'!$A:$Z,8,FALSE)+VLOOKUP($A325,A:AL,10,FALSE)-50</f>
        <v>829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839</v>
      </c>
      <c r="P325" s="3">
        <v>866</v>
      </c>
      <c r="Q325" s="3">
        <f>VLOOKUP($A325,'SegEnds_NonXtal_BW#'!$A:$Z,12,FALSE)+VLOOKUP($A325,A:AL,16,FALSE)-50</f>
        <v>872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881</v>
      </c>
      <c r="V325" s="3">
        <v>891</v>
      </c>
      <c r="W325" s="3">
        <f>IF(ISERROR(VLOOKUP($A325,'SegEnds_NonXtal_BW#'!$A:$Z,16,FALSE)+VLOOKUP($A325,A:AL,22,FALSE)-50),"-",(VLOOKUP($A325,'SegEnds_NonXtal_BW#'!$A:$Z,16,FALSE)+VLOOKUP($A325,A:AL,22,FALSE)-50))</f>
        <v>909</v>
      </c>
      <c r="X325" s="3">
        <f>IF(ISERROR(VLOOKUP($A325,'SegEnds_NonXtal_BW#'!$A:$Z,17,FALSE)+VLOOKUP($A325,A:AL,25,FALSE)-50),"-",(VLOOKUP($A325,'SegEnds_NonXtal_BW#'!$A:$Z,17,FALSE)+VLOOKUP($A325,A:AL,25,FALSE)-50))</f>
        <v>917</v>
      </c>
      <c r="Y325" s="3">
        <v>917</v>
      </c>
      <c r="Z325" s="3">
        <f>Y325+2</f>
        <v>919</v>
      </c>
      <c r="AA325" s="3">
        <f>IF(ISERROR(VLOOKUP($A325,'SegEnds_NonXtal_BW#'!$A:$Z,19,FALSE)+VLOOKUP($A325,A:AL,28,FALSE)-50),"-",(VLOOKUP($A325,'SegEnds_NonXtal_BW#'!$A:$Z,19,FALSE)+VLOOKUP($A325,A:AL,28,FALSE)-50))</f>
        <v>922</v>
      </c>
      <c r="AB325" s="3">
        <v>936</v>
      </c>
      <c r="AC325" s="3">
        <f>IF(ISERROR((VLOOKUP($A325,'SegEnds_NonXtal_BW#'!$A:$Z,20,FALSE)+VLOOKUP($A325,A:AL,28,FALSE)-50)),"-",(VLOOKUP($A325,'SegEnds_NonXtal_BW#'!$A:$Z,20,FALSE)+VLOOKUP($A325,A:AL,28,FALSE)-50))</f>
        <v>955</v>
      </c>
      <c r="AD325" s="3">
        <f>IF(ISERROR(VLOOKUP($A325,'SegEnds_NonXtal_BW#'!$A:$Z,21,FALSE)+VLOOKUP($A325,A:AL,31,FALSE)-50),"-",(VLOOKUP($A325,'SegEnds_NonXtal_BW#'!$A:$Z,21,FALSE)+VLOOKUP($A325,A:AL,31,FALSE)-50))</f>
        <v>967</v>
      </c>
      <c r="AE325" s="3">
        <v>988</v>
      </c>
      <c r="AF325" s="3">
        <f>IF(ISERROR((VLOOKUP($A325,'SegEnds_NonXtal_BW#'!$A:$Z,22,FALSE)+VLOOKUP($A325,A:AL,31,FALSE)-50)),"-",(VLOOKUP($A325,'SegEnds_NonXtal_BW#'!$A:$Z,22,FALSE)+VLOOKUP($A325,A:AL,31,FALSE)-50))</f>
        <v>991</v>
      </c>
      <c r="AG325" s="3">
        <f>IF(ISERROR(VLOOKUP($A325,'SegEnds_NonXtal_BW#'!$A:$Z,23,FALSE)+VLOOKUP($A325,A:AL,34,FALSE)-50),"-",(VLOOKUP($A325,'SegEnds_NonXtal_BW#'!$A:$Z,23,FALSE)+VLOOKUP($A325,A:AL,34,FALSE)-50))</f>
        <v>998</v>
      </c>
      <c r="AH325" s="3">
        <v>1017</v>
      </c>
      <c r="AI325" s="3">
        <f>IF(ISERROR((VLOOKUP($A325,'SegEnds_NonXtal_BW#'!$A:$Z,24,FALSE)+VLOOKUP($A325,A:AL,34,FALSE)-50)),"-",(VLOOKUP($A325,'SegEnds_NonXtal_BW#'!$A:$Z,24,FALSE)+VLOOKUP($A325,A:AL,34,FALSE)-50))</f>
        <v>1023</v>
      </c>
      <c r="AJ325" s="3">
        <f>IF(ISERROR(VLOOKUP($A325,'SegEnds_NonXtal_BW#'!$A:$Z,25,FALSE)+VLOOKUP($A325,A:AL,37,FALSE)-50),"-",(VLOOKUP($A325,'SegEnds_NonXtal_BW#'!$A:$Z,25,FALSE)+VLOOKUP($A325,A:AL,37,FALSE)-50))</f>
        <v>1024</v>
      </c>
      <c r="AK325" s="3">
        <v>1027</v>
      </c>
      <c r="AL325" s="3">
        <f>IF(ISERROR((VLOOKUP($A325,'SegEnds_NonXtal_BW#'!$A:$Z,26,FALSE)+VLOOKUP($A325,A:AL,37,FALSE)-50)),"-",(VLOOKUP($A325,'SegEnds_NonXtal_BW#'!$A:$Z,26,FALSE)+VLOOKUP($A325,A:AL,37,FALSE)-50))</f>
        <v>1040</v>
      </c>
      <c r="AM325" s="28" t="str">
        <f>VLOOKUP(A325,Classification!A:B,2,FALSE)</f>
        <v>B2</v>
      </c>
      <c r="AN325" s="28" t="b">
        <f>AND(IF(Y325="-",IF(AA325-W325&gt;3,TRUE,FALSE),TRUE),IF(M325="-",IF(O325-K325&gt;3,TRUE,FALSE),TRU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>IF(ISERROR(F325-E325),"-",F325-E325)</f>
        <v>-</v>
      </c>
      <c r="AQ325" s="3" t="str">
        <f>IF(ISERROR(I325-H325),"-",I325-H325)</f>
        <v>-</v>
      </c>
      <c r="AR325" s="3" t="str">
        <f>IF(ISERROR(L325-K325),"-",L325-K325)</f>
        <v>-</v>
      </c>
      <c r="AS325" s="3" t="str">
        <f>IF(ISERROR(O325-N325),"-",O325-N325)</f>
        <v>-</v>
      </c>
      <c r="AT325" s="3" t="str">
        <f>IF(ISERROR(R325-Q325),"-",R325-Q325)</f>
        <v>-</v>
      </c>
      <c r="AU325" s="3" t="str">
        <f>IF(ISERROR(U325-T325),"-",U325-T325)</f>
        <v>-</v>
      </c>
      <c r="AV325" s="3">
        <f>IF(ISERROR(X325-W325),"-",X325-W325)</f>
        <v>8</v>
      </c>
      <c r="AW325" s="3">
        <f>IF(ISERROR(AA325-Z325),"-",AA325-Z325)</f>
        <v>3</v>
      </c>
      <c r="AX325" s="3">
        <f>IF(ISERROR(AD325-AC325),"-",AD325-AC325)</f>
        <v>12</v>
      </c>
      <c r="AY325" s="3">
        <f>IF(ISERROR(AG325-AF325),"-",AG325-AF325)</f>
        <v>7</v>
      </c>
      <c r="AZ325" s="3">
        <f>IF(ISERROR(AJ325-AI325),"-",AJ325-AI325)</f>
        <v>1</v>
      </c>
      <c r="BA325" s="3">
        <f>IF(ISERROR(LEN(VLOOKUP(A325,Seqs!A:E,2,FALSE))-AL325),"-",LEN(VLOOKUP(A325,Seqs!A:E,2,FALSE))-AL325)</f>
        <v>39</v>
      </c>
      <c r="BB325" s="16">
        <f>J325-D325</f>
        <v>31</v>
      </c>
      <c r="BC325" s="9" t="str">
        <f>IF(ISERROR(V325-S325),"-",V325-S325)</f>
        <v>-</v>
      </c>
      <c r="BD325" s="3">
        <f>J325-D325</f>
        <v>31</v>
      </c>
      <c r="BE325" s="3">
        <f>AE325-AB325</f>
        <v>52</v>
      </c>
    </row>
    <row r="326" spans="1:59" s="3" customFormat="1" x14ac:dyDescent="0.2">
      <c r="A326" s="3" t="s">
        <v>1191</v>
      </c>
      <c r="B326" s="3" t="str">
        <f>LOWER(VLOOKUP(A326,Xtal_Templ!A:B,2,FALSE))</f>
        <v>crfr1_human</v>
      </c>
      <c r="C326" s="3">
        <f>VLOOKUP($A326,'SegEnds_NonXtal_BW#'!$A:$Z,3,FALSE)+D326-50</f>
        <v>389</v>
      </c>
      <c r="D326" s="3">
        <v>416</v>
      </c>
      <c r="E326" s="3">
        <f>IF(ISERROR(VLOOKUP($A326,'SegEnds_NonXtal_BW#'!$A:$Z,4,FALSE)+VLOOKUP($A326,A:AL,4,FALSE)-50),"-",(VLOOKUP($A326,'SegEnds_NonXtal_BW#'!$A:$Z,4,FALSE)+VLOOKUP($A326,A:AL,4,FALSE)-50))</f>
        <v>426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434</v>
      </c>
      <c r="J326" s="3">
        <v>447</v>
      </c>
      <c r="K326" s="3">
        <f>VLOOKUP($A326,'SegEnds_NonXtal_BW#'!$A:$Z,8,FALSE)+VLOOKUP($A326,A:AL,10,FALSE)-50</f>
        <v>460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471</v>
      </c>
      <c r="P326" s="3">
        <v>498</v>
      </c>
      <c r="Q326" s="3">
        <f>VLOOKUP($A326,'SegEnds_NonXtal_BW#'!$A:$Z,12,FALSE)+VLOOKUP($A326,A:AL,16,FALSE)-50</f>
        <v>504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513</v>
      </c>
      <c r="V326" s="3">
        <v>523</v>
      </c>
      <c r="W326" s="3">
        <f>IF(ISERROR(VLOOKUP($A326,'SegEnds_NonXtal_BW#'!$A:$Z,16,FALSE)+VLOOKUP($A326,A:AL,22,FALSE)-50),"-",(VLOOKUP($A326,'SegEnds_NonXtal_BW#'!$A:$Z,16,FALSE)+VLOOKUP($A326,A:AL,22,FALSE)-50))</f>
        <v>541</v>
      </c>
      <c r="X326" s="3">
        <f>IF(ISERROR(VLOOKUP($A326,'SegEnds_NonXtal_BW#'!$A:$Z,17,FALSE)+VLOOKUP($A326,A:AL,25,FALSE)-50),"-",(VLOOKUP($A326,'SegEnds_NonXtal_BW#'!$A:$Z,17,FALSE)+VLOOKUP($A326,A:AL,25,FALSE)-50))</f>
        <v>549</v>
      </c>
      <c r="Y326" s="3">
        <v>549</v>
      </c>
      <c r="Z326" s="3">
        <f>Y326+2</f>
        <v>551</v>
      </c>
      <c r="AA326" s="3">
        <f>IF(ISERROR(VLOOKUP($A326,'SegEnds_NonXtal_BW#'!$A:$Z,19,FALSE)+VLOOKUP($A326,A:AL,28,FALSE)-50),"-",(VLOOKUP($A326,'SegEnds_NonXtal_BW#'!$A:$Z,19,FALSE)+VLOOKUP($A326,A:AL,28,FALSE)-50))</f>
        <v>555</v>
      </c>
      <c r="AB326" s="3">
        <v>569</v>
      </c>
      <c r="AC326" s="3">
        <f>IF(ISERROR((VLOOKUP($A326,'SegEnds_NonXtal_BW#'!$A:$Z,20,FALSE)+VLOOKUP($A326,A:AL,28,FALSE)-50)),"-",(VLOOKUP($A326,'SegEnds_NonXtal_BW#'!$A:$Z,20,FALSE)+VLOOKUP($A326,A:AL,28,FALSE)-50))</f>
        <v>588</v>
      </c>
      <c r="AD326" s="3">
        <f>IF(ISERROR(VLOOKUP($A326,'SegEnds_NonXtal_BW#'!$A:$Z,21,FALSE)+VLOOKUP($A326,A:AL,31,FALSE)-50),"-",(VLOOKUP($A326,'SegEnds_NonXtal_BW#'!$A:$Z,21,FALSE)+VLOOKUP($A326,A:AL,31,FALSE)-50))</f>
        <v>599</v>
      </c>
      <c r="AE326" s="3">
        <v>620</v>
      </c>
      <c r="AF326" s="3">
        <f>IF(ISERROR((VLOOKUP($A326,'SegEnds_NonXtal_BW#'!$A:$Z,22,FALSE)+VLOOKUP($A326,A:AL,31,FALSE)-50)),"-",(VLOOKUP($A326,'SegEnds_NonXtal_BW#'!$A:$Z,22,FALSE)+VLOOKUP($A326,A:AL,31,FALSE)-50))</f>
        <v>623</v>
      </c>
      <c r="AG326" s="3">
        <f>IF(ISERROR(VLOOKUP($A326,'SegEnds_NonXtal_BW#'!$A:$Z,23,FALSE)+VLOOKUP($A326,A:AL,34,FALSE)-50),"-",(VLOOKUP($A326,'SegEnds_NonXtal_BW#'!$A:$Z,23,FALSE)+VLOOKUP($A326,A:AL,34,FALSE)-50))</f>
        <v>630</v>
      </c>
      <c r="AH326" s="3">
        <v>649</v>
      </c>
      <c r="AI326" s="3">
        <f>IF(ISERROR((VLOOKUP($A326,'SegEnds_NonXtal_BW#'!$A:$Z,24,FALSE)+VLOOKUP($A326,A:AL,34,FALSE)-50)),"-",(VLOOKUP($A326,'SegEnds_NonXtal_BW#'!$A:$Z,24,FALSE)+VLOOKUP($A326,A:AL,34,FALSE)-50))</f>
        <v>655</v>
      </c>
      <c r="AJ326" s="3">
        <f>IF(ISERROR(VLOOKUP($A326,'SegEnds_NonXtal_BW#'!$A:$Z,25,FALSE)+VLOOKUP($A326,A:AL,37,FALSE)-50),"-",(VLOOKUP($A326,'SegEnds_NonXtal_BW#'!$A:$Z,25,FALSE)+VLOOKUP($A326,A:AL,37,FALSE)-50))</f>
        <v>656</v>
      </c>
      <c r="AK326" s="3">
        <v>659</v>
      </c>
      <c r="AL326" s="3">
        <f>IF(ISERROR((VLOOKUP($A326,'SegEnds_NonXtal_BW#'!$A:$Z,26,FALSE)+VLOOKUP($A326,A:AL,37,FALSE)-50)),"-",(VLOOKUP($A326,'SegEnds_NonXtal_BW#'!$A:$Z,26,FALSE)+VLOOKUP($A326,A:AL,37,FALSE)-50))</f>
        <v>672</v>
      </c>
      <c r="AM326" s="28" t="str">
        <f>VLOOKUP(A326,Classification!A:B,2,FALSE)</f>
        <v>B2</v>
      </c>
      <c r="AN326" s="28" t="b">
        <f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>IF(ISERROR(F326-E326),"-",F326-E326)</f>
        <v>-</v>
      </c>
      <c r="AQ326" s="3" t="str">
        <f>IF(ISERROR(I326-H326),"-",I326-H326)</f>
        <v>-</v>
      </c>
      <c r="AR326" s="3" t="str">
        <f>IF(ISERROR(L326-K326),"-",L326-K326)</f>
        <v>-</v>
      </c>
      <c r="AS326" s="3" t="str">
        <f>IF(ISERROR(O326-N326),"-",O326-N326)</f>
        <v>-</v>
      </c>
      <c r="AT326" s="3" t="str">
        <f>IF(ISERROR(R326-Q326),"-",R326-Q326)</f>
        <v>-</v>
      </c>
      <c r="AU326" s="3" t="str">
        <f>IF(ISERROR(U326-T326),"-",U326-T326)</f>
        <v>-</v>
      </c>
      <c r="AV326" s="3">
        <f>IF(ISERROR(X326-W326),"-",X326-W326)</f>
        <v>8</v>
      </c>
      <c r="AW326" s="3">
        <f>IF(ISERROR(AA326-Z326),"-",AA326-Z326)</f>
        <v>4</v>
      </c>
      <c r="AX326" s="3">
        <f>IF(ISERROR(AD326-AC326),"-",AD326-AC326)</f>
        <v>11</v>
      </c>
      <c r="AY326" s="3">
        <f>IF(ISERROR(AG326-AF326),"-",AG326-AF326)</f>
        <v>7</v>
      </c>
      <c r="AZ326" s="3">
        <f>IF(ISERROR(AJ326-AI326),"-",AJ326-AI326)</f>
        <v>1</v>
      </c>
      <c r="BA326" s="3">
        <f>IF(ISERROR(LEN(VLOOKUP(A326,Seqs!A:E,2,FALSE))-AL326),"-",LEN(VLOOKUP(A326,Seqs!A:E,2,FALSE))-AL326)</f>
        <v>23</v>
      </c>
      <c r="BB326" s="16">
        <f>J326-D326</f>
        <v>31</v>
      </c>
      <c r="BC326" s="9" t="str">
        <f>IF(ISERROR(V326-S326),"-",V326-S326)</f>
        <v>-</v>
      </c>
      <c r="BD326" s="3">
        <f>J326-D326</f>
        <v>31</v>
      </c>
      <c r="BE326" s="3">
        <f>AE326-AB326</f>
        <v>51</v>
      </c>
      <c r="BF326" s="3">
        <f>AH326-AE326</f>
        <v>29</v>
      </c>
    </row>
    <row r="327" spans="1:59" s="3" customFormat="1" x14ac:dyDescent="0.2">
      <c r="A327" s="3" t="s">
        <v>1192</v>
      </c>
      <c r="B327" s="3" t="str">
        <f>LOWER(VLOOKUP(A327,Xtal_Templ!A:B,2,FALSE))</f>
        <v>crfr1_human</v>
      </c>
      <c r="C327" s="3">
        <f>VLOOKUP($A327,'SegEnds_NonXtal_BW#'!$A:$Z,3,FALSE)+D327-50</f>
        <v>1000</v>
      </c>
      <c r="D327" s="3">
        <v>1027</v>
      </c>
      <c r="E327" s="3">
        <f>IF(ISERROR(VLOOKUP($A327,'SegEnds_NonXtal_BW#'!$A:$Z,4,FALSE)+VLOOKUP($A327,A:AL,4,FALSE)-50),"-",(VLOOKUP($A327,'SegEnds_NonXtal_BW#'!$A:$Z,4,FALSE)+VLOOKUP($A327,A:AL,4,FALSE)-50))</f>
        <v>1037</v>
      </c>
      <c r="F327" s="3">
        <f>G327-2</f>
        <v>1039</v>
      </c>
      <c r="G327" s="3">
        <v>1041</v>
      </c>
      <c r="H327" s="3">
        <f>G327+1</f>
        <v>1042</v>
      </c>
      <c r="I327" s="3">
        <f>H327+1</f>
        <v>1043</v>
      </c>
      <c r="J327" s="3">
        <v>1058</v>
      </c>
      <c r="K327" s="3">
        <f>VLOOKUP($A327,'SegEnds_NonXtal_BW#'!$A:$Z,8,FALSE)+VLOOKUP($A327,A:AL,10,FALSE)-50</f>
        <v>1071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1084</v>
      </c>
      <c r="P327" s="3">
        <v>1111</v>
      </c>
      <c r="Q327" s="3">
        <f>VLOOKUP($A327,'SegEnds_NonXtal_BW#'!$A:$Z,12,FALSE)+VLOOKUP($A327,A:AL,16,FALSE)-50</f>
        <v>1117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1126</v>
      </c>
      <c r="V327" s="3">
        <v>1136</v>
      </c>
      <c r="W327" s="3">
        <f>IF(ISERROR(VLOOKUP($A327,'SegEnds_NonXtal_BW#'!$A:$Z,16,FALSE)+VLOOKUP($A327,A:AL,22,FALSE)-50),"-",(VLOOKUP($A327,'SegEnds_NonXtal_BW#'!$A:$Z,16,FALSE)+VLOOKUP($A327,A:AL,22,FALSE)-50))</f>
        <v>1154</v>
      </c>
      <c r="X327" s="3">
        <f>IF(ISERROR(VLOOKUP($A327,'SegEnds_NonXtal_BW#'!$A:$Z,17,FALSE)+VLOOKUP($A327,A:AL,25,FALSE)-50),"-",(VLOOKUP($A327,'SegEnds_NonXtal_BW#'!$A:$Z,17,FALSE)+VLOOKUP($A327,A:AL,25,FALSE)-50))</f>
        <v>1162</v>
      </c>
      <c r="Y327" s="3">
        <v>1162</v>
      </c>
      <c r="Z327" s="3">
        <f>Y327+2</f>
        <v>1164</v>
      </c>
      <c r="AA327" s="3">
        <f>IF(ISERROR(VLOOKUP($A327,'SegEnds_NonXtal_BW#'!$A:$Z,19,FALSE)+VLOOKUP($A327,A:AL,28,FALSE)-50),"-",(VLOOKUP($A327,'SegEnds_NonXtal_BW#'!$A:$Z,19,FALSE)+VLOOKUP($A327,A:AL,28,FALSE)-50))</f>
        <v>1168</v>
      </c>
      <c r="AB327" s="3">
        <v>1182</v>
      </c>
      <c r="AC327" s="3">
        <f>IF(ISERROR((VLOOKUP($A327,'SegEnds_NonXtal_BW#'!$A:$Z,20,FALSE)+VLOOKUP($A327,A:AL,28,FALSE)-50)),"-",(VLOOKUP($A327,'SegEnds_NonXtal_BW#'!$A:$Z,20,FALSE)+VLOOKUP($A327,A:AL,28,FALSE)-50))</f>
        <v>1201</v>
      </c>
      <c r="AD327" s="3">
        <f>IF(ISERROR(VLOOKUP($A327,'SegEnds_NonXtal_BW#'!$A:$Z,21,FALSE)+VLOOKUP($A327,A:AL,31,FALSE)-50),"-",(VLOOKUP($A327,'SegEnds_NonXtal_BW#'!$A:$Z,21,FALSE)+VLOOKUP($A327,A:AL,31,FALSE)-50))</f>
        <v>1213</v>
      </c>
      <c r="AE327" s="3">
        <v>1234</v>
      </c>
      <c r="AF327" s="3">
        <f>IF(ISERROR((VLOOKUP($A327,'SegEnds_NonXtal_BW#'!$A:$Z,22,FALSE)+VLOOKUP($A327,A:AL,31,FALSE)-50)),"-",(VLOOKUP($A327,'SegEnds_NonXtal_BW#'!$A:$Z,22,FALSE)+VLOOKUP($A327,A:AL,31,FALSE)-50))</f>
        <v>1237</v>
      </c>
      <c r="AG327" s="3">
        <f>IF(ISERROR(VLOOKUP($A327,'SegEnds_NonXtal_BW#'!$A:$Z,23,FALSE)+VLOOKUP($A327,A:AL,34,FALSE)-50),"-",(VLOOKUP($A327,'SegEnds_NonXtal_BW#'!$A:$Z,23,FALSE)+VLOOKUP($A327,A:AL,34,FALSE)-50))</f>
        <v>1244</v>
      </c>
      <c r="AH327" s="3">
        <v>1263</v>
      </c>
      <c r="AI327" s="3">
        <f>IF(ISERROR((VLOOKUP($A327,'SegEnds_NonXtal_BW#'!$A:$Z,24,FALSE)+VLOOKUP($A327,A:AL,34,FALSE)-50)),"-",(VLOOKUP($A327,'SegEnds_NonXtal_BW#'!$A:$Z,24,FALSE)+VLOOKUP($A327,A:AL,34,FALSE)-50))</f>
        <v>1269</v>
      </c>
      <c r="AJ327" s="3">
        <f>IF(ISERROR(VLOOKUP($A327,'SegEnds_NonXtal_BW#'!$A:$Z,25,FALSE)+VLOOKUP($A327,A:AL,37,FALSE)-50),"-",(VLOOKUP($A327,'SegEnds_NonXtal_BW#'!$A:$Z,25,FALSE)+VLOOKUP($A327,A:AL,37,FALSE)-50))</f>
        <v>1270</v>
      </c>
      <c r="AK327" s="3">
        <v>1273</v>
      </c>
      <c r="AL327" s="3">
        <f>IF(ISERROR((VLOOKUP($A327,'SegEnds_NonXtal_BW#'!$A:$Z,26,FALSE)+VLOOKUP($A327,A:AL,37,FALSE)-50)),"-",(VLOOKUP($A327,'SegEnds_NonXtal_BW#'!$A:$Z,26,FALSE)+VLOOKUP($A327,A:AL,37,FALSE)-50))</f>
        <v>1286</v>
      </c>
      <c r="AM327" s="28" t="str">
        <f>VLOOKUP(A327,Classification!A:B,2,FALSE)</f>
        <v>B2</v>
      </c>
      <c r="AN327" s="28" t="b">
        <f>AND(IF(Y327="-",IF(AA327-W327&gt;3,TRUE,FALSE),TRUE),IF(M327="-",IF(O327-K327&gt;3,TRUE,FALSE),TRUE),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    <v>1</v>
      </c>
      <c r="AO327" s="3" t="str">
        <f>IF(ISERROR(MATCH(A327,'SegEnds_Xtal_Prot#'!B:B, 0)), "NoXtal", "Xtal")</f>
        <v>NoXtal</v>
      </c>
      <c r="AP327" s="3">
        <f>IF(ISERROR(F327-E327),"-",F327-E327)</f>
        <v>2</v>
      </c>
      <c r="AQ327" s="3">
        <f>IF(ISERROR(I327-H327),"-",I327-H327)</f>
        <v>1</v>
      </c>
      <c r="AR327" s="3" t="str">
        <f>IF(ISERROR(L327-K327),"-",L327-K327)</f>
        <v>-</v>
      </c>
      <c r="AS327" s="3" t="str">
        <f>IF(ISERROR(O327-N327),"-",O327-N327)</f>
        <v>-</v>
      </c>
      <c r="AT327" s="3" t="str">
        <f>IF(ISERROR(R327-Q327),"-",R327-Q327)</f>
        <v>-</v>
      </c>
      <c r="AU327" s="3" t="str">
        <f>IF(ISERROR(U327-T327),"-",U327-T327)</f>
        <v>-</v>
      </c>
      <c r="AV327" s="3">
        <f>IF(ISERROR(X327-W327),"-",X327-W327)</f>
        <v>8</v>
      </c>
      <c r="AW327" s="3">
        <f>IF(ISERROR(AA327-Z327),"-",AA327-Z327)</f>
        <v>4</v>
      </c>
      <c r="AX327" s="3">
        <f>IF(ISERROR(AD327-AC327),"-",AD327-AC327)</f>
        <v>12</v>
      </c>
      <c r="AY327" s="3">
        <f>IF(ISERROR(AG327-AF327),"-",AG327-AF327)</f>
        <v>7</v>
      </c>
      <c r="AZ327" s="3">
        <f>IF(ISERROR(AJ327-AI327),"-",AJ327-AI327)</f>
        <v>1</v>
      </c>
      <c r="BA327" s="3">
        <f>IF(ISERROR(LEN(VLOOKUP(A327,Seqs!A:E,2,FALSE))-AL327),"-",LEN(VLOOKUP(A327,Seqs!A:E,2,FALSE))-AL327)</f>
        <v>60</v>
      </c>
      <c r="BB327" s="16">
        <f>J327-D327</f>
        <v>31</v>
      </c>
      <c r="BC327" s="9" t="str">
        <f>IF(ISERROR(V327-S327),"-",V327-S327)</f>
        <v>-</v>
      </c>
      <c r="BD327" s="3">
        <f>J327-D327</f>
        <v>31</v>
      </c>
      <c r="BE327" s="3">
        <f>AE327-AB327</f>
        <v>52</v>
      </c>
    </row>
    <row r="328" spans="1:59" s="3" customFormat="1" x14ac:dyDescent="0.2">
      <c r="A328" s="3" t="s">
        <v>1193</v>
      </c>
      <c r="B328" s="3" t="str">
        <f>LOWER(VLOOKUP(A328,Xtal_Templ!A:B,2,FALSE))</f>
        <v>crfr1_human</v>
      </c>
      <c r="C328" s="3">
        <f>VLOOKUP($A328,'SegEnds_NonXtal_BW#'!$A:$Z,3,FALSE)+D328-50</f>
        <v>391</v>
      </c>
      <c r="D328" s="3">
        <v>418</v>
      </c>
      <c r="E328" s="3">
        <f>IF(ISERROR(VLOOKUP($A328,'SegEnds_NonXtal_BW#'!$A:$Z,4,FALSE)+VLOOKUP($A328,A:AL,4,FALSE)-50),"-",(VLOOKUP($A328,'SegEnds_NonXtal_BW#'!$A:$Z,4,FALSE)+VLOOKUP($A328,A:AL,4,FALSE)-50))</f>
        <v>428</v>
      </c>
      <c r="F328" s="3">
        <f>G328-2</f>
        <v>430</v>
      </c>
      <c r="G328" s="3">
        <v>432</v>
      </c>
      <c r="H328" s="3">
        <f>G328+1</f>
        <v>433</v>
      </c>
      <c r="I328" s="3">
        <f>H328+1</f>
        <v>434</v>
      </c>
      <c r="J328" s="3">
        <v>453</v>
      </c>
      <c r="K328" s="3">
        <f>VLOOKUP($A328,'SegEnds_NonXtal_BW#'!$A:$Z,8,FALSE)+VLOOKUP($A328,A:AL,10,FALSE)-50</f>
        <v>466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473</v>
      </c>
      <c r="P328" s="3">
        <v>500</v>
      </c>
      <c r="Q328" s="3">
        <f>VLOOKUP($A328,'SegEnds_NonXtal_BW#'!$A:$Z,12,FALSE)+VLOOKUP($A328,A:AL,16,FALSE)-50</f>
        <v>506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514</v>
      </c>
      <c r="V328" s="3">
        <v>524</v>
      </c>
      <c r="W328" s="3">
        <f>IF(ISERROR(VLOOKUP($A328,'SegEnds_NonXtal_BW#'!$A:$Z,16,FALSE)+VLOOKUP($A328,A:AL,22,FALSE)-50),"-",(VLOOKUP($A328,'SegEnds_NonXtal_BW#'!$A:$Z,16,FALSE)+VLOOKUP($A328,A:AL,22,FALSE)-50))</f>
        <v>542</v>
      </c>
      <c r="X328" s="3">
        <f>IF(ISERROR(VLOOKUP($A328,'SegEnds_NonXtal_BW#'!$A:$Z,17,FALSE)+VLOOKUP($A328,A:AL,25,FALSE)-50),"-",(VLOOKUP($A328,'SegEnds_NonXtal_BW#'!$A:$Z,17,FALSE)+VLOOKUP($A328,A:AL,25,FALSE)-50))</f>
        <v>562</v>
      </c>
      <c r="Y328" s="3">
        <v>562</v>
      </c>
      <c r="Z328" s="3">
        <f>Y328+2</f>
        <v>564</v>
      </c>
      <c r="AA328" s="3">
        <f>IF(ISERROR(VLOOKUP($A328,'SegEnds_NonXtal_BW#'!$A:$Z,19,FALSE)+VLOOKUP($A328,A:AL,28,FALSE)-50),"-",(VLOOKUP($A328,'SegEnds_NonXtal_BW#'!$A:$Z,19,FALSE)+VLOOKUP($A328,A:AL,28,FALSE)-50))</f>
        <v>567</v>
      </c>
      <c r="AB328" s="3">
        <v>581</v>
      </c>
      <c r="AC328" s="3">
        <f>IF(ISERROR((VLOOKUP($A328,'SegEnds_NonXtal_BW#'!$A:$Z,20,FALSE)+VLOOKUP($A328,A:AL,28,FALSE)-50)),"-",(VLOOKUP($A328,'SegEnds_NonXtal_BW#'!$A:$Z,20,FALSE)+VLOOKUP($A328,A:AL,28,FALSE)-50))</f>
        <v>600</v>
      </c>
      <c r="AD328" s="3">
        <f>IF(ISERROR(VLOOKUP($A328,'SegEnds_NonXtal_BW#'!$A:$Z,21,FALSE)+VLOOKUP($A328,A:AL,31,FALSE)-50),"-",(VLOOKUP($A328,'SegEnds_NonXtal_BW#'!$A:$Z,21,FALSE)+VLOOKUP($A328,A:AL,31,FALSE)-50))</f>
        <v>604</v>
      </c>
      <c r="AE328" s="3">
        <v>625</v>
      </c>
      <c r="AF328" s="3">
        <f>IF(ISERROR((VLOOKUP($A328,'SegEnds_NonXtal_BW#'!$A:$Z,22,FALSE)+VLOOKUP($A328,A:AL,31,FALSE)-50)),"-",(VLOOKUP($A328,'SegEnds_NonXtal_BW#'!$A:$Z,22,FALSE)+VLOOKUP($A328,A:AL,31,FALSE)-50))</f>
        <v>628</v>
      </c>
      <c r="AG328" s="3">
        <f>IF(ISERROR(VLOOKUP($A328,'SegEnds_NonXtal_BW#'!$A:$Z,23,FALSE)+VLOOKUP($A328,A:AL,34,FALSE)-50),"-",(VLOOKUP($A328,'SegEnds_NonXtal_BW#'!$A:$Z,23,FALSE)+VLOOKUP($A328,A:AL,34,FALSE)-50))</f>
        <v>633</v>
      </c>
      <c r="AH328" s="3">
        <v>655</v>
      </c>
      <c r="AI328" s="3">
        <f>IF(ISERROR((VLOOKUP($A328,'SegEnds_NonXtal_BW#'!$A:$Z,24,FALSE)+VLOOKUP($A328,A:AL,34,FALSE)-50)),"-",(VLOOKUP($A328,'SegEnds_NonXtal_BW#'!$A:$Z,24,FALSE)+VLOOKUP($A328,A:AL,34,FALSE)-50))</f>
        <v>661</v>
      </c>
      <c r="AJ328" s="3">
        <f>IF(ISERROR(VLOOKUP($A328,'SegEnds_NonXtal_BW#'!$A:$Z,25,FALSE)+VLOOKUP($A328,A:AL,37,FALSE)-50),"-",(VLOOKUP($A328,'SegEnds_NonXtal_BW#'!$A:$Z,25,FALSE)+VLOOKUP($A328,A:AL,37,FALSE)-50))</f>
        <v>662</v>
      </c>
      <c r="AK328" s="3">
        <v>665</v>
      </c>
      <c r="AL328" s="3">
        <f>IF(ISERROR((VLOOKUP($A328,'SegEnds_NonXtal_BW#'!$A:$Z,26,FALSE)+VLOOKUP($A328,A:AL,37,FALSE)-50)),"-",(VLOOKUP($A328,'SegEnds_NonXtal_BW#'!$A:$Z,26,FALSE)+VLOOKUP($A328,A:AL,37,FALSE)-50))</f>
        <v>678</v>
      </c>
      <c r="AM328" s="28" t="str">
        <f>VLOOKUP(A328,Classification!A:B,2,FALSE)</f>
        <v>B2</v>
      </c>
      <c r="AN328" s="28" t="b">
        <f>AND(IF(Y328="-",IF(AA328-W328&gt;3,TRUE,FALSE),TRUE),IF(M328="-",IF(O328-K328&gt;3,TRUE,FALSE),TRUE),C328&lt;E328,OR(E328&lt;F328,F328="-"),OR(F328&lt;H328,F328="-"),OR(H328&lt;I328,H328="-"),I328&lt;K328,OR(K328&lt;L328,L328="-"),OR(L328&lt;N328,L328="-"),OR(N328&lt;O328,N328="-"),O328&lt;Q328,OR(Q328&lt;R328,R328="-"),OR(R328&lt;T328,R328="-"),OR(T328&lt;U328,T328="-"),U328&lt;W328,OR(W328&lt;X328,X328="-"),OR(X328&lt;Z328,X328="-"),OR(Z328&lt;AA328,Z328="-"),AA328&lt;AC328,AC328&lt;AD328,AD328&lt;AF328,AF328&lt;AG328,AG328&lt;AI328,OR(AI328&lt;AJ328,AJ328="-"),OR(AJ328&lt;AL328,AJ328="-"))</f>
        <v>1</v>
      </c>
      <c r="AO328" s="3" t="str">
        <f>IF(ISERROR(MATCH(A328,'SegEnds_Xtal_Prot#'!B:B, 0)), "NoXtal", "Xtal")</f>
        <v>NoXtal</v>
      </c>
      <c r="AP328" s="3">
        <f>IF(ISERROR(F328-E328),"-",F328-E328)</f>
        <v>2</v>
      </c>
      <c r="AQ328" s="3">
        <f>IF(ISERROR(I328-H328),"-",I328-H328)</f>
        <v>1</v>
      </c>
      <c r="AR328" s="3" t="str">
        <f>IF(ISERROR(L328-K328),"-",L328-K328)</f>
        <v>-</v>
      </c>
      <c r="AS328" s="3" t="str">
        <f>IF(ISERROR(O328-N328),"-",O328-N328)</f>
        <v>-</v>
      </c>
      <c r="AT328" s="3" t="str">
        <f>IF(ISERROR(R328-Q328),"-",R328-Q328)</f>
        <v>-</v>
      </c>
      <c r="AU328" s="3" t="str">
        <f>IF(ISERROR(U328-T328),"-",U328-T328)</f>
        <v>-</v>
      </c>
      <c r="AV328" s="3">
        <f>IF(ISERROR(X328-W328),"-",X328-W328)</f>
        <v>20</v>
      </c>
      <c r="AW328" s="3">
        <f>IF(ISERROR(AA328-Z328),"-",AA328-Z328)</f>
        <v>3</v>
      </c>
      <c r="AX328" s="3">
        <f>IF(ISERROR(AD328-AC328),"-",AD328-AC328)</f>
        <v>4</v>
      </c>
      <c r="AY328" s="3">
        <f>IF(ISERROR(AG328-AF328),"-",AG328-AF328)</f>
        <v>5</v>
      </c>
      <c r="AZ328" s="3">
        <f>IF(ISERROR(AJ328-AI328),"-",AJ328-AI328)</f>
        <v>1</v>
      </c>
      <c r="BA328" s="3">
        <f>IF(ISERROR(LEN(VLOOKUP(A328,Seqs!A:E,2,FALSE))-AL328),"-",LEN(VLOOKUP(A328,Seqs!A:E,2,FALSE))-AL328)</f>
        <v>15</v>
      </c>
      <c r="BB328" s="16">
        <f>J328-D328</f>
        <v>35</v>
      </c>
      <c r="BC328" s="9" t="str">
        <f>IF(ISERROR(V328-S328),"-",V328-S328)</f>
        <v>-</v>
      </c>
      <c r="BD328" s="3">
        <f>J328-D328</f>
        <v>35</v>
      </c>
      <c r="BE328" s="3">
        <f>AE328-AB328</f>
        <v>44</v>
      </c>
      <c r="BF328" s="3">
        <f>AH328-AE328</f>
        <v>30</v>
      </c>
    </row>
    <row r="329" spans="1:59" s="3" customFormat="1" x14ac:dyDescent="0.2">
      <c r="A329" s="3" t="s">
        <v>1194</v>
      </c>
      <c r="B329" s="3" t="str">
        <f>LOWER(VLOOKUP(A329,Xtal_Templ!A:B,2,FALSE))</f>
        <v>crfr1_human</v>
      </c>
      <c r="C329" s="3">
        <f>VLOOKUP($A329,'SegEnds_NonXtal_BW#'!$A:$Z,3,FALSE)+D329-50</f>
        <v>616</v>
      </c>
      <c r="D329" s="3">
        <v>643</v>
      </c>
      <c r="E329" s="3">
        <f>IF(ISERROR(VLOOKUP($A329,'SegEnds_NonXtal_BW#'!$A:$Z,4,FALSE)+VLOOKUP($A329,A:AL,4,FALSE)-50),"-",(VLOOKUP($A329,'SegEnds_NonXtal_BW#'!$A:$Z,4,FALSE)+VLOOKUP($A329,A:AL,4,FALSE)-50))</f>
        <v>653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659</v>
      </c>
      <c r="J329" s="3">
        <v>672</v>
      </c>
      <c r="K329" s="3">
        <f>VLOOKUP($A329,'SegEnds_NonXtal_BW#'!$A:$Z,8,FALSE)+VLOOKUP($A329,A:AL,10,FALSE)-50</f>
        <v>685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692</v>
      </c>
      <c r="P329" s="3">
        <v>719</v>
      </c>
      <c r="Q329" s="3">
        <f>VLOOKUP($A329,'SegEnds_NonXtal_BW#'!$A:$Z,12,FALSE)+VLOOKUP($A329,A:AL,16,FALSE)-50</f>
        <v>725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733</v>
      </c>
      <c r="V329" s="3">
        <v>743</v>
      </c>
      <c r="W329" s="3">
        <f>IF(ISERROR(VLOOKUP($A329,'SegEnds_NonXtal_BW#'!$A:$Z,16,FALSE)+VLOOKUP($A329,A:AL,22,FALSE)-50),"-",(VLOOKUP($A329,'SegEnds_NonXtal_BW#'!$A:$Z,16,FALSE)+VLOOKUP($A329,A:AL,22,FALSE)-50))</f>
        <v>761</v>
      </c>
      <c r="X329" s="3">
        <f>IF(ISERROR(VLOOKUP($A329,'SegEnds_NonXtal_BW#'!$A:$Z,17,FALSE)+VLOOKUP($A329,A:AL,25,FALSE)-50),"-",(VLOOKUP($A329,'SegEnds_NonXtal_BW#'!$A:$Z,17,FALSE)+VLOOKUP($A329,A:AL,25,FALSE)-50))</f>
        <v>778</v>
      </c>
      <c r="Y329" s="3">
        <v>778</v>
      </c>
      <c r="Z329" s="3">
        <f>Y329+2</f>
        <v>780</v>
      </c>
      <c r="AA329" s="3">
        <f>IF(ISERROR(VLOOKUP($A329,'SegEnds_NonXtal_BW#'!$A:$Z,19,FALSE)+VLOOKUP($A329,A:AL,28,FALSE)-50),"-",(VLOOKUP($A329,'SegEnds_NonXtal_BW#'!$A:$Z,19,FALSE)+VLOOKUP($A329,A:AL,28,FALSE)-50))</f>
        <v>783</v>
      </c>
      <c r="AB329" s="3">
        <v>797</v>
      </c>
      <c r="AC329" s="3">
        <f>IF(ISERROR((VLOOKUP($A329,'SegEnds_NonXtal_BW#'!$A:$Z,20,FALSE)+VLOOKUP($A329,A:AL,28,FALSE)-50)),"-",(VLOOKUP($A329,'SegEnds_NonXtal_BW#'!$A:$Z,20,FALSE)+VLOOKUP($A329,A:AL,28,FALSE)-50))</f>
        <v>816</v>
      </c>
      <c r="AD329" s="3">
        <f>IF(ISERROR(VLOOKUP($A329,'SegEnds_NonXtal_BW#'!$A:$Z,21,FALSE)+VLOOKUP($A329,A:AL,31,FALSE)-50),"-",(VLOOKUP($A329,'SegEnds_NonXtal_BW#'!$A:$Z,21,FALSE)+VLOOKUP($A329,A:AL,31,FALSE)-50))</f>
        <v>827</v>
      </c>
      <c r="AE329" s="3">
        <v>848</v>
      </c>
      <c r="AF329" s="3">
        <f>IF(ISERROR((VLOOKUP($A329,'SegEnds_NonXtal_BW#'!$A:$Z,22,FALSE)+VLOOKUP($A329,A:AL,31,FALSE)-50)),"-",(VLOOKUP($A329,'SegEnds_NonXtal_BW#'!$A:$Z,22,FALSE)+VLOOKUP($A329,A:AL,31,FALSE)-50))</f>
        <v>851</v>
      </c>
      <c r="AG329" s="3">
        <f>IF(ISERROR(VLOOKUP($A329,'SegEnds_NonXtal_BW#'!$A:$Z,23,FALSE)+VLOOKUP($A329,A:AL,34,FALSE)-50),"-",(VLOOKUP($A329,'SegEnds_NonXtal_BW#'!$A:$Z,23,FALSE)+VLOOKUP($A329,A:AL,34,FALSE)-50))</f>
        <v>857</v>
      </c>
      <c r="AH329" s="3">
        <v>876</v>
      </c>
      <c r="AI329" s="3">
        <f>IF(ISERROR((VLOOKUP($A329,'SegEnds_NonXtal_BW#'!$A:$Z,24,FALSE)+VLOOKUP($A329,A:AL,34,FALSE)-50)),"-",(VLOOKUP($A329,'SegEnds_NonXtal_BW#'!$A:$Z,24,FALSE)+VLOOKUP($A329,A:AL,34,FALSE)-50))</f>
        <v>882</v>
      </c>
      <c r="AJ329" s="3">
        <f>IF(ISERROR(VLOOKUP($A329,'SegEnds_NonXtal_BW#'!$A:$Z,25,FALSE)+VLOOKUP($A329,A:AL,37,FALSE)-50),"-",(VLOOKUP($A329,'SegEnds_NonXtal_BW#'!$A:$Z,25,FALSE)+VLOOKUP($A329,A:AL,37,FALSE)-50))</f>
        <v>883</v>
      </c>
      <c r="AK329" s="3">
        <v>886</v>
      </c>
      <c r="AL329" s="3">
        <f>IF(ISERROR((VLOOKUP($A329,'SegEnds_NonXtal_BW#'!$A:$Z,26,FALSE)+VLOOKUP($A329,A:AL,37,FALSE)-50)),"-",(VLOOKUP($A329,'SegEnds_NonXtal_BW#'!$A:$Z,26,FALSE)+VLOOKUP($A329,A:AL,37,FALSE)-50))</f>
        <v>899</v>
      </c>
      <c r="AM329" s="28" t="str">
        <f>VLOOKUP(A329,Classification!A:B,2,FALSE)</f>
        <v>B2</v>
      </c>
      <c r="AN329" s="28" t="b">
        <f>AND(IF(Y329="-",IF(AA329-W329&gt;3,TRUE,FALSE),TRUE),IF(M329="-",IF(O329-K329&gt;3,TRUE,FALSE),TRUE),C329&lt;E329,OR(E329&lt;F329,F329="-"),OR(F329&lt;H329,F329="-"),OR(H329&lt;I329,H329="-"),I329&lt;K329,OR(K329&lt;L329,L329="-"),OR(L329&lt;N329,L329="-"),OR(N329&lt;O329,N329="-"),O329&lt;Q329,OR(Q329&lt;R329,R329="-"),OR(R329&lt;T329,R329="-"),OR(T329&lt;U329,T329="-"),U329&lt;W329,OR(W329&lt;X329,X329="-"),OR(X329&lt;Z329,X329="-"),OR(Z329&lt;AA329,Z329="-"),AA329&lt;AC329,AC329&lt;AD329,AD329&lt;AF329,AF329&lt;AG329,AG329&lt;AI329,OR(AI329&lt;AJ329,AJ329="-"),OR(AJ329&lt;AL329,AJ329="-"))</f>
        <v>1</v>
      </c>
      <c r="AO329" s="3" t="str">
        <f>IF(ISERROR(MATCH(A329,'SegEnds_Xtal_Prot#'!B:B, 0)), "NoXtal", "Xtal")</f>
        <v>NoXtal</v>
      </c>
      <c r="AP329" s="3" t="str">
        <f>IF(ISERROR(F329-E329),"-",F329-E329)</f>
        <v>-</v>
      </c>
      <c r="AQ329" s="3" t="str">
        <f>IF(ISERROR(I329-H329),"-",I329-H329)</f>
        <v>-</v>
      </c>
      <c r="AR329" s="3" t="str">
        <f>IF(ISERROR(L329-K329),"-",L329-K329)</f>
        <v>-</v>
      </c>
      <c r="AS329" s="3" t="str">
        <f>IF(ISERROR(O329-N329),"-",O329-N329)</f>
        <v>-</v>
      </c>
      <c r="AT329" s="3" t="str">
        <f>IF(ISERROR(R329-Q329),"-",R329-Q329)</f>
        <v>-</v>
      </c>
      <c r="AU329" s="3" t="str">
        <f>IF(ISERROR(U329-T329),"-",U329-T329)</f>
        <v>-</v>
      </c>
      <c r="AV329" s="3">
        <f>IF(ISERROR(X329-W329),"-",X329-W329)</f>
        <v>17</v>
      </c>
      <c r="AW329" s="3">
        <f>IF(ISERROR(AA329-Z329),"-",AA329-Z329)</f>
        <v>3</v>
      </c>
      <c r="AX329" s="3">
        <f>IF(ISERROR(AD329-AC329),"-",AD329-AC329)</f>
        <v>11</v>
      </c>
      <c r="AY329" s="3">
        <f>IF(ISERROR(AG329-AF329),"-",AG329-AF329)</f>
        <v>6</v>
      </c>
      <c r="AZ329" s="3">
        <f>IF(ISERROR(AJ329-AI329),"-",AJ329-AI329)</f>
        <v>1</v>
      </c>
      <c r="BA329" s="3">
        <f>IF(ISERROR(LEN(VLOOKUP(A329,Seqs!A:E,2,FALSE))-AL329),"-",LEN(VLOOKUP(A329,Seqs!A:E,2,FALSE))-AL329)</f>
        <v>118</v>
      </c>
      <c r="BB329" s="16">
        <f>J329-D329</f>
        <v>29</v>
      </c>
      <c r="BC329" s="9" t="str">
        <f>IF(ISERROR(V329-S329),"-",V329-S329)</f>
        <v>-</v>
      </c>
      <c r="BD329" s="3">
        <f>J329-D329</f>
        <v>29</v>
      </c>
      <c r="BE329" s="3">
        <f>AE329-AB329</f>
        <v>51</v>
      </c>
    </row>
    <row r="330" spans="1:59" s="3" customFormat="1" x14ac:dyDescent="0.2">
      <c r="A330" s="3" t="s">
        <v>1195</v>
      </c>
      <c r="B330" s="3" t="str">
        <f>LOWER(VLOOKUP(A330,Xtal_Templ!A:B,2,FALSE))</f>
        <v>crfr1_human</v>
      </c>
      <c r="C330" s="3">
        <f>VLOOKUP($A330,'SegEnds_NonXtal_BW#'!$A:$Z,3,FALSE)+D330-50</f>
        <v>256</v>
      </c>
      <c r="D330" s="3">
        <v>283</v>
      </c>
      <c r="E330" s="3">
        <f>IF(ISERROR(VLOOKUP($A330,'SegEnds_NonXtal_BW#'!$A:$Z,4,FALSE)+VLOOKUP($A330,A:AL,4,FALSE)-50),"-",(VLOOKUP($A330,'SegEnds_NonXtal_BW#'!$A:$Z,4,FALSE)+VLOOKUP($A330,A:AL,4,FALSE)-50))</f>
        <v>293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303</v>
      </c>
      <c r="J330" s="3">
        <v>316</v>
      </c>
      <c r="K330" s="3">
        <f>VLOOKUP($A330,'SegEnds_NonXtal_BW#'!$A:$Z,8,FALSE)+VLOOKUP($A330,A:AL,10,FALSE)-50</f>
        <v>329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336</v>
      </c>
      <c r="P330" s="3">
        <v>363</v>
      </c>
      <c r="Q330" s="3">
        <f>VLOOKUP($A330,'SegEnds_NonXtal_BW#'!$A:$Z,12,FALSE)+VLOOKUP($A330,A:AL,16,FALSE)-50</f>
        <v>369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377</v>
      </c>
      <c r="V330" s="3">
        <v>387</v>
      </c>
      <c r="W330" s="3">
        <f>IF(ISERROR(VLOOKUP($A330,'SegEnds_NonXtal_BW#'!$A:$Z,16,FALSE)+VLOOKUP($A330,A:AL,22,FALSE)-50),"-",(VLOOKUP($A330,'SegEnds_NonXtal_BW#'!$A:$Z,16,FALSE)+VLOOKUP($A330,A:AL,22,FALSE)-50))</f>
        <v>405</v>
      </c>
      <c r="X330" s="3">
        <f>IF(ISERROR(VLOOKUP($A330,'SegEnds_NonXtal_BW#'!$A:$Z,17,FALSE)+VLOOKUP($A330,A:AL,25,FALSE)-50),"-",(VLOOKUP($A330,'SegEnds_NonXtal_BW#'!$A:$Z,17,FALSE)+VLOOKUP($A330,A:AL,25,FALSE)-50))</f>
        <v>420</v>
      </c>
      <c r="Y330" s="3">
        <v>420</v>
      </c>
      <c r="Z330" s="3">
        <f>Y330+2</f>
        <v>422</v>
      </c>
      <c r="AA330" s="3">
        <f>IF(ISERROR(VLOOKUP($A330,'SegEnds_NonXtal_BW#'!$A:$Z,19,FALSE)+VLOOKUP($A330,A:AL,28,FALSE)-50),"-",(VLOOKUP($A330,'SegEnds_NonXtal_BW#'!$A:$Z,19,FALSE)+VLOOKUP($A330,A:AL,28,FALSE)-50))</f>
        <v>424</v>
      </c>
      <c r="AB330" s="3">
        <v>438</v>
      </c>
      <c r="AC330" s="3">
        <f>IF(ISERROR((VLOOKUP($A330,'SegEnds_NonXtal_BW#'!$A:$Z,20,FALSE)+VLOOKUP($A330,A:AL,28,FALSE)-50)),"-",(VLOOKUP($A330,'SegEnds_NonXtal_BW#'!$A:$Z,20,FALSE)+VLOOKUP($A330,A:AL,28,FALSE)-50))</f>
        <v>457</v>
      </c>
      <c r="AD330" s="3">
        <f>IF(ISERROR(VLOOKUP($A330,'SegEnds_NonXtal_BW#'!$A:$Z,21,FALSE)+VLOOKUP($A330,A:AL,31,FALSE)-50),"-",(VLOOKUP($A330,'SegEnds_NonXtal_BW#'!$A:$Z,21,FALSE)+VLOOKUP($A330,A:AL,31,FALSE)-50))</f>
        <v>471</v>
      </c>
      <c r="AE330" s="3">
        <v>492</v>
      </c>
      <c r="AF330" s="3">
        <f>IF(ISERROR((VLOOKUP($A330,'SegEnds_NonXtal_BW#'!$A:$Z,22,FALSE)+VLOOKUP($A330,A:AL,31,FALSE)-50)),"-",(VLOOKUP($A330,'SegEnds_NonXtal_BW#'!$A:$Z,22,FALSE)+VLOOKUP($A330,A:AL,31,FALSE)-50))</f>
        <v>492</v>
      </c>
      <c r="AG330" s="3">
        <f>IF(ISERROR(VLOOKUP($A330,'SegEnds_NonXtal_BW#'!$A:$Z,23,FALSE)+VLOOKUP($A330,A:AL,34,FALSE)-50),"-",(VLOOKUP($A330,'SegEnds_NonXtal_BW#'!$A:$Z,23,FALSE)+VLOOKUP($A330,A:AL,34,FALSE)-50))</f>
        <v>499</v>
      </c>
      <c r="AH330" s="3">
        <v>518</v>
      </c>
      <c r="AI330" s="3">
        <f>IF(ISERROR((VLOOKUP($A330,'SegEnds_NonXtal_BW#'!$A:$Z,24,FALSE)+VLOOKUP($A330,A:AL,34,FALSE)-50)),"-",(VLOOKUP($A330,'SegEnds_NonXtal_BW#'!$A:$Z,24,FALSE)+VLOOKUP($A330,A:AL,34,FALSE)-50))</f>
        <v>524</v>
      </c>
      <c r="AJ330" s="3">
        <f>IF(ISERROR(VLOOKUP($A330,'SegEnds_NonXtal_BW#'!$A:$Z,25,FALSE)+VLOOKUP($A330,A:AL,37,FALSE)-50),"-",(VLOOKUP($A330,'SegEnds_NonXtal_BW#'!$A:$Z,25,FALSE)+VLOOKUP($A330,A:AL,37,FALSE)-50))</f>
        <v>525</v>
      </c>
      <c r="AK330" s="3">
        <v>528</v>
      </c>
      <c r="AL330" s="3">
        <f>IF(ISERROR((VLOOKUP($A330,'SegEnds_NonXtal_BW#'!$A:$Z,26,FALSE)+VLOOKUP($A330,A:AL,37,FALSE)-50)),"-",(VLOOKUP($A330,'SegEnds_NonXtal_BW#'!$A:$Z,26,FALSE)+VLOOKUP($A330,A:AL,37,FALSE)-50))</f>
        <v>541</v>
      </c>
      <c r="AM330" s="28" t="str">
        <f>VLOOKUP(A330,Classification!A:B,2,FALSE)</f>
        <v>B2</v>
      </c>
      <c r="AN330" s="28" t="b">
        <f>AND(IF(Y330="-",IF(AA330-W330&gt;3,TRUE,FALSE),TRUE),IF(M330="-",IF(O330-K330&gt;3,TRUE,FALSE),TRU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    <v>1</v>
      </c>
      <c r="AO330" s="3" t="str">
        <f>IF(ISERROR(MATCH(A330,'SegEnds_Xtal_Prot#'!B:B, 0)), "NoXtal", "Xtal")</f>
        <v>NoXtal</v>
      </c>
      <c r="AP330" s="3" t="str">
        <f>IF(ISERROR(F330-E330),"-",F330-E330)</f>
        <v>-</v>
      </c>
      <c r="AQ330" s="3" t="str">
        <f>IF(ISERROR(I330-H330),"-",I330-H330)</f>
        <v>-</v>
      </c>
      <c r="AR330" s="3" t="str">
        <f>IF(ISERROR(L330-K330),"-",L330-K330)</f>
        <v>-</v>
      </c>
      <c r="AS330" s="3" t="str">
        <f>IF(ISERROR(O330-N330),"-",O330-N330)</f>
        <v>-</v>
      </c>
      <c r="AT330" s="3" t="str">
        <f>IF(ISERROR(R330-Q330),"-",R330-Q330)</f>
        <v>-</v>
      </c>
      <c r="AU330" s="3" t="str">
        <f>IF(ISERROR(U330-T330),"-",U330-T330)</f>
        <v>-</v>
      </c>
      <c r="AV330" s="3">
        <f>IF(ISERROR(X330-W330),"-",X330-W330)</f>
        <v>15</v>
      </c>
      <c r="AW330" s="3">
        <f>IF(ISERROR(AA330-Z330),"-",AA330-Z330)</f>
        <v>2</v>
      </c>
      <c r="AX330" s="3">
        <f>IF(ISERROR(AD330-AC330),"-",AD330-AC330)</f>
        <v>14</v>
      </c>
      <c r="AY330" s="3">
        <f>IF(ISERROR(AG330-AF330),"-",AG330-AF330)</f>
        <v>7</v>
      </c>
      <c r="AZ330" s="3">
        <f>IF(ISERROR(AJ330-AI330),"-",AJ330-AI330)</f>
        <v>1</v>
      </c>
      <c r="BA330" s="3">
        <f>IF(ISERROR(LEN(VLOOKUP(A330,Seqs!A:E,2,FALSE))-AL330),"-",LEN(VLOOKUP(A330,Seqs!A:E,2,FALSE))-AL330)</f>
        <v>8</v>
      </c>
      <c r="BB330" s="16">
        <f>J330-D330</f>
        <v>33</v>
      </c>
      <c r="BC330" s="9" t="str">
        <f>IF(ISERROR(V330-S330),"-",V330-S330)</f>
        <v>-</v>
      </c>
      <c r="BD330" s="3">
        <f>J330-D330</f>
        <v>33</v>
      </c>
      <c r="BE330" s="3">
        <f>AE330-AB330</f>
        <v>54</v>
      </c>
      <c r="BF330" s="3">
        <f>AH330-AE330</f>
        <v>26</v>
      </c>
    </row>
    <row r="331" spans="1:59" s="3" customFormat="1" x14ac:dyDescent="0.2">
      <c r="A331" s="3" t="s">
        <v>1196</v>
      </c>
      <c r="B331" s="3" t="str">
        <f>LOWER(VLOOKUP(A331,Xtal_Templ!A:B,2,FALSE))</f>
        <v>crfr1_human</v>
      </c>
      <c r="C331" s="3">
        <f>VLOOKUP($A331,'SegEnds_NonXtal_BW#'!$A:$Z,3,FALSE)+D331-50</f>
        <v>2731</v>
      </c>
      <c r="D331" s="3">
        <v>2758</v>
      </c>
      <c r="E331" s="3">
        <f>IF(ISERROR(VLOOKUP($A331,'SegEnds_NonXtal_BW#'!$A:$Z,4,FALSE)+VLOOKUP($A331,A:AL,4,FALSE)-50),"-",(VLOOKUP($A331,'SegEnds_NonXtal_BW#'!$A:$Z,4,FALSE)+VLOOKUP($A331,A:AL,4,FALSE)-50))</f>
        <v>2768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2774</v>
      </c>
      <c r="J331" s="3">
        <v>2787</v>
      </c>
      <c r="K331" s="3">
        <f>VLOOKUP($A331,'SegEnds_NonXtal_BW#'!$A:$Z,8,FALSE)+VLOOKUP($A331,A:AL,10,FALSE)-50</f>
        <v>2800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2807</v>
      </c>
      <c r="P331" s="3">
        <v>2834</v>
      </c>
      <c r="Q331" s="3">
        <f>VLOOKUP($A331,'SegEnds_NonXtal_BW#'!$A:$Z,12,FALSE)+VLOOKUP($A331,A:AL,16,FALSE)-50</f>
        <v>2840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2848</v>
      </c>
      <c r="V331" s="3">
        <v>2858</v>
      </c>
      <c r="W331" s="3">
        <f>IF(ISERROR(VLOOKUP($A331,'SegEnds_NonXtal_BW#'!$A:$Z,16,FALSE)+VLOOKUP($A331,A:AL,22,FALSE)-50),"-",(VLOOKUP($A331,'SegEnds_NonXtal_BW#'!$A:$Z,16,FALSE)+VLOOKUP($A331,A:AL,22,FALSE)-50))</f>
        <v>2876</v>
      </c>
      <c r="X331" s="3">
        <f>IF(ISERROR(VLOOKUP($A331,'SegEnds_NonXtal_BW#'!$A:$Z,17,FALSE)+VLOOKUP($A331,A:AL,25,FALSE)-50),"-",(VLOOKUP($A331,'SegEnds_NonXtal_BW#'!$A:$Z,17,FALSE)+VLOOKUP($A331,A:AL,25,FALSE)-50))</f>
        <v>2886</v>
      </c>
      <c r="Y331" s="3">
        <v>2886</v>
      </c>
      <c r="Z331" s="3">
        <f>Y331+2</f>
        <v>2888</v>
      </c>
      <c r="AA331" s="3">
        <f>IF(ISERROR(VLOOKUP($A331,'SegEnds_NonXtal_BW#'!$A:$Z,19,FALSE)+VLOOKUP($A331,A:AL,28,FALSE)-50),"-",(VLOOKUP($A331,'SegEnds_NonXtal_BW#'!$A:$Z,19,FALSE)+VLOOKUP($A331,A:AL,28,FALSE)-50))</f>
        <v>2891</v>
      </c>
      <c r="AB331" s="3">
        <v>2905</v>
      </c>
      <c r="AC331" s="3">
        <f>IF(ISERROR((VLOOKUP($A331,'SegEnds_NonXtal_BW#'!$A:$Z,20,FALSE)+VLOOKUP($A331,A:AL,28,FALSE)-50)),"-",(VLOOKUP($A331,'SegEnds_NonXtal_BW#'!$A:$Z,20,FALSE)+VLOOKUP($A331,A:AL,28,FALSE)-50))</f>
        <v>2924</v>
      </c>
      <c r="AD331" s="3">
        <f>IF(ISERROR(VLOOKUP($A331,'SegEnds_NonXtal_BW#'!$A:$Z,21,FALSE)+VLOOKUP($A331,A:AL,31,FALSE)-50),"-",(VLOOKUP($A331,'SegEnds_NonXtal_BW#'!$A:$Z,21,FALSE)+VLOOKUP($A331,A:AL,31,FALSE)-50))</f>
        <v>2934</v>
      </c>
      <c r="AE331" s="3">
        <v>2955</v>
      </c>
      <c r="AF331" s="3">
        <f>IF(ISERROR((VLOOKUP($A331,'SegEnds_NonXtal_BW#'!$A:$Z,22,FALSE)+VLOOKUP($A331,A:AL,31,FALSE)-50)),"-",(VLOOKUP($A331,'SegEnds_NonXtal_BW#'!$A:$Z,22,FALSE)+VLOOKUP($A331,A:AL,31,FALSE)-50))</f>
        <v>2958</v>
      </c>
      <c r="AG331" s="3">
        <f>IF(ISERROR(VLOOKUP($A331,'SegEnds_NonXtal_BW#'!$A:$Z,23,FALSE)+VLOOKUP($A331,A:AL,34,FALSE)-50),"-",(VLOOKUP($A331,'SegEnds_NonXtal_BW#'!$A:$Z,23,FALSE)+VLOOKUP($A331,A:AL,34,FALSE)-50))</f>
        <v>2964</v>
      </c>
      <c r="AH331" s="3">
        <v>2983</v>
      </c>
      <c r="AI331" s="3">
        <f>IF(ISERROR((VLOOKUP($A331,'SegEnds_NonXtal_BW#'!$A:$Z,24,FALSE)+VLOOKUP($A331,A:AL,34,FALSE)-50)),"-",(VLOOKUP($A331,'SegEnds_NonXtal_BW#'!$A:$Z,24,FALSE)+VLOOKUP($A331,A:AL,34,FALSE)-50))</f>
        <v>2989</v>
      </c>
      <c r="AJ331" s="3">
        <f>IF(ISERROR(VLOOKUP($A331,'SegEnds_NonXtal_BW#'!$A:$Z,25,FALSE)+VLOOKUP($A331,A:AL,37,FALSE)-50),"-",(VLOOKUP($A331,'SegEnds_NonXtal_BW#'!$A:$Z,25,FALSE)+VLOOKUP($A331,A:AL,37,FALSE)-50))</f>
        <v>2990</v>
      </c>
      <c r="AK331" s="3">
        <v>2993</v>
      </c>
      <c r="AL331" s="3">
        <f>IF(ISERROR((VLOOKUP($A331,'SegEnds_NonXtal_BW#'!$A:$Z,26,FALSE)+VLOOKUP($A331,A:AL,37,FALSE)-50)),"-",(VLOOKUP($A331,'SegEnds_NonXtal_BW#'!$A:$Z,26,FALSE)+VLOOKUP($A331,A:AL,37,FALSE)-50))</f>
        <v>3006</v>
      </c>
      <c r="AM331" s="28" t="str">
        <f>VLOOKUP(A331,Classification!A:B,2,FALSE)</f>
        <v>B2</v>
      </c>
      <c r="AN331" s="28" t="b">
        <f>AND(IF(Y331="-",IF(AA331-W331&gt;3,TRUE,FALSE),TRUE),IF(M331="-",IF(O331-K331&gt;3,TRUE,FALSE),TRU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>IF(ISERROR(F331-E331),"-",F331-E331)</f>
        <v>-</v>
      </c>
      <c r="AQ331" s="3" t="str">
        <f>IF(ISERROR(I331-H331),"-",I331-H331)</f>
        <v>-</v>
      </c>
      <c r="AR331" s="3" t="str">
        <f>IF(ISERROR(L331-K331),"-",L331-K331)</f>
        <v>-</v>
      </c>
      <c r="AS331" s="3" t="str">
        <f>IF(ISERROR(O331-N331),"-",O331-N331)</f>
        <v>-</v>
      </c>
      <c r="AT331" s="3" t="str">
        <f>IF(ISERROR(R331-Q331),"-",R331-Q331)</f>
        <v>-</v>
      </c>
      <c r="AU331" s="3" t="str">
        <f>IF(ISERROR(U331-T331),"-",U331-T331)</f>
        <v>-</v>
      </c>
      <c r="AV331" s="3">
        <f>IF(ISERROR(X331-W331),"-",X331-W331)</f>
        <v>10</v>
      </c>
      <c r="AW331" s="3">
        <f>IF(ISERROR(AA331-Z331),"-",AA331-Z331)</f>
        <v>3</v>
      </c>
      <c r="AX331" s="3">
        <f>IF(ISERROR(AD331-AC331),"-",AD331-AC331)</f>
        <v>10</v>
      </c>
      <c r="AY331" s="3">
        <f>IF(ISERROR(AG331-AF331),"-",AG331-AF331)</f>
        <v>6</v>
      </c>
      <c r="AZ331" s="3">
        <f>IF(ISERROR(AJ331-AI331),"-",AJ331-AI331)</f>
        <v>1</v>
      </c>
      <c r="BA331" s="3">
        <f>IF(ISERROR(LEN(VLOOKUP(A331,Seqs!A:E,2,FALSE))-AL331),"-",LEN(VLOOKUP(A331,Seqs!A:E,2,FALSE))-AL331)</f>
        <v>74</v>
      </c>
      <c r="BB331" s="16">
        <f>J331-D331</f>
        <v>29</v>
      </c>
      <c r="BC331" s="9" t="str">
        <f>IF(ISERROR(V331-S331),"-",V331-S331)</f>
        <v>-</v>
      </c>
      <c r="BD331" s="3">
        <f>J331-D331</f>
        <v>29</v>
      </c>
      <c r="BE331" s="3">
        <f>AE331-AB331</f>
        <v>50</v>
      </c>
    </row>
    <row r="332" spans="1:59" s="3" customFormat="1" x14ac:dyDescent="0.2">
      <c r="A332" s="3" t="s">
        <v>1197</v>
      </c>
      <c r="B332" s="3" t="str">
        <f>LOWER(VLOOKUP(A332,Xtal_Templ!A:B,2,FALSE))</f>
        <v>glr_human</v>
      </c>
      <c r="C332" s="3">
        <f>VLOOKUP($A332,'SegEnds_NonXtal_BW#'!$A:$Z,3,FALSE)+D332-50</f>
        <v>236</v>
      </c>
      <c r="D332" s="3">
        <v>263</v>
      </c>
      <c r="E332" s="3">
        <f>IF(ISERROR(VLOOKUP($A332,'SegEnds_NonXtal_BW#'!$A:$Z,4,FALSE)+VLOOKUP($A332,A:AL,4,FALSE)-50),"-",(VLOOKUP($A332,'SegEnds_NonXtal_BW#'!$A:$Z,4,FALSE)+VLOOKUP($A332,A:AL,4,FALSE)-50))</f>
        <v>273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278</v>
      </c>
      <c r="J332" s="3">
        <v>291</v>
      </c>
      <c r="K332" s="3">
        <f>VLOOKUP($A332,'SegEnds_NonXtal_BW#'!$A:$Z,8,FALSE)+VLOOKUP($A332,A:AL,10,FALSE)-50</f>
        <v>304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312</v>
      </c>
      <c r="P332" s="3">
        <v>339</v>
      </c>
      <c r="Q332" s="3">
        <f>VLOOKUP($A332,'SegEnds_NonXtal_BW#'!$A:$Z,12,FALSE)+VLOOKUP($A332,A:AL,16,FALSE)-50</f>
        <v>345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363</v>
      </c>
      <c r="W332" s="3">
        <f>IF(ISERROR(VLOOKUP($A332,'SegEnds_NonXtal_BW#'!$A:$Z,16,FALSE)+VLOOKUP($A332,A:AL,22,FALSE)-50),"-",(VLOOKUP($A332,'SegEnds_NonXtal_BW#'!$A:$Z,16,FALSE)+VLOOKUP($A332,A:AL,22,FALSE)-50))</f>
        <v>381</v>
      </c>
      <c r="X332" s="3">
        <f>IF(ISERROR(VLOOKUP($A332,'SegEnds_NonXtal_BW#'!$A:$Z,17,FALSE)+VLOOKUP($A332,A:AL,25,FALSE)-50),"-",(VLOOKUP($A332,'SegEnds_NonXtal_BW#'!$A:$Z,17,FALSE)+VLOOKUP($A332,A:AL,25,FALSE)-50))</f>
        <v>404</v>
      </c>
      <c r="Y332" s="3">
        <v>404</v>
      </c>
      <c r="Z332" s="3">
        <f>Y332+2</f>
        <v>406</v>
      </c>
      <c r="AA332" s="3">
        <f>IF(ISERROR(VLOOKUP($A332,'SegEnds_NonXtal_BW#'!$A:$Z,19,FALSE)+VLOOKUP($A332,A:AL,28,FALSE)-50),"-",(VLOOKUP($A332,'SegEnds_NonXtal_BW#'!$A:$Z,19,FALSE)+VLOOKUP($A332,A:AL,28,FALSE)-50))</f>
        <v>409</v>
      </c>
      <c r="AB332" s="3">
        <v>423</v>
      </c>
      <c r="AC332" s="3">
        <f>IF(ISERROR((VLOOKUP($A332,'SegEnds_NonXtal_BW#'!$A:$Z,20,FALSE)+VLOOKUP($A332,A:AL,28,FALSE)-50)),"-",(VLOOKUP($A332,'SegEnds_NonXtal_BW#'!$A:$Z,20,FALSE)+VLOOKUP($A332,A:AL,28,FALSE)-50))</f>
        <v>442</v>
      </c>
      <c r="AD332" s="3">
        <f>IF(ISERROR(VLOOKUP($A332,'SegEnds_NonXtal_BW#'!$A:$Z,21,FALSE)+VLOOKUP($A332,A:AL,31,FALSE)-50),"-",(VLOOKUP($A332,'SegEnds_NonXtal_BW#'!$A:$Z,21,FALSE)+VLOOKUP($A332,A:AL,31,FALSE)-50))</f>
        <v>451</v>
      </c>
      <c r="AE332" s="3">
        <v>472</v>
      </c>
      <c r="AF332" s="3">
        <f>IF(ISERROR((VLOOKUP($A332,'SegEnds_NonXtal_BW#'!$A:$Z,22,FALSE)+VLOOKUP($A332,A:AL,31,FALSE)-50)),"-",(VLOOKUP($A332,'SegEnds_NonXtal_BW#'!$A:$Z,22,FALSE)+VLOOKUP($A332,A:AL,31,FALSE)-50))</f>
        <v>475</v>
      </c>
      <c r="AG332" s="3">
        <f>IF(ISERROR(VLOOKUP($A332,'SegEnds_NonXtal_BW#'!$A:$Z,23,FALSE)+VLOOKUP($A332,A:AL,34,FALSE)-50),"-",(VLOOKUP($A332,'SegEnds_NonXtal_BW#'!$A:$Z,23,FALSE)+VLOOKUP($A332,A:AL,34,FALSE)-50))</f>
        <v>481</v>
      </c>
      <c r="AH332" s="3">
        <v>500</v>
      </c>
      <c r="AI332" s="3">
        <f>IF(ISERROR((VLOOKUP($A332,'SegEnds_NonXtal_BW#'!$A:$Z,24,FALSE)+VLOOKUP($A332,A:AL,34,FALSE)-50)),"-",(VLOOKUP($A332,'SegEnds_NonXtal_BW#'!$A:$Z,24,FALSE)+VLOOKUP($A332,A:AL,34,FALSE)-50))</f>
        <v>506</v>
      </c>
      <c r="AJ332" s="3">
        <f>IF(ISERROR(VLOOKUP($A332,'SegEnds_NonXtal_BW#'!$A:$Z,25,FALSE)+VLOOKUP($A332,A:AL,37,FALSE)-50),"-",(VLOOKUP($A332,'SegEnds_NonXtal_BW#'!$A:$Z,25,FALSE)+VLOOKUP($A332,A:AL,37,FALSE)-50))</f>
        <v>507</v>
      </c>
      <c r="AK332" s="3">
        <v>510</v>
      </c>
      <c r="AL332" s="3">
        <f>IF(ISERROR((VLOOKUP($A332,'SegEnds_NonXtal_BW#'!$A:$Z,26,FALSE)+VLOOKUP($A332,A:AL,37,FALSE)-50)),"-",(VLOOKUP($A332,'SegEnds_NonXtal_BW#'!$A:$Z,26,FALSE)+VLOOKUP($A332,A:AL,37,FALSE)-50))</f>
        <v>523</v>
      </c>
      <c r="AM332" s="28" t="str">
        <f>VLOOKUP(A332,Classification!A:B,2,FALSE)</f>
        <v>B2</v>
      </c>
      <c r="AN332" s="28" t="b">
        <f>AND(IF(Y332="-",IF(AA332-W332&gt;3,TRUE,FALSE),TRUE),IF(M332="-",IF(O332-K332&gt;3,TRUE,FALSE),TRUE),C332&lt;E332,OR(E332&lt;F332,F332="-"),OR(F332&lt;H332,F332="-"),OR(H332&lt;I332,H332="-"),I332&lt;K332,OR(K332&lt;L332,L332="-"),OR(L332&lt;N332,L332="-"),OR(N332&lt;O332,N332="-"),O332&lt;Q332,OR(Q332&lt;R332,R332="-"),OR(R332&lt;T332,R332="-"),OR(T332&lt;U332,T332="-"),U332&lt;W332,OR(W332&lt;X332,X332="-"),OR(X332&lt;Z332,X332="-"),OR(Z332&lt;AA332,Z332="-"),AA332&lt;AC332,AC332&lt;AD332,AD332&lt;AF332,AF332&lt;AG332,AG332&lt;AI332,OR(AI332&lt;AJ332,AJ332="-"),OR(AJ332&lt;AL332,AJ332="-"))</f>
        <v>1</v>
      </c>
      <c r="AO332" s="3" t="str">
        <f>IF(ISERROR(MATCH(A332,'SegEnds_Xtal_Prot#'!B:B, 0)), "NoXtal", "Xtal")</f>
        <v>NoXtal</v>
      </c>
      <c r="AP332" s="3" t="str">
        <f>IF(ISERROR(F332-E332),"-",F332-E332)</f>
        <v>-</v>
      </c>
      <c r="AQ332" s="3" t="str">
        <f>IF(ISERROR(I332-H332),"-",I332-H332)</f>
        <v>-</v>
      </c>
      <c r="AR332" s="3" t="str">
        <f>IF(ISERROR(L332-K332),"-",L332-K332)</f>
        <v>-</v>
      </c>
      <c r="AS332" s="3" t="str">
        <f>IF(ISERROR(O332-N332),"-",O332-N332)</f>
        <v>-</v>
      </c>
      <c r="AT332" s="3" t="str">
        <f>IF(ISERROR(R332-Q332),"-",R332-Q332)</f>
        <v>-</v>
      </c>
      <c r="AU332" s="3" t="str">
        <f>IF(ISERROR(U332-T332),"-",U332-T332)</f>
        <v>-</v>
      </c>
      <c r="AV332" s="3">
        <f>IF(ISERROR(X332-W332),"-",X332-W332)</f>
        <v>23</v>
      </c>
      <c r="AW332" s="3">
        <f>IF(ISERROR(AA332-Z332),"-",AA332-Z332)</f>
        <v>3</v>
      </c>
      <c r="AX332" s="3">
        <f>IF(ISERROR(AD332-AC332),"-",AD332-AC332)</f>
        <v>9</v>
      </c>
      <c r="AY332" s="3">
        <f>IF(ISERROR(AG332-AF332),"-",AG332-AF332)</f>
        <v>6</v>
      </c>
      <c r="AZ332" s="3">
        <f>IF(ISERROR(AJ332-AI332),"-",AJ332-AI332)</f>
        <v>1</v>
      </c>
      <c r="BA332" s="3">
        <f>IF(ISERROR(LEN(VLOOKUP(A332,Seqs!A:E,2,FALSE))-AL332),"-",LEN(VLOOKUP(A332,Seqs!A:E,2,FALSE))-AL332)</f>
        <v>5</v>
      </c>
      <c r="BB332" s="16">
        <f>J332-D332</f>
        <v>28</v>
      </c>
      <c r="BC332" s="9" t="str">
        <f>IF(ISERROR(V332-S332),"-",V332-S332)</f>
        <v>-</v>
      </c>
      <c r="BD332" s="3">
        <f>J332-D332</f>
        <v>28</v>
      </c>
      <c r="BE332" s="3">
        <f>AE332-AB332</f>
        <v>49</v>
      </c>
      <c r="BF332" s="3">
        <f>AH332-AE332</f>
        <v>28</v>
      </c>
    </row>
    <row r="333" spans="1:59" s="3" customFormat="1" x14ac:dyDescent="0.2">
      <c r="A333" s="3" t="s">
        <v>1423</v>
      </c>
      <c r="B333" s="3" t="str">
        <f>LOWER(VLOOKUP(A333,Xtal_Templ!A:B,2,FALSE))</f>
        <v>crfr1_human</v>
      </c>
      <c r="C333" s="3">
        <f>VLOOKUP($A333,'SegEnds_NonXtal_BW#'!$A:$Z,3,FALSE)+D333-50</f>
        <v>852</v>
      </c>
      <c r="D333" s="3">
        <v>879</v>
      </c>
      <c r="E333" s="3">
        <f>IF(ISERROR(VLOOKUP($A333,'SegEnds_NonXtal_BW#'!$A:$Z,4,FALSE)+VLOOKUP($A333,A:AL,4,FALSE)-50),"-",(VLOOKUP($A333,'SegEnds_NonXtal_BW#'!$A:$Z,4,FALSE)+VLOOKUP($A333,A:AL,4,FALSE)-50))</f>
        <v>889</v>
      </c>
      <c r="F333" s="3">
        <f>G333-2</f>
        <v>890</v>
      </c>
      <c r="G333" s="3">
        <v>892</v>
      </c>
      <c r="H333" s="3">
        <f>G333+1</f>
        <v>893</v>
      </c>
      <c r="I333" s="3">
        <f>H333+1</f>
        <v>894</v>
      </c>
      <c r="J333" s="3">
        <v>908</v>
      </c>
      <c r="K333" s="3">
        <f>VLOOKUP($A333,'SegEnds_NonXtal_BW#'!$A:$Z,8,FALSE)+VLOOKUP($A333,A:AL,10,FALSE)-50</f>
        <v>921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928</v>
      </c>
      <c r="P333" s="3">
        <v>955</v>
      </c>
      <c r="Q333" s="3">
        <f>VLOOKUP($A333,'SegEnds_NonXtal_BW#'!$A:$Z,12,FALSE)+VLOOKUP($A333,A:AL,16,FALSE)-50</f>
        <v>961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969</v>
      </c>
      <c r="V333" s="3">
        <v>979</v>
      </c>
      <c r="W333" s="3">
        <f>IF(ISERROR(VLOOKUP($A333,'SegEnds_NonXtal_BW#'!$A:$Z,16,FALSE)+VLOOKUP($A333,A:AL,22,FALSE)-50),"-",(VLOOKUP($A333,'SegEnds_NonXtal_BW#'!$A:$Z,16,FALSE)+VLOOKUP($A333,A:AL,22,FALSE)-50))</f>
        <v>997</v>
      </c>
      <c r="X333" s="3">
        <f>IF(ISERROR(VLOOKUP($A333,'SegEnds_NonXtal_BW#'!$A:$Z,17,FALSE)+VLOOKUP($A333,A:AL,25,FALSE)-50),"-",(VLOOKUP($A333,'SegEnds_NonXtal_BW#'!$A:$Z,17,FALSE)+VLOOKUP($A333,A:AL,25,FALSE)-50))</f>
        <v>1013</v>
      </c>
      <c r="Y333" s="3">
        <v>1013</v>
      </c>
      <c r="Z333" s="3">
        <f>Y333+2</f>
        <v>1015</v>
      </c>
      <c r="AA333" s="3">
        <f>IF(ISERROR(VLOOKUP($A333,'SegEnds_NonXtal_BW#'!$A:$Z,19,FALSE)+VLOOKUP($A333,A:AL,28,FALSE)-50),"-",(VLOOKUP($A333,'SegEnds_NonXtal_BW#'!$A:$Z,19,FALSE)+VLOOKUP($A333,A:AL,28,FALSE)-50))</f>
        <v>1018</v>
      </c>
      <c r="AB333" s="3">
        <v>1032</v>
      </c>
      <c r="AC333" s="3">
        <f>IF(ISERROR((VLOOKUP($A333,'SegEnds_NonXtal_BW#'!$A:$Z,20,FALSE)+VLOOKUP($A333,A:AL,28,FALSE)-50)),"-",(VLOOKUP($A333,'SegEnds_NonXtal_BW#'!$A:$Z,20,FALSE)+VLOOKUP($A333,A:AL,28,FALSE)-50))</f>
        <v>1051</v>
      </c>
      <c r="AD333" s="3">
        <f>IF(ISERROR(VLOOKUP($A333,'SegEnds_NonXtal_BW#'!$A:$Z,21,FALSE)+VLOOKUP($A333,A:AL,31,FALSE)-50),"-",(VLOOKUP($A333,'SegEnds_NonXtal_BW#'!$A:$Z,21,FALSE)+VLOOKUP($A333,A:AL,31,FALSE)-50))</f>
        <v>1062</v>
      </c>
      <c r="AE333" s="3">
        <v>1083</v>
      </c>
      <c r="AF333" s="3">
        <f>IF(ISERROR((VLOOKUP($A333,'SegEnds_NonXtal_BW#'!$A:$Z,22,FALSE)+VLOOKUP($A333,A:AL,31,FALSE)-50)),"-",(VLOOKUP($A333,'SegEnds_NonXtal_BW#'!$A:$Z,22,FALSE)+VLOOKUP($A333,A:AL,31,FALSE)-50))</f>
        <v>1086</v>
      </c>
      <c r="AG333" s="3">
        <f>IF(ISERROR(VLOOKUP($A333,'SegEnds_NonXtal_BW#'!$A:$Z,23,FALSE)+VLOOKUP($A333,A:AL,34,FALSE)-50),"-",(VLOOKUP($A333,'SegEnds_NonXtal_BW#'!$A:$Z,23,FALSE)+VLOOKUP($A333,A:AL,34,FALSE)-50))</f>
        <v>1092</v>
      </c>
      <c r="AH333" s="3">
        <v>1111</v>
      </c>
      <c r="AI333" s="3">
        <f>IF(ISERROR((VLOOKUP($A333,'SegEnds_NonXtal_BW#'!$A:$Z,24,FALSE)+VLOOKUP($A333,A:AL,34,FALSE)-50)),"-",(VLOOKUP($A333,'SegEnds_NonXtal_BW#'!$A:$Z,24,FALSE)+VLOOKUP($A333,A:AL,34,FALSE)-50))</f>
        <v>1117</v>
      </c>
      <c r="AJ333" s="3">
        <f>IF(ISERROR(VLOOKUP($A333,'SegEnds_NonXtal_BW#'!$A:$Z,25,FALSE)+VLOOKUP($A333,A:AL,37,FALSE)-50),"-",(VLOOKUP($A333,'SegEnds_NonXtal_BW#'!$A:$Z,25,FALSE)+VLOOKUP($A333,A:AL,37,FALSE)-50))</f>
        <v>1118</v>
      </c>
      <c r="AK333" s="3">
        <v>1121</v>
      </c>
      <c r="AL333" s="3">
        <f>IF(ISERROR((VLOOKUP($A333,'SegEnds_NonXtal_BW#'!$A:$Z,26,FALSE)+VLOOKUP($A333,A:AL,37,FALSE)-50)),"-",(VLOOKUP($A333,'SegEnds_NonXtal_BW#'!$A:$Z,26,FALSE)+VLOOKUP($A333,A:AL,37,FALSE)-50))</f>
        <v>1134</v>
      </c>
      <c r="AM333" s="28" t="str">
        <f>VLOOKUP(A333,Classification!A:B,2,FALSE)</f>
        <v>B2</v>
      </c>
      <c r="AN333" s="28" t="b">
        <f>AND(IF(Y333="-",IF(AA333-W333&gt;3,TRUE,FALSE),TRUE),IF(M333="-",IF(O333-K333&gt;3,TRUE,FALSE),TRUE),C333&lt;E333,OR(E333&lt;F333,F333="-"),OR(F333&lt;H333,F333="-"),OR(H333&lt;I333,H333="-"),I333&lt;K333,OR(K333&lt;L333,L333="-"),OR(L333&lt;N333,L333="-"),OR(N333&lt;O333,N333="-"),O333&lt;Q333,OR(Q333&lt;R333,R333="-"),OR(R333&lt;T333,R333="-"),OR(T333&lt;U333,T333="-"),U333&lt;W333,OR(W333&lt;X333,X333="-"),OR(X333&lt;Z333,X333="-"),OR(Z333&lt;AA333,Z333="-"),AA333&lt;AC333,AC333&lt;AD333,AD333&lt;AF333,AF333&lt;AG333,AG333&lt;AI333,OR(AI333&lt;AJ333,AJ333="-"),OR(AJ333&lt;AL333,AJ333="-"))</f>
        <v>1</v>
      </c>
      <c r="AO333" s="3" t="str">
        <f>IF(ISERROR(MATCH(A333,'SegEnds_Xtal_Prot#'!B:B, 0)), "NoXtal", "Xtal")</f>
        <v>NoXtal</v>
      </c>
      <c r="AP333" s="3">
        <f>IF(ISERROR(F333-E333),"-",F333-E333)</f>
        <v>1</v>
      </c>
      <c r="AQ333" s="3">
        <f>IF(ISERROR(I333-H333),"-",I333-H333)</f>
        <v>1</v>
      </c>
      <c r="AR333" s="3" t="str">
        <f>IF(ISERROR(L333-K333),"-",L333-K333)</f>
        <v>-</v>
      </c>
      <c r="AS333" s="3" t="str">
        <f>IF(ISERROR(O333-N333),"-",O333-N333)</f>
        <v>-</v>
      </c>
      <c r="AT333" s="3" t="str">
        <f>IF(ISERROR(R333-Q333),"-",R333-Q333)</f>
        <v>-</v>
      </c>
      <c r="AU333" s="3" t="str">
        <f>IF(ISERROR(U333-T333),"-",U333-T333)</f>
        <v>-</v>
      </c>
      <c r="AV333" s="3">
        <f>IF(ISERROR(X333-W333),"-",X333-W333)</f>
        <v>16</v>
      </c>
      <c r="AW333" s="3">
        <f>IF(ISERROR(AA333-Z333),"-",AA333-Z333)</f>
        <v>3</v>
      </c>
      <c r="AX333" s="3">
        <f>IF(ISERROR(AD333-AC333),"-",AD333-AC333)</f>
        <v>11</v>
      </c>
      <c r="AY333" s="3">
        <f>IF(ISERROR(AG333-AF333),"-",AG333-AF333)</f>
        <v>6</v>
      </c>
      <c r="AZ333" s="3">
        <f>IF(ISERROR(AJ333-AI333),"-",AJ333-AI333)</f>
        <v>1</v>
      </c>
      <c r="BA333" s="3">
        <f>IF(ISERROR(LEN(VLOOKUP(A333,Seqs!A:E,2,FALSE))-AL333),"-",LEN(VLOOKUP(A333,Seqs!A:E,2,FALSE))-AL333)</f>
        <v>87</v>
      </c>
      <c r="BB333" s="16">
        <f>J333-D333</f>
        <v>29</v>
      </c>
      <c r="BC333" s="9" t="str">
        <f>IF(ISERROR(V333-S333),"-",V333-S333)</f>
        <v>-</v>
      </c>
      <c r="BD333" s="3">
        <f>J333-D333</f>
        <v>29</v>
      </c>
      <c r="BE333" s="3">
        <f>AE333-AB333</f>
        <v>51</v>
      </c>
    </row>
    <row r="334" spans="1:59" s="3" customFormat="1" x14ac:dyDescent="0.2">
      <c r="A334" s="3" t="s">
        <v>1198</v>
      </c>
      <c r="B334" s="3" t="str">
        <f>LOWER(VLOOKUP(A334,Xtal_Templ!A:B,2,FALSE))</f>
        <v>glp1r_human</v>
      </c>
      <c r="C334" s="3">
        <f>VLOOKUP($A334,'SegEnds_NonXtal_BW#'!$A:$Z,3,FALSE)+D334-50</f>
        <v>422</v>
      </c>
      <c r="D334" s="3">
        <v>449</v>
      </c>
      <c r="E334" s="3">
        <f>IF(ISERROR(VLOOKUP($A334,'SegEnds_NonXtal_BW#'!$A:$Z,4,FALSE)+VLOOKUP($A334,A:AL,4,FALSE)-50),"-",(VLOOKUP($A334,'SegEnds_NonXtal_BW#'!$A:$Z,4,FALSE)+VLOOKUP($A334,A:AL,4,FALSE)-50))</f>
        <v>459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465</v>
      </c>
      <c r="J334" s="3">
        <v>478</v>
      </c>
      <c r="K334" s="3">
        <f>VLOOKUP($A334,'SegEnds_NonXtal_BW#'!$A:$Z,8,FALSE)+VLOOKUP($A334,A:AL,10,FALSE)-50</f>
        <v>493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519</v>
      </c>
      <c r="P334" s="3">
        <v>551</v>
      </c>
      <c r="Q334" s="3">
        <f>VLOOKUP($A334,'SegEnds_NonXtal_BW#'!$A:$Z,12,FALSE)+VLOOKUP($A334,A:AL,16,FALSE)-50</f>
        <v>557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563</v>
      </c>
      <c r="V334" s="3">
        <v>575</v>
      </c>
      <c r="W334" s="3">
        <f>IF(ISERROR(VLOOKUP($A334,'SegEnds_NonXtal_BW#'!$A:$Z,16,FALSE)+VLOOKUP($A334,A:AL,22,FALSE)-50),"-",(VLOOKUP($A334,'SegEnds_NonXtal_BW#'!$A:$Z,16,FALSE)+VLOOKUP($A334,A:AL,22,FALSE)-50))</f>
        <v>593</v>
      </c>
      <c r="X334" s="3">
        <f>IF(ISERROR(VLOOKUP($A334,'SegEnds_NonXtal_BW#'!$A:$Z,17,FALSE)+VLOOKUP($A334,A:AL,25,FALSE)-50),"-",(VLOOKUP($A334,'SegEnds_NonXtal_BW#'!$A:$Z,17,FALSE)+VLOOKUP($A334,A:AL,25,FALSE)-50))</f>
        <v>609</v>
      </c>
      <c r="Y334" s="3">
        <v>609</v>
      </c>
      <c r="Z334" s="3">
        <f>Y334+2</f>
        <v>611</v>
      </c>
      <c r="AA334" s="3">
        <f>IF(ISERROR(VLOOKUP($A334,'SegEnds_NonXtal_BW#'!$A:$Z,19,FALSE)+VLOOKUP($A334,A:AL,28,FALSE)-50),"-",(VLOOKUP($A334,'SegEnds_NonXtal_BW#'!$A:$Z,19,FALSE)+VLOOKUP($A334,A:AL,28,FALSE)-50))</f>
        <v>621</v>
      </c>
      <c r="AB334" s="3">
        <v>635</v>
      </c>
      <c r="AC334" s="3">
        <f>IF(ISERROR((VLOOKUP($A334,'SegEnds_NonXtal_BW#'!$A:$Z,20,FALSE)+VLOOKUP($A334,A:AL,28,FALSE)-50)),"-",(VLOOKUP($A334,'SegEnds_NonXtal_BW#'!$A:$Z,20,FALSE)+VLOOKUP($A334,A:AL,28,FALSE)-50))</f>
        <v>654</v>
      </c>
      <c r="AD334" s="3">
        <f>IF(ISERROR(VLOOKUP($A334,'SegEnds_NonXtal_BW#'!$A:$Z,21,FALSE)+VLOOKUP($A334,A:AL,31,FALSE)-50),"-",(VLOOKUP($A334,'SegEnds_NonXtal_BW#'!$A:$Z,21,FALSE)+VLOOKUP($A334,A:AL,31,FALSE)-50))</f>
        <v>665</v>
      </c>
      <c r="AE334" s="3">
        <v>686</v>
      </c>
      <c r="AF334" s="3">
        <f>IF(ISERROR((VLOOKUP($A334,'SegEnds_NonXtal_BW#'!$A:$Z,22,FALSE)+VLOOKUP($A334,A:AL,31,FALSE)-50)),"-",(VLOOKUP($A334,'SegEnds_NonXtal_BW#'!$A:$Z,22,FALSE)+VLOOKUP($A334,A:AL,31,FALSE)-50))</f>
        <v>689</v>
      </c>
      <c r="AG334" s="3">
        <f>IF(ISERROR(VLOOKUP($A334,'SegEnds_NonXtal_BW#'!$A:$Z,23,FALSE)+VLOOKUP($A334,A:AL,34,FALSE)-50),"-",(VLOOKUP($A334,'SegEnds_NonXtal_BW#'!$A:$Z,23,FALSE)+VLOOKUP($A334,A:AL,34,FALSE)-50))</f>
        <v>696</v>
      </c>
      <c r="AH334" s="3">
        <v>717</v>
      </c>
      <c r="AI334" s="3">
        <f>IF(ISERROR((VLOOKUP($A334,'SegEnds_NonXtal_BW#'!$A:$Z,24,FALSE)+VLOOKUP($A334,A:AL,34,FALSE)-50)),"-",(VLOOKUP($A334,'SegEnds_NonXtal_BW#'!$A:$Z,24,FALSE)+VLOOKUP($A334,A:AL,34,FALSE)-50))</f>
        <v>723</v>
      </c>
      <c r="AJ334" s="3">
        <f>IF(ISERROR(VLOOKUP($A334,'SegEnds_NonXtal_BW#'!$A:$Z,25,FALSE)+VLOOKUP($A334,A:AL,37,FALSE)-50),"-",(VLOOKUP($A334,'SegEnds_NonXtal_BW#'!$A:$Z,25,FALSE)+VLOOKUP($A334,A:AL,37,FALSE)-50))</f>
        <v>724</v>
      </c>
      <c r="AK334" s="3">
        <v>727</v>
      </c>
      <c r="AL334" s="3">
        <f>IF(ISERROR((VLOOKUP($A334,'SegEnds_NonXtal_BW#'!$A:$Z,26,FALSE)+VLOOKUP($A334,A:AL,37,FALSE)-50)),"-",(VLOOKUP($A334,'SegEnds_NonXtal_BW#'!$A:$Z,26,FALSE)+VLOOKUP($A334,A:AL,37,FALSE)-50))</f>
        <v>740</v>
      </c>
      <c r="AM334" s="28" t="str">
        <f>VLOOKUP(A334,Classification!A:B,2,FALSE)</f>
        <v>B2</v>
      </c>
      <c r="AN334" s="28" t="b">
        <f>AND(IF(Y334="-",IF(AA334-W334&gt;3,TRUE,FALSE),TRUE),IF(M334="-",IF(O334-K334&gt;3,TRUE,FALSE),TRUE),C334&lt;E334,OR(E334&lt;F334,F334="-"),OR(F334&lt;H334,F334="-"),OR(H334&lt;I334,H334="-"),I334&lt;K334,OR(K334&lt;L334,L334="-"),OR(L334&lt;N334,L334="-"),OR(N334&lt;O334,N334="-"),O334&lt;Q334,OR(Q334&lt;R334,R334="-"),OR(R334&lt;T334,R334="-"),OR(T334&lt;U334,T334="-"),U334&lt;W334,OR(W334&lt;X334,X334="-"),OR(X334&lt;Z334,X334="-"),OR(Z334&lt;AA334,Z334="-"),AA334&lt;AC334,AC334&lt;AD334,AD334&lt;AF334,AF334&lt;AG334,AG334&lt;AI334,OR(AI334&lt;AJ334,AJ334="-"),OR(AJ334&lt;AL334,AJ334="-"))</f>
        <v>1</v>
      </c>
      <c r="AO334" s="3" t="str">
        <f>IF(ISERROR(MATCH(A334,'SegEnds_Xtal_Prot#'!B:B, 0)), "NoXtal", "Xtal")</f>
        <v>NoXtal</v>
      </c>
      <c r="AP334" s="3" t="str">
        <f>IF(ISERROR(F334-E334),"-",F334-E334)</f>
        <v>-</v>
      </c>
      <c r="AQ334" s="3" t="str">
        <f>IF(ISERROR(I334-H334),"-",I334-H334)</f>
        <v>-</v>
      </c>
      <c r="AR334" s="3" t="str">
        <f>IF(ISERROR(L334-K334),"-",L334-K334)</f>
        <v>-</v>
      </c>
      <c r="AS334" s="3" t="str">
        <f>IF(ISERROR(O334-N334),"-",O334-N334)</f>
        <v>-</v>
      </c>
      <c r="AT334" s="3" t="str">
        <f>IF(ISERROR(R334-Q334),"-",R334-Q334)</f>
        <v>-</v>
      </c>
      <c r="AU334" s="3" t="str">
        <f>IF(ISERROR(U334-T334),"-",U334-T334)</f>
        <v>-</v>
      </c>
      <c r="AV334" s="3">
        <f>IF(ISERROR(X334-W334),"-",X334-W334)</f>
        <v>16</v>
      </c>
      <c r="AW334" s="3">
        <f>IF(ISERROR(AA334-Z334),"-",AA334-Z334)</f>
        <v>10</v>
      </c>
      <c r="AX334" s="3">
        <f>IF(ISERROR(AD334-AC334),"-",AD334-AC334)</f>
        <v>11</v>
      </c>
      <c r="AY334" s="3">
        <f>IF(ISERROR(AG334-AF334),"-",AG334-AF334)</f>
        <v>7</v>
      </c>
      <c r="AZ334" s="3">
        <f>IF(ISERROR(AJ334-AI334),"-",AJ334-AI334)</f>
        <v>1</v>
      </c>
      <c r="BA334" s="3">
        <f>IF(ISERROR(LEN(VLOOKUP(A334,Seqs!A:E,2,FALSE))-AL334),"-",LEN(VLOOKUP(A334,Seqs!A:E,2,FALSE))-AL334)</f>
        <v>57</v>
      </c>
      <c r="BB334" s="16">
        <f>J334-D334</f>
        <v>29</v>
      </c>
      <c r="BC334" s="9" t="str">
        <f>IF(ISERROR(V334-S334),"-",V334-S334)</f>
        <v>-</v>
      </c>
      <c r="BD334" s="3">
        <f>J334-D334</f>
        <v>29</v>
      </c>
      <c r="BE334" s="3">
        <f>AE334-AB334</f>
        <v>51</v>
      </c>
    </row>
    <row r="335" spans="1:59" s="3" customFormat="1" x14ac:dyDescent="0.2">
      <c r="A335" s="3" t="s">
        <v>1199</v>
      </c>
      <c r="B335" s="3" t="str">
        <f>LOWER(VLOOKUP(A335,Xtal_Templ!A:B,2,FALSE))</f>
        <v>calcr_human</v>
      </c>
      <c r="C335" s="3">
        <f>VLOOKUP($A335,'SegEnds_NonXtal_BW#'!$A:$Z,3,FALSE)+D335-50</f>
        <v>848</v>
      </c>
      <c r="D335" s="3">
        <v>875</v>
      </c>
      <c r="E335" s="3">
        <f>IF(ISERROR(VLOOKUP($A335,'SegEnds_NonXtal_BW#'!$A:$Z,4,FALSE)+VLOOKUP($A335,A:AL,4,FALSE)-50),"-",(VLOOKUP($A335,'SegEnds_NonXtal_BW#'!$A:$Z,4,FALSE)+VLOOKUP($A335,A:AL,4,FALSE)-50))</f>
        <v>885</v>
      </c>
      <c r="F335" s="3">
        <f>G335-2</f>
        <v>886</v>
      </c>
      <c r="G335" s="3">
        <v>888</v>
      </c>
      <c r="H335" s="3">
        <f>G335+1</f>
        <v>889</v>
      </c>
      <c r="I335" s="3">
        <f>H335+1</f>
        <v>890</v>
      </c>
      <c r="J335" s="3">
        <v>903</v>
      </c>
      <c r="K335" s="3">
        <f>VLOOKUP($A335,'SegEnds_NonXtal_BW#'!$A:$Z,8,FALSE)+VLOOKUP($A335,A:AL,10,FALSE)-50</f>
        <v>916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921</v>
      </c>
      <c r="P335" s="3">
        <v>948</v>
      </c>
      <c r="Q335" s="3">
        <f>VLOOKUP($A335,'SegEnds_NonXtal_BW#'!$A:$Z,12,FALSE)+VLOOKUP($A335,A:AL,16,FALSE)-50</f>
        <v>954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962</v>
      </c>
      <c r="V335" s="3">
        <v>971</v>
      </c>
      <c r="W335" s="3">
        <f>IF(ISERROR(VLOOKUP($A335,'SegEnds_NonXtal_BW#'!$A:$Z,16,FALSE)+VLOOKUP($A335,A:AL,22,FALSE)-50),"-",(VLOOKUP($A335,'SegEnds_NonXtal_BW#'!$A:$Z,16,FALSE)+VLOOKUP($A335,A:AL,22,FALSE)-50))</f>
        <v>989</v>
      </c>
      <c r="X335" s="3">
        <f>IF(ISERROR(VLOOKUP($A335,'SegEnds_NonXtal_BW#'!$A:$Z,17,FALSE)+VLOOKUP($A335,A:AL,25,FALSE)-50),"-",(VLOOKUP($A335,'SegEnds_NonXtal_BW#'!$A:$Z,17,FALSE)+VLOOKUP($A335,A:AL,25,FALSE)-50))</f>
        <v>995</v>
      </c>
      <c r="Y335" s="3">
        <v>995</v>
      </c>
      <c r="Z335" s="3">
        <f>Y335+2</f>
        <v>997</v>
      </c>
      <c r="AA335" s="3">
        <f>IF(ISERROR(VLOOKUP($A335,'SegEnds_NonXtal_BW#'!$A:$Z,19,FALSE)+VLOOKUP($A335,A:AL,28,FALSE)-50),"-",(VLOOKUP($A335,'SegEnds_NonXtal_BW#'!$A:$Z,19,FALSE)+VLOOKUP($A335,A:AL,28,FALSE)-50))</f>
        <v>1000</v>
      </c>
      <c r="AB335" s="3">
        <v>1014</v>
      </c>
      <c r="AC335" s="3">
        <f>IF(ISERROR((VLOOKUP($A335,'SegEnds_NonXtal_BW#'!$A:$Z,20,FALSE)+VLOOKUP($A335,A:AL,28,FALSE)-50)),"-",(VLOOKUP($A335,'SegEnds_NonXtal_BW#'!$A:$Z,20,FALSE)+VLOOKUP($A335,A:AL,28,FALSE)-50))</f>
        <v>1033</v>
      </c>
      <c r="AD335" s="3">
        <f>IF(ISERROR(VLOOKUP($A335,'SegEnds_NonXtal_BW#'!$A:$Z,21,FALSE)+VLOOKUP($A335,A:AL,31,FALSE)-50),"-",(VLOOKUP($A335,'SegEnds_NonXtal_BW#'!$A:$Z,21,FALSE)+VLOOKUP($A335,A:AL,31,FALSE)-50))</f>
        <v>1045</v>
      </c>
      <c r="AE335" s="3">
        <v>1066</v>
      </c>
      <c r="AF335" s="3">
        <f>IF(ISERROR((VLOOKUP($A335,'SegEnds_NonXtal_BW#'!$A:$Z,22,FALSE)+VLOOKUP($A335,A:AL,31,FALSE)-50)),"-",(VLOOKUP($A335,'SegEnds_NonXtal_BW#'!$A:$Z,22,FALSE)+VLOOKUP($A335,A:AL,31,FALSE)-50))</f>
        <v>1069</v>
      </c>
      <c r="AG335" s="3">
        <f>IF(ISERROR(VLOOKUP($A335,'SegEnds_NonXtal_BW#'!$A:$Z,23,FALSE)+VLOOKUP($A335,A:AL,34,FALSE)-50),"-",(VLOOKUP($A335,'SegEnds_NonXtal_BW#'!$A:$Z,23,FALSE)+VLOOKUP($A335,A:AL,34,FALSE)-50))</f>
        <v>1075</v>
      </c>
      <c r="AH335" s="3">
        <v>1094</v>
      </c>
      <c r="AI335" s="3">
        <f>IF(ISERROR((VLOOKUP($A335,'SegEnds_NonXtal_BW#'!$A:$Z,24,FALSE)+VLOOKUP($A335,A:AL,34,FALSE)-50)),"-",(VLOOKUP($A335,'SegEnds_NonXtal_BW#'!$A:$Z,24,FALSE)+VLOOKUP($A335,A:AL,34,FALSE)-50))</f>
        <v>1100</v>
      </c>
      <c r="AJ335" s="3">
        <f>IF(ISERROR(VLOOKUP($A335,'SegEnds_NonXtal_BW#'!$A:$Z,25,FALSE)+VLOOKUP($A335,A:AL,37,FALSE)-50),"-",(VLOOKUP($A335,'SegEnds_NonXtal_BW#'!$A:$Z,25,FALSE)+VLOOKUP($A335,A:AL,37,FALSE)-50))</f>
        <v>1101</v>
      </c>
      <c r="AK335" s="3">
        <v>1104</v>
      </c>
      <c r="AL335" s="3">
        <f>IF(ISERROR((VLOOKUP($A335,'SegEnds_NonXtal_BW#'!$A:$Z,26,FALSE)+VLOOKUP($A335,A:AL,37,FALSE)-50)),"-",(VLOOKUP($A335,'SegEnds_NonXtal_BW#'!$A:$Z,26,FALSE)+VLOOKUP($A335,A:AL,37,FALSE)-50))</f>
        <v>1117</v>
      </c>
      <c r="AM335" s="28" t="str">
        <f>VLOOKUP(A335,Classification!A:B,2,FALSE)</f>
        <v>B2</v>
      </c>
      <c r="AN335" s="28" t="b">
        <f>AND(IF(Y335="-",IF(AA335-W335&gt;3,TRUE,FALSE),TRUE),IF(M335="-",IF(O335-K335&gt;3,TRUE,FALSE),TRUE),C335&lt;E335,OR(E335&lt;F335,F335="-"),OR(F335&lt;H335,F335="-"),OR(H335&lt;I335,H335="-"),I335&lt;K335,OR(K335&lt;L335,L335="-"),OR(L335&lt;N335,L335="-"),OR(N335&lt;O335,N335="-"),O335&lt;Q335,OR(Q335&lt;R335,R335="-"),OR(R335&lt;T335,R335="-"),OR(T335&lt;U335,T335="-"),U335&lt;W335,OR(W335&lt;X335,X335="-"),OR(X335&lt;Z335,X335="-"),OR(Z335&lt;AA335,Z335="-"),AA335&lt;AC335,AC335&lt;AD335,AD335&lt;AF335,AF335&lt;AG335,AG335&lt;AI335,OR(AI335&lt;AJ335,AJ335="-"),OR(AJ335&lt;AL335,AJ335="-"))</f>
        <v>1</v>
      </c>
      <c r="AO335" s="3" t="str">
        <f>IF(ISERROR(MATCH(A335,'SegEnds_Xtal_Prot#'!B:B, 0)), "NoXtal", "Xtal")</f>
        <v>NoXtal</v>
      </c>
      <c r="AP335" s="3">
        <f>IF(ISERROR(F335-E335),"-",F335-E335)</f>
        <v>1</v>
      </c>
      <c r="AQ335" s="3">
        <f>IF(ISERROR(I335-H335),"-",I335-H335)</f>
        <v>1</v>
      </c>
      <c r="AR335" s="3" t="str">
        <f>IF(ISERROR(L335-K335),"-",L335-K335)</f>
        <v>-</v>
      </c>
      <c r="AS335" s="3" t="str">
        <f>IF(ISERROR(O335-N335),"-",O335-N335)</f>
        <v>-</v>
      </c>
      <c r="AT335" s="3" t="str">
        <f>IF(ISERROR(R335-Q335),"-",R335-Q335)</f>
        <v>-</v>
      </c>
      <c r="AU335" s="3" t="str">
        <f>IF(ISERROR(U335-T335),"-",U335-T335)</f>
        <v>-</v>
      </c>
      <c r="AV335" s="3">
        <f>IF(ISERROR(X335-W335),"-",X335-W335)</f>
        <v>6</v>
      </c>
      <c r="AW335" s="3">
        <f>IF(ISERROR(AA335-Z335),"-",AA335-Z335)</f>
        <v>3</v>
      </c>
      <c r="AX335" s="3">
        <f>IF(ISERROR(AD335-AC335),"-",AD335-AC335)</f>
        <v>12</v>
      </c>
      <c r="AY335" s="3">
        <f>IF(ISERROR(AG335-AF335),"-",AG335-AF335)</f>
        <v>6</v>
      </c>
      <c r="AZ335" s="3">
        <f>IF(ISERROR(AJ335-AI335),"-",AJ335-AI335)</f>
        <v>1</v>
      </c>
      <c r="BA335" s="3">
        <f>IF(ISERROR(LEN(VLOOKUP(A335,Seqs!A:E,2,FALSE))-AL335),"-",LEN(VLOOKUP(A335,Seqs!A:E,2,FALSE))-AL335)</f>
        <v>357</v>
      </c>
      <c r="BB335" s="16">
        <f>J335-D335</f>
        <v>28</v>
      </c>
      <c r="BC335" s="9" t="str">
        <f>IF(ISERROR(V335-S335),"-",V335-S335)</f>
        <v>-</v>
      </c>
      <c r="BD335" s="3">
        <f>J335-D335</f>
        <v>28</v>
      </c>
      <c r="BE335" s="3">
        <f>AE335-AB335</f>
        <v>52</v>
      </c>
    </row>
    <row r="336" spans="1:59" s="3" customFormat="1" x14ac:dyDescent="0.2">
      <c r="A336" s="3" t="s">
        <v>1200</v>
      </c>
      <c r="B336" s="3" t="str">
        <f>LOWER(VLOOKUP(A336,Xtal_Templ!A:B,2,FALSE))</f>
        <v>calcr_human</v>
      </c>
      <c r="C336" s="3">
        <f>VLOOKUP($A336,'SegEnds_NonXtal_BW#'!$A:$Z,3,FALSE)+D336-50</f>
        <v>835</v>
      </c>
      <c r="D336" s="3">
        <v>862</v>
      </c>
      <c r="E336" s="3">
        <f>IF(ISERROR(VLOOKUP($A336,'SegEnds_NonXtal_BW#'!$A:$Z,4,FALSE)+VLOOKUP($A336,A:AL,4,FALSE)-50),"-",(VLOOKUP($A336,'SegEnds_NonXtal_BW#'!$A:$Z,4,FALSE)+VLOOKUP($A336,A:AL,4,FALSE)-50))</f>
        <v>872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877</v>
      </c>
      <c r="J336" s="3">
        <v>890</v>
      </c>
      <c r="K336" s="3">
        <f>VLOOKUP($A336,'SegEnds_NonXtal_BW#'!$A:$Z,8,FALSE)+VLOOKUP($A336,A:AL,10,FALSE)-50</f>
        <v>903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908</v>
      </c>
      <c r="P336" s="3">
        <v>935</v>
      </c>
      <c r="Q336" s="3">
        <f>VLOOKUP($A336,'SegEnds_NonXtal_BW#'!$A:$Z,12,FALSE)+VLOOKUP($A336,A:AL,16,FALSE)-50</f>
        <v>941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949</v>
      </c>
      <c r="V336" s="3">
        <v>958</v>
      </c>
      <c r="W336" s="3">
        <f>IF(ISERROR(VLOOKUP($A336,'SegEnds_NonXtal_BW#'!$A:$Z,16,FALSE)+VLOOKUP($A336,A:AL,22,FALSE)-50),"-",(VLOOKUP($A336,'SegEnds_NonXtal_BW#'!$A:$Z,16,FALSE)+VLOOKUP($A336,A:AL,22,FALSE)-50))</f>
        <v>976</v>
      </c>
      <c r="X336" s="3">
        <f>IF(ISERROR(VLOOKUP($A336,'SegEnds_NonXtal_BW#'!$A:$Z,17,FALSE)+VLOOKUP($A336,A:AL,25,FALSE)-50),"-",(VLOOKUP($A336,'SegEnds_NonXtal_BW#'!$A:$Z,17,FALSE)+VLOOKUP($A336,A:AL,25,FALSE)-50))</f>
        <v>982</v>
      </c>
      <c r="Y336" s="3">
        <v>982</v>
      </c>
      <c r="Z336" s="3">
        <f>Y336+2</f>
        <v>984</v>
      </c>
      <c r="AA336" s="3">
        <f>IF(ISERROR(VLOOKUP($A336,'SegEnds_NonXtal_BW#'!$A:$Z,19,FALSE)+VLOOKUP($A336,A:AL,28,FALSE)-50),"-",(VLOOKUP($A336,'SegEnds_NonXtal_BW#'!$A:$Z,19,FALSE)+VLOOKUP($A336,A:AL,28,FALSE)-50))</f>
        <v>987</v>
      </c>
      <c r="AB336" s="3">
        <v>1001</v>
      </c>
      <c r="AC336" s="3">
        <f>IF(ISERROR((VLOOKUP($A336,'SegEnds_NonXtal_BW#'!$A:$Z,20,FALSE)+VLOOKUP($A336,A:AL,28,FALSE)-50)),"-",(VLOOKUP($A336,'SegEnds_NonXtal_BW#'!$A:$Z,20,FALSE)+VLOOKUP($A336,A:AL,28,FALSE)-50))</f>
        <v>1020</v>
      </c>
      <c r="AD336" s="3">
        <f>IF(ISERROR(VLOOKUP($A336,'SegEnds_NonXtal_BW#'!$A:$Z,21,FALSE)+VLOOKUP($A336,A:AL,31,FALSE)-50),"-",(VLOOKUP($A336,'SegEnds_NonXtal_BW#'!$A:$Z,21,FALSE)+VLOOKUP($A336,A:AL,31,FALSE)-50))</f>
        <v>1032</v>
      </c>
      <c r="AE336" s="3">
        <v>1053</v>
      </c>
      <c r="AF336" s="3">
        <f>IF(ISERROR((VLOOKUP($A336,'SegEnds_NonXtal_BW#'!$A:$Z,22,FALSE)+VLOOKUP($A336,A:AL,31,FALSE)-50)),"-",(VLOOKUP($A336,'SegEnds_NonXtal_BW#'!$A:$Z,22,FALSE)+VLOOKUP($A336,A:AL,31,FALSE)-50))</f>
        <v>1056</v>
      </c>
      <c r="AG336" s="3">
        <f>IF(ISERROR(VLOOKUP($A336,'SegEnds_NonXtal_BW#'!$A:$Z,23,FALSE)+VLOOKUP($A336,A:AL,34,FALSE)-50),"-",(VLOOKUP($A336,'SegEnds_NonXtal_BW#'!$A:$Z,23,FALSE)+VLOOKUP($A336,A:AL,34,FALSE)-50))</f>
        <v>1062</v>
      </c>
      <c r="AH336" s="3">
        <v>1081</v>
      </c>
      <c r="AI336" s="3">
        <f>IF(ISERROR((VLOOKUP($A336,'SegEnds_NonXtal_BW#'!$A:$Z,24,FALSE)+VLOOKUP($A336,A:AL,34,FALSE)-50)),"-",(VLOOKUP($A336,'SegEnds_NonXtal_BW#'!$A:$Z,24,FALSE)+VLOOKUP($A336,A:AL,34,FALSE)-50))</f>
        <v>1087</v>
      </c>
      <c r="AJ336" s="3">
        <f>IF(ISERROR(VLOOKUP($A336,'SegEnds_NonXtal_BW#'!$A:$Z,25,FALSE)+VLOOKUP($A336,A:AL,37,FALSE)-50),"-",(VLOOKUP($A336,'SegEnds_NonXtal_BW#'!$A:$Z,25,FALSE)+VLOOKUP($A336,A:AL,37,FALSE)-50))</f>
        <v>1088</v>
      </c>
      <c r="AK336" s="3">
        <v>1091</v>
      </c>
      <c r="AL336" s="3">
        <f>IF(ISERROR((VLOOKUP($A336,'SegEnds_NonXtal_BW#'!$A:$Z,26,FALSE)+VLOOKUP($A336,A:AL,37,FALSE)-50)),"-",(VLOOKUP($A336,'SegEnds_NonXtal_BW#'!$A:$Z,26,FALSE)+VLOOKUP($A336,A:AL,37,FALSE)-50))</f>
        <v>1104</v>
      </c>
      <c r="AM336" s="28" t="str">
        <f>VLOOKUP(A336,Classification!A:B,2,FALSE)</f>
        <v>B2</v>
      </c>
      <c r="AN336" s="28" t="b">
        <f>AND(IF(Y336="-",IF(AA336-W336&gt;3,TRUE,FALSE),TRUE),IF(M336="-",IF(O336-K336&gt;3,TRUE,FALSE),TRUE),C336&lt;E336,OR(E336&lt;F336,F336="-"),OR(F336&lt;H336,F336="-"),OR(H336&lt;I336,H336="-"),I336&lt;K336,OR(K336&lt;L336,L336="-"),OR(L336&lt;N336,L336="-"),OR(N336&lt;O336,N336="-"),O336&lt;Q336,OR(Q336&lt;R336,R336="-"),OR(R336&lt;T336,R336="-"),OR(T336&lt;U336,T336="-"),U336&lt;W336,OR(W336&lt;X336,X336="-"),OR(X336&lt;Z336,X336="-"),OR(Z336&lt;AA336,Z336="-"),AA336&lt;AC336,AC336&lt;AD336,AD336&lt;AF336,AF336&lt;AG336,AG336&lt;AI336,OR(AI336&lt;AJ336,AJ336="-"),OR(AJ336&lt;AL336,AJ336="-"))</f>
        <v>1</v>
      </c>
      <c r="AO336" s="3" t="str">
        <f>IF(ISERROR(MATCH(A336,'SegEnds_Xtal_Prot#'!B:B, 0)), "NoXtal", "Xtal")</f>
        <v>NoXtal</v>
      </c>
      <c r="AP336" s="3" t="str">
        <f>IF(ISERROR(F336-E336),"-",F336-E336)</f>
        <v>-</v>
      </c>
      <c r="AQ336" s="3" t="str">
        <f>IF(ISERROR(I336-H336),"-",I336-H336)</f>
        <v>-</v>
      </c>
      <c r="AR336" s="3" t="str">
        <f>IF(ISERROR(L336-K336),"-",L336-K336)</f>
        <v>-</v>
      </c>
      <c r="AS336" s="3" t="str">
        <f>IF(ISERROR(O336-N336),"-",O336-N336)</f>
        <v>-</v>
      </c>
      <c r="AT336" s="3" t="str">
        <f>IF(ISERROR(R336-Q336),"-",R336-Q336)</f>
        <v>-</v>
      </c>
      <c r="AU336" s="3" t="str">
        <f>IF(ISERROR(U336-T336),"-",U336-T336)</f>
        <v>-</v>
      </c>
      <c r="AV336" s="3">
        <f>IF(ISERROR(X336-W336),"-",X336-W336)</f>
        <v>6</v>
      </c>
      <c r="AW336" s="3">
        <f>IF(ISERROR(AA336-Z336),"-",AA336-Z336)</f>
        <v>3</v>
      </c>
      <c r="AX336" s="3">
        <f>IF(ISERROR(AD336-AC336),"-",AD336-AC336)</f>
        <v>12</v>
      </c>
      <c r="AY336" s="3">
        <f>IF(ISERROR(AG336-AF336),"-",AG336-AF336)</f>
        <v>6</v>
      </c>
      <c r="AZ336" s="3">
        <f>IF(ISERROR(AJ336-AI336),"-",AJ336-AI336)</f>
        <v>1</v>
      </c>
      <c r="BA336" s="3">
        <f>IF(ISERROR(LEN(VLOOKUP(A336,Seqs!A:E,2,FALSE))-AL336),"-",LEN(VLOOKUP(A336,Seqs!A:E,2,FALSE))-AL336)</f>
        <v>355</v>
      </c>
      <c r="BB336" s="16">
        <f>J336-D336</f>
        <v>28</v>
      </c>
      <c r="BC336" s="9" t="str">
        <f>IF(ISERROR(V336-S336),"-",V336-S336)</f>
        <v>-</v>
      </c>
      <c r="BD336" s="3">
        <f>J336-D336</f>
        <v>28</v>
      </c>
      <c r="BE336" s="3">
        <f>AE336-AB336</f>
        <v>52</v>
      </c>
    </row>
    <row r="337" spans="1:58" s="3" customFormat="1" x14ac:dyDescent="0.2">
      <c r="A337" s="3" t="s">
        <v>1201</v>
      </c>
      <c r="B337" s="3" t="str">
        <f>LOWER(VLOOKUP(A337,Xtal_Templ!A:B,2,FALSE))</f>
        <v>crfr1_human</v>
      </c>
      <c r="C337" s="3">
        <f>VLOOKUP($A337,'SegEnds_NonXtal_BW#'!$A:$Z,3,FALSE)+D337-50</f>
        <v>852</v>
      </c>
      <c r="D337" s="3">
        <v>879</v>
      </c>
      <c r="E337" s="3">
        <f>IF(ISERROR(VLOOKUP($A337,'SegEnds_NonXtal_BW#'!$A:$Z,4,FALSE)+VLOOKUP($A337,A:AL,4,FALSE)-50),"-",(VLOOKUP($A337,'SegEnds_NonXtal_BW#'!$A:$Z,4,FALSE)+VLOOKUP($A337,A:AL,4,FALSE)-50))</f>
        <v>889</v>
      </c>
      <c r="F337" s="3">
        <f>G337-2</f>
        <v>890</v>
      </c>
      <c r="G337" s="3">
        <v>892</v>
      </c>
      <c r="H337" s="3">
        <f>G337+1</f>
        <v>893</v>
      </c>
      <c r="I337" s="3">
        <f>H337+1</f>
        <v>894</v>
      </c>
      <c r="J337" s="3">
        <v>907</v>
      </c>
      <c r="K337" s="3">
        <f>VLOOKUP($A337,'SegEnds_NonXtal_BW#'!$A:$Z,8,FALSE)+VLOOKUP($A337,A:AL,10,FALSE)-50</f>
        <v>920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925</v>
      </c>
      <c r="P337" s="3">
        <v>952</v>
      </c>
      <c r="Q337" s="3">
        <f>VLOOKUP($A337,'SegEnds_NonXtal_BW#'!$A:$Z,12,FALSE)+VLOOKUP($A337,A:AL,16,FALSE)-50</f>
        <v>958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965</v>
      </c>
      <c r="V337" s="3">
        <v>975</v>
      </c>
      <c r="W337" s="3">
        <f>IF(ISERROR(VLOOKUP($A337,'SegEnds_NonXtal_BW#'!$A:$Z,16,FALSE)+VLOOKUP($A337,A:AL,22,FALSE)-50),"-",(VLOOKUP($A337,'SegEnds_NonXtal_BW#'!$A:$Z,16,FALSE)+VLOOKUP($A337,A:AL,22,FALSE)-50))</f>
        <v>993</v>
      </c>
      <c r="X337" s="3">
        <f>IF(ISERROR(VLOOKUP($A337,'SegEnds_NonXtal_BW#'!$A:$Z,17,FALSE)+VLOOKUP($A337,A:AL,25,FALSE)-50),"-",(VLOOKUP($A337,'SegEnds_NonXtal_BW#'!$A:$Z,17,FALSE)+VLOOKUP($A337,A:AL,25,FALSE)-50))</f>
        <v>999</v>
      </c>
      <c r="Y337" s="3">
        <v>999</v>
      </c>
      <c r="Z337" s="3">
        <f>Y337+2</f>
        <v>1001</v>
      </c>
      <c r="AA337" s="3">
        <f>IF(ISERROR(VLOOKUP($A337,'SegEnds_NonXtal_BW#'!$A:$Z,19,FALSE)+VLOOKUP($A337,A:AL,28,FALSE)-50),"-",(VLOOKUP($A337,'SegEnds_NonXtal_BW#'!$A:$Z,19,FALSE)+VLOOKUP($A337,A:AL,28,FALSE)-50))</f>
        <v>1004</v>
      </c>
      <c r="AB337" s="3">
        <v>1018</v>
      </c>
      <c r="AC337" s="3">
        <f>IF(ISERROR((VLOOKUP($A337,'SegEnds_NonXtal_BW#'!$A:$Z,20,FALSE)+VLOOKUP($A337,A:AL,28,FALSE)-50)),"-",(VLOOKUP($A337,'SegEnds_NonXtal_BW#'!$A:$Z,20,FALSE)+VLOOKUP($A337,A:AL,28,FALSE)-50))</f>
        <v>1037</v>
      </c>
      <c r="AD337" s="3">
        <f>IF(ISERROR(VLOOKUP($A337,'SegEnds_NonXtal_BW#'!$A:$Z,21,FALSE)+VLOOKUP($A337,A:AL,31,FALSE)-50),"-",(VLOOKUP($A337,'SegEnds_NonXtal_BW#'!$A:$Z,21,FALSE)+VLOOKUP($A337,A:AL,31,FALSE)-50))</f>
        <v>1049</v>
      </c>
      <c r="AE337" s="3">
        <v>1070</v>
      </c>
      <c r="AF337" s="3">
        <f>IF(ISERROR((VLOOKUP($A337,'SegEnds_NonXtal_BW#'!$A:$Z,22,FALSE)+VLOOKUP($A337,A:AL,31,FALSE)-50)),"-",(VLOOKUP($A337,'SegEnds_NonXtal_BW#'!$A:$Z,22,FALSE)+VLOOKUP($A337,A:AL,31,FALSE)-50))</f>
        <v>1073</v>
      </c>
      <c r="AG337" s="3">
        <f>IF(ISERROR(VLOOKUP($A337,'SegEnds_NonXtal_BW#'!$A:$Z,23,FALSE)+VLOOKUP($A337,A:AL,34,FALSE)-50),"-",(VLOOKUP($A337,'SegEnds_NonXtal_BW#'!$A:$Z,23,FALSE)+VLOOKUP($A337,A:AL,34,FALSE)-50))</f>
        <v>1079</v>
      </c>
      <c r="AH337" s="3">
        <v>1098</v>
      </c>
      <c r="AI337" s="3">
        <f>IF(ISERROR((VLOOKUP($A337,'SegEnds_NonXtal_BW#'!$A:$Z,24,FALSE)+VLOOKUP($A337,A:AL,34,FALSE)-50)),"-",(VLOOKUP($A337,'SegEnds_NonXtal_BW#'!$A:$Z,24,FALSE)+VLOOKUP($A337,A:AL,34,FALSE)-50))</f>
        <v>1104</v>
      </c>
      <c r="AJ337" s="3">
        <f>IF(ISERROR(VLOOKUP($A337,'SegEnds_NonXtal_BW#'!$A:$Z,25,FALSE)+VLOOKUP($A337,A:AL,37,FALSE)-50),"-",(VLOOKUP($A337,'SegEnds_NonXtal_BW#'!$A:$Z,25,FALSE)+VLOOKUP($A337,A:AL,37,FALSE)-50))</f>
        <v>1105</v>
      </c>
      <c r="AK337" s="3">
        <v>1108</v>
      </c>
      <c r="AL337" s="3">
        <f>IF(ISERROR((VLOOKUP($A337,'SegEnds_NonXtal_BW#'!$A:$Z,26,FALSE)+VLOOKUP($A337,A:AL,37,FALSE)-50)),"-",(VLOOKUP($A337,'SegEnds_NonXtal_BW#'!$A:$Z,26,FALSE)+VLOOKUP($A337,A:AL,37,FALSE)-50))</f>
        <v>1121</v>
      </c>
      <c r="AM337" s="28" t="str">
        <f>VLOOKUP(A337,Classification!A:B,2,FALSE)</f>
        <v>B2</v>
      </c>
      <c r="AN337" s="28" t="b">
        <f>AND(IF(Y337="-",IF(AA337-W337&gt;3,TRUE,FALSE),TRUE),IF(M337="-",IF(O337-K337&gt;3,TRUE,FALSE),TRUE),C337&lt;E337,OR(E337&lt;F337,F337="-"),OR(F337&lt;H337,F337="-"),OR(H337&lt;I337,H337="-"),I337&lt;K337,OR(K337&lt;L337,L337="-"),OR(L337&lt;N337,L337="-"),OR(N337&lt;O337,N337="-"),O337&lt;Q337,OR(Q337&lt;R337,R337="-"),OR(R337&lt;T337,R337="-"),OR(T337&lt;U337,T337="-"),U337&lt;W337,OR(W337&lt;X337,X337="-"),OR(X337&lt;Z337,X337="-"),OR(Z337&lt;AA337,Z337="-"),AA337&lt;AC337,AC337&lt;AD337,AD337&lt;AF337,AF337&lt;AG337,AG337&lt;AI337,OR(AI337&lt;AJ337,AJ337="-"),OR(AJ337&lt;AL337,AJ337="-"))</f>
        <v>1</v>
      </c>
      <c r="AO337" s="3" t="str">
        <f>IF(ISERROR(MATCH(A337,'SegEnds_Xtal_Prot#'!B:B, 0)), "NoXtal", "Xtal")</f>
        <v>NoXtal</v>
      </c>
      <c r="AP337" s="3">
        <f>IF(ISERROR(F337-E337),"-",F337-E337)</f>
        <v>1</v>
      </c>
      <c r="AQ337" s="3">
        <f>IF(ISERROR(I337-H337),"-",I337-H337)</f>
        <v>1</v>
      </c>
      <c r="AR337" s="3" t="str">
        <f>IF(ISERROR(L337-K337),"-",L337-K337)</f>
        <v>-</v>
      </c>
      <c r="AS337" s="3" t="str">
        <f>IF(ISERROR(O337-N337),"-",O337-N337)</f>
        <v>-</v>
      </c>
      <c r="AT337" s="3" t="str">
        <f>IF(ISERROR(R337-Q337),"-",R337-Q337)</f>
        <v>-</v>
      </c>
      <c r="AU337" s="3" t="str">
        <f>IF(ISERROR(U337-T337),"-",U337-T337)</f>
        <v>-</v>
      </c>
      <c r="AV337" s="3">
        <f>IF(ISERROR(X337-W337),"-",X337-W337)</f>
        <v>6</v>
      </c>
      <c r="AW337" s="3">
        <f>IF(ISERROR(AA337-Z337),"-",AA337-Z337)</f>
        <v>3</v>
      </c>
      <c r="AX337" s="3">
        <f>IF(ISERROR(AD337-AC337),"-",AD337-AC337)</f>
        <v>12</v>
      </c>
      <c r="AY337" s="3">
        <f>IF(ISERROR(AG337-AF337),"-",AG337-AF337)</f>
        <v>6</v>
      </c>
      <c r="AZ337" s="3">
        <f>IF(ISERROR(AJ337-AI337),"-",AJ337-AI337)</f>
        <v>1</v>
      </c>
      <c r="BA337" s="3">
        <f>IF(ISERROR(LEN(VLOOKUP(A337,Seqs!A:E,2,FALSE))-AL337),"-",LEN(VLOOKUP(A337,Seqs!A:E,2,FALSE))-AL337)</f>
        <v>326</v>
      </c>
      <c r="BB337" s="16">
        <f>J337-D337</f>
        <v>28</v>
      </c>
      <c r="BC337" s="9" t="str">
        <f>IF(ISERROR(V337-S337),"-",V337-S337)</f>
        <v>-</v>
      </c>
      <c r="BD337" s="3">
        <f>J337-D337</f>
        <v>28</v>
      </c>
      <c r="BE337" s="3">
        <f>AE337-AB337</f>
        <v>52</v>
      </c>
    </row>
    <row r="338" spans="1:58" s="3" customFormat="1" x14ac:dyDescent="0.2">
      <c r="A338" s="3" t="s">
        <v>1202</v>
      </c>
      <c r="B338" s="3" t="str">
        <f>LOWER(VLOOKUP(A338,Xtal_Templ!A:B,2,FALSE))</f>
        <v>crfr1_human</v>
      </c>
      <c r="C338" s="3">
        <f>VLOOKUP($A338,'SegEnds_NonXtal_BW#'!$A:$Z,3,FALSE)+D338-50</f>
        <v>415</v>
      </c>
      <c r="D338" s="3">
        <v>442</v>
      </c>
      <c r="E338" s="3">
        <f>IF(ISERROR(VLOOKUP($A338,'SegEnds_NonXtal_BW#'!$A:$Z,4,FALSE)+VLOOKUP($A338,A:AL,4,FALSE)-50),"-",(VLOOKUP($A338,'SegEnds_NonXtal_BW#'!$A:$Z,4,FALSE)+VLOOKUP($A338,A:AL,4,FALSE)-50))</f>
        <v>452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457</v>
      </c>
      <c r="J338" s="3">
        <v>470</v>
      </c>
      <c r="K338" s="3">
        <f>VLOOKUP($A338,'SegEnds_NonXtal_BW#'!$A:$Z,8,FALSE)+VLOOKUP($A338,A:AL,10,FALSE)-50</f>
        <v>483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488</v>
      </c>
      <c r="P338" s="3">
        <v>515</v>
      </c>
      <c r="Q338" s="3">
        <f>VLOOKUP($A338,'SegEnds_NonXtal_BW#'!$A:$Z,12,FALSE)+VLOOKUP($A338,A:AL,16,FALSE)-50</f>
        <v>521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528</v>
      </c>
      <c r="V338" s="3">
        <v>538</v>
      </c>
      <c r="W338" s="3">
        <f>IF(ISERROR(VLOOKUP($A338,'SegEnds_NonXtal_BW#'!$A:$Z,16,FALSE)+VLOOKUP($A338,A:AL,22,FALSE)-50),"-",(VLOOKUP($A338,'SegEnds_NonXtal_BW#'!$A:$Z,16,FALSE)+VLOOKUP($A338,A:AL,22,FALSE)-50))</f>
        <v>556</v>
      </c>
      <c r="X338" s="3">
        <f>IF(ISERROR(VLOOKUP($A338,'SegEnds_NonXtal_BW#'!$A:$Z,17,FALSE)+VLOOKUP($A338,A:AL,25,FALSE)-50),"-",(VLOOKUP($A338,'SegEnds_NonXtal_BW#'!$A:$Z,17,FALSE)+VLOOKUP($A338,A:AL,25,FALSE)-50))</f>
        <v>562</v>
      </c>
      <c r="Y338" s="3">
        <v>562</v>
      </c>
      <c r="Z338" s="3">
        <f>Y338+2</f>
        <v>564</v>
      </c>
      <c r="AA338" s="3">
        <f>IF(ISERROR(VLOOKUP($A338,'SegEnds_NonXtal_BW#'!$A:$Z,19,FALSE)+VLOOKUP($A338,A:AL,28,FALSE)-50),"-",(VLOOKUP($A338,'SegEnds_NonXtal_BW#'!$A:$Z,19,FALSE)+VLOOKUP($A338,A:AL,28,FALSE)-50))</f>
        <v>567</v>
      </c>
      <c r="AB338" s="3">
        <v>581</v>
      </c>
      <c r="AC338" s="3">
        <f>IF(ISERROR((VLOOKUP($A338,'SegEnds_NonXtal_BW#'!$A:$Z,20,FALSE)+VLOOKUP($A338,A:AL,28,FALSE)-50)),"-",(VLOOKUP($A338,'SegEnds_NonXtal_BW#'!$A:$Z,20,FALSE)+VLOOKUP($A338,A:AL,28,FALSE)-50))</f>
        <v>600</v>
      </c>
      <c r="AD338" s="3">
        <f>IF(ISERROR(VLOOKUP($A338,'SegEnds_NonXtal_BW#'!$A:$Z,21,FALSE)+VLOOKUP($A338,A:AL,31,FALSE)-50),"-",(VLOOKUP($A338,'SegEnds_NonXtal_BW#'!$A:$Z,21,FALSE)+VLOOKUP($A338,A:AL,31,FALSE)-50))</f>
        <v>612</v>
      </c>
      <c r="AE338" s="3">
        <v>633</v>
      </c>
      <c r="AF338" s="3">
        <f>IF(ISERROR((VLOOKUP($A338,'SegEnds_NonXtal_BW#'!$A:$Z,22,FALSE)+VLOOKUP($A338,A:AL,31,FALSE)-50)),"-",(VLOOKUP($A338,'SegEnds_NonXtal_BW#'!$A:$Z,22,FALSE)+VLOOKUP($A338,A:AL,31,FALSE)-50))</f>
        <v>636</v>
      </c>
      <c r="AG338" s="3">
        <f>IF(ISERROR(VLOOKUP($A338,'SegEnds_NonXtal_BW#'!$A:$Z,23,FALSE)+VLOOKUP($A338,A:AL,34,FALSE)-50),"-",(VLOOKUP($A338,'SegEnds_NonXtal_BW#'!$A:$Z,23,FALSE)+VLOOKUP($A338,A:AL,34,FALSE)-50))</f>
        <v>642</v>
      </c>
      <c r="AH338" s="3">
        <v>661</v>
      </c>
      <c r="AI338" s="3">
        <f>IF(ISERROR((VLOOKUP($A338,'SegEnds_NonXtal_BW#'!$A:$Z,24,FALSE)+VLOOKUP($A338,A:AL,34,FALSE)-50)),"-",(VLOOKUP($A338,'SegEnds_NonXtal_BW#'!$A:$Z,24,FALSE)+VLOOKUP($A338,A:AL,34,FALSE)-50))</f>
        <v>667</v>
      </c>
      <c r="AJ338" s="3">
        <f>IF(ISERROR(VLOOKUP($A338,'SegEnds_NonXtal_BW#'!$A:$Z,25,FALSE)+VLOOKUP($A338,A:AL,37,FALSE)-50),"-",(VLOOKUP($A338,'SegEnds_NonXtal_BW#'!$A:$Z,25,FALSE)+VLOOKUP($A338,A:AL,37,FALSE)-50))</f>
        <v>668</v>
      </c>
      <c r="AK338" s="3">
        <v>671</v>
      </c>
      <c r="AL338" s="3">
        <f>IF(ISERROR((VLOOKUP($A338,'SegEnds_NonXtal_BW#'!$A:$Z,26,FALSE)+VLOOKUP($A338,A:AL,37,FALSE)-50)),"-",(VLOOKUP($A338,'SegEnds_NonXtal_BW#'!$A:$Z,26,FALSE)+VLOOKUP($A338,A:AL,37,FALSE)-50))</f>
        <v>684</v>
      </c>
      <c r="AM338" s="28" t="str">
        <f>VLOOKUP(A338,Classification!A:B,2,FALSE)</f>
        <v>B2</v>
      </c>
      <c r="AN338" s="28" t="b">
        <f>AND(IF(Y338="-",IF(AA338-W338&gt;3,TRUE,FALSE),TRUE),IF(M338="-",IF(O338-K338&gt;3,TRUE,FALSE),TRUE),C338&lt;E338,OR(E338&lt;F338,F338="-"),OR(F338&lt;H338,F338="-"),OR(H338&lt;I338,H338="-"),I338&lt;K338,OR(K338&lt;L338,L338="-"),OR(L338&lt;N338,L338="-"),OR(N338&lt;O338,N338="-"),O338&lt;Q338,OR(Q338&lt;R338,R338="-"),OR(R338&lt;T338,R338="-"),OR(T338&lt;U338,T338="-"),U338&lt;W338,OR(W338&lt;X338,X338="-"),OR(X338&lt;Z338,X338="-"),OR(Z338&lt;AA338,Z338="-"),AA338&lt;AC338,AC338&lt;AD338,AD338&lt;AF338,AF338&lt;AG338,AG338&lt;AI338,OR(AI338&lt;AJ338,AJ338="-"),OR(AJ338&lt;AL338,AJ338="-"))</f>
        <v>1</v>
      </c>
      <c r="AO338" s="3" t="str">
        <f>IF(ISERROR(MATCH(A338,'SegEnds_Xtal_Prot#'!B:B, 0)), "NoXtal", "Xtal")</f>
        <v>NoXtal</v>
      </c>
      <c r="AP338" s="3" t="str">
        <f>IF(ISERROR(F338-E338),"-",F338-E338)</f>
        <v>-</v>
      </c>
      <c r="AQ338" s="3" t="str">
        <f>IF(ISERROR(I338-H338),"-",I338-H338)</f>
        <v>-</v>
      </c>
      <c r="AR338" s="3" t="str">
        <f>IF(ISERROR(L338-K338),"-",L338-K338)</f>
        <v>-</v>
      </c>
      <c r="AS338" s="3" t="str">
        <f>IF(ISERROR(O338-N338),"-",O338-N338)</f>
        <v>-</v>
      </c>
      <c r="AT338" s="3" t="str">
        <f>IF(ISERROR(R338-Q338),"-",R338-Q338)</f>
        <v>-</v>
      </c>
      <c r="AU338" s="3" t="str">
        <f>IF(ISERROR(U338-T338),"-",U338-T338)</f>
        <v>-</v>
      </c>
      <c r="AV338" s="3">
        <f>IF(ISERROR(X338-W338),"-",X338-W338)</f>
        <v>6</v>
      </c>
      <c r="AW338" s="3">
        <f>IF(ISERROR(AA338-Z338),"-",AA338-Z338)</f>
        <v>3</v>
      </c>
      <c r="AX338" s="3">
        <f>IF(ISERROR(AD338-AC338),"-",AD338-AC338)</f>
        <v>12</v>
      </c>
      <c r="AY338" s="3">
        <f>IF(ISERROR(AG338-AF338),"-",AG338-AF338)</f>
        <v>6</v>
      </c>
      <c r="AZ338" s="3">
        <f>IF(ISERROR(AJ338-AI338),"-",AJ338-AI338)</f>
        <v>1</v>
      </c>
      <c r="BA338" s="3">
        <f>IF(ISERROR(LEN(VLOOKUP(A338,Seqs!A:E,2,FALSE))-AL338),"-",LEN(VLOOKUP(A338,Seqs!A:E,2,FALSE))-AL338)</f>
        <v>6</v>
      </c>
      <c r="BB338" s="16">
        <f>J338-D338</f>
        <v>28</v>
      </c>
      <c r="BC338" s="9" t="str">
        <f>IF(ISERROR(V338-S338),"-",V338-S338)</f>
        <v>-</v>
      </c>
      <c r="BD338" s="3">
        <f>J338-D338</f>
        <v>28</v>
      </c>
      <c r="BE338" s="3">
        <f>AE338-AB338</f>
        <v>52</v>
      </c>
      <c r="BF338" s="3">
        <f>AH338-AE338</f>
        <v>28</v>
      </c>
    </row>
    <row r="339" spans="1:58" s="3" customFormat="1" x14ac:dyDescent="0.2">
      <c r="A339" s="3" t="s">
        <v>414</v>
      </c>
      <c r="B339" s="3" t="str">
        <f>LOWER(VLOOKUP(A339,Xtal_Templ!A:B,2,FALSE))</f>
        <v>crfr1_human</v>
      </c>
      <c r="C339" s="3">
        <f>VLOOKUP($A339,'SegEnds_NonXtal_BW#'!$A:$Z,3,FALSE)+D339-50</f>
        <v>935</v>
      </c>
      <c r="D339" s="3">
        <v>962</v>
      </c>
      <c r="E339" s="3">
        <f>IF(ISERROR(VLOOKUP($A339,'SegEnds_NonXtal_BW#'!$A:$Z,4,FALSE)+VLOOKUP($A339,A:AL,4,FALSE)-50),"-",(VLOOKUP($A339,'SegEnds_NonXtal_BW#'!$A:$Z,4,FALSE)+VLOOKUP($A339,A:AL,4,FALSE)-50))</f>
        <v>972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978</v>
      </c>
      <c r="J339" s="3">
        <v>991</v>
      </c>
      <c r="K339" s="3">
        <f>VLOOKUP($A339,'SegEnds_NonXtal_BW#'!$A:$Z,8,FALSE)+VLOOKUP($A339,A:AL,10,FALSE)-50</f>
        <v>1004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1009</v>
      </c>
      <c r="P339" s="3">
        <v>1036</v>
      </c>
      <c r="Q339" s="3">
        <f>VLOOKUP($A339,'SegEnds_NonXtal_BW#'!$A:$Z,12,FALSE)+VLOOKUP($A339,A:AL,16,FALSE)-50</f>
        <v>1042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1048</v>
      </c>
      <c r="V339" s="3">
        <v>1058</v>
      </c>
      <c r="W339" s="3">
        <f>IF(ISERROR(VLOOKUP($A339,'SegEnds_NonXtal_BW#'!$A:$Z,16,FALSE)+VLOOKUP($A339,A:AL,22,FALSE)-50),"-",(VLOOKUP($A339,'SegEnds_NonXtal_BW#'!$A:$Z,16,FALSE)+VLOOKUP($A339,A:AL,22,FALSE)-50))</f>
        <v>1076</v>
      </c>
      <c r="X339" s="3">
        <f>IF(ISERROR(VLOOKUP($A339,'SegEnds_NonXtal_BW#'!$A:$Z,17,FALSE)+VLOOKUP($A339,A:AL,25,FALSE)-50),"-",(VLOOKUP($A339,'SegEnds_NonXtal_BW#'!$A:$Z,17,FALSE)+VLOOKUP($A339,A:AL,25,FALSE)-50))</f>
        <v>1083</v>
      </c>
      <c r="Y339" s="3">
        <v>1083</v>
      </c>
      <c r="Z339" s="3">
        <f>Y339+2</f>
        <v>1085</v>
      </c>
      <c r="AA339" s="3">
        <f>IF(ISERROR(VLOOKUP($A339,'SegEnds_NonXtal_BW#'!$A:$Z,19,FALSE)+VLOOKUP($A339,A:AL,28,FALSE)-50),"-",(VLOOKUP($A339,'SegEnds_NonXtal_BW#'!$A:$Z,19,FALSE)+VLOOKUP($A339,A:AL,28,FALSE)-50))</f>
        <v>1088</v>
      </c>
      <c r="AB339" s="3">
        <v>1102</v>
      </c>
      <c r="AC339" s="3">
        <f>IF(ISERROR((VLOOKUP($A339,'SegEnds_NonXtal_BW#'!$A:$Z,20,FALSE)+VLOOKUP($A339,A:AL,28,FALSE)-50)),"-",(VLOOKUP($A339,'SegEnds_NonXtal_BW#'!$A:$Z,20,FALSE)+VLOOKUP($A339,A:AL,28,FALSE)-50))</f>
        <v>1121</v>
      </c>
      <c r="AD339" s="3">
        <f>IF(ISERROR(VLOOKUP($A339,'SegEnds_NonXtal_BW#'!$A:$Z,21,FALSE)+VLOOKUP($A339,A:AL,31,FALSE)-50),"-",(VLOOKUP($A339,'SegEnds_NonXtal_BW#'!$A:$Z,21,FALSE)+VLOOKUP($A339,A:AL,31,FALSE)-50))</f>
        <v>1131</v>
      </c>
      <c r="AE339" s="3">
        <v>1152</v>
      </c>
      <c r="AF339" s="3">
        <f>IF(ISERROR((VLOOKUP($A339,'SegEnds_NonXtal_BW#'!$A:$Z,22,FALSE)+VLOOKUP($A339,A:AL,31,FALSE)-50)),"-",(VLOOKUP($A339,'SegEnds_NonXtal_BW#'!$A:$Z,22,FALSE)+VLOOKUP($A339,A:AL,31,FALSE)-50))</f>
        <v>1155</v>
      </c>
      <c r="AG339" s="3">
        <f>IF(ISERROR(VLOOKUP($A339,'SegEnds_NonXtal_BW#'!$A:$Z,23,FALSE)+VLOOKUP($A339,A:AL,34,FALSE)-50),"-",(VLOOKUP($A339,'SegEnds_NonXtal_BW#'!$A:$Z,23,FALSE)+VLOOKUP($A339,A:AL,34,FALSE)-50))</f>
        <v>1162</v>
      </c>
      <c r="AH339" s="3">
        <v>1181</v>
      </c>
      <c r="AI339" s="3">
        <f>IF(ISERROR((VLOOKUP($A339,'SegEnds_NonXtal_BW#'!$A:$Z,24,FALSE)+VLOOKUP($A339,A:AL,34,FALSE)-50)),"-",(VLOOKUP($A339,'SegEnds_NonXtal_BW#'!$A:$Z,24,FALSE)+VLOOKUP($A339,A:AL,34,FALSE)-50))</f>
        <v>1187</v>
      </c>
      <c r="AJ339" s="3">
        <f>IF(ISERROR(VLOOKUP($A339,'SegEnds_NonXtal_BW#'!$A:$Z,25,FALSE)+VLOOKUP($A339,A:AL,37,FALSE)-50),"-",(VLOOKUP($A339,'SegEnds_NonXtal_BW#'!$A:$Z,25,FALSE)+VLOOKUP($A339,A:AL,37,FALSE)-50))</f>
        <v>1188</v>
      </c>
      <c r="AK339" s="3">
        <v>1191</v>
      </c>
      <c r="AL339" s="3">
        <f>IF(ISERROR((VLOOKUP($A339,'SegEnds_NonXtal_BW#'!$A:$Z,26,FALSE)+VLOOKUP($A339,A:AL,37,FALSE)-50)),"-",(VLOOKUP($A339,'SegEnds_NonXtal_BW#'!$A:$Z,26,FALSE)+VLOOKUP($A339,A:AL,37,FALSE)-50))</f>
        <v>1204</v>
      </c>
      <c r="AM339" s="28" t="str">
        <f>VLOOKUP(A339,Classification!A:B,2,FALSE)</f>
        <v>B2</v>
      </c>
      <c r="AN339" s="28" t="b">
        <f>AND(IF(Y339="-",IF(AA339-W339&gt;3,TRUE,FALSE),TRUE),IF(M339="-",IF(O339-K339&gt;3,TRUE,FALSE),TRUE),C339&lt;E339,OR(E339&lt;F339,F339="-"),OR(F339&lt;H339,F339="-"),OR(H339&lt;I339,H339="-"),I339&lt;K339,OR(K339&lt;L339,L339="-"),OR(L339&lt;N339,L339="-"),OR(N339&lt;O339,N339="-"),O339&lt;Q339,OR(Q339&lt;R339,R339="-"),OR(R339&lt;T339,R339="-"),OR(T339&lt;U339,T339="-"),U339&lt;W339,OR(W339&lt;X339,X339="-"),OR(X339&lt;Z339,X339="-"),OR(Z339&lt;AA339,Z339="-"),AA339&lt;AC339,AC339&lt;AD339,AD339&lt;AF339,AF339&lt;AG339,AG339&lt;AI339,OR(AI339&lt;AJ339,AJ339="-"),OR(AJ339&lt;AL339,AJ339="-"))</f>
        <v>1</v>
      </c>
      <c r="AO339" s="3" t="str">
        <f>IF(ISERROR(MATCH(A339,'SegEnds_Xtal_Prot#'!B:B, 0)), "NoXtal", "Xtal")</f>
        <v>NoXtal</v>
      </c>
      <c r="AP339" s="3" t="str">
        <f>IF(ISERROR(F339-E339),"-",F339-E339)</f>
        <v>-</v>
      </c>
      <c r="AQ339" s="3" t="str">
        <f>IF(ISERROR(I339-H339),"-",I339-H339)</f>
        <v>-</v>
      </c>
      <c r="AR339" s="3" t="str">
        <f>IF(ISERROR(L339-K339),"-",L339-K339)</f>
        <v>-</v>
      </c>
      <c r="AS339" s="3" t="str">
        <f>IF(ISERROR(O339-N339),"-",O339-N339)</f>
        <v>-</v>
      </c>
      <c r="AT339" s="3" t="str">
        <f>IF(ISERROR(R339-Q339),"-",R339-Q339)</f>
        <v>-</v>
      </c>
      <c r="AU339" s="3" t="str">
        <f>IF(ISERROR(U339-T339),"-",U339-T339)</f>
        <v>-</v>
      </c>
      <c r="AV339" s="3">
        <f>IF(ISERROR(X339-W339),"-",X339-W339)</f>
        <v>7</v>
      </c>
      <c r="AW339" s="3">
        <f>IF(ISERROR(AA339-Z339),"-",AA339-Z339)</f>
        <v>3</v>
      </c>
      <c r="AX339" s="3">
        <f>IF(ISERROR(AD339-AC339),"-",AD339-AC339)</f>
        <v>10</v>
      </c>
      <c r="AY339" s="3">
        <f>IF(ISERROR(AG339-AF339),"-",AG339-AF339)</f>
        <v>7</v>
      </c>
      <c r="AZ339" s="3">
        <f>IF(ISERROR(AJ339-AI339),"-",AJ339-AI339)</f>
        <v>1</v>
      </c>
      <c r="BA339" s="3">
        <f>IF(ISERROR(LEN(VLOOKUP(A339,Seqs!A:E,2,FALSE))-AL339),"-",LEN(VLOOKUP(A339,Seqs!A:E,2,FALSE))-AL339)</f>
        <v>380</v>
      </c>
      <c r="BB339" s="16">
        <f>J339-D339</f>
        <v>29</v>
      </c>
      <c r="BC339" s="9" t="str">
        <f>IF(ISERROR(V339-S339),"-",V339-S339)</f>
        <v>-</v>
      </c>
      <c r="BD339" s="3">
        <f>J339-D339</f>
        <v>29</v>
      </c>
      <c r="BE339" s="3">
        <f>AE339-AB339</f>
        <v>50</v>
      </c>
    </row>
    <row r="340" spans="1:58" s="3" customFormat="1" x14ac:dyDescent="0.2">
      <c r="A340" s="3" t="s">
        <v>417</v>
      </c>
      <c r="B340" s="3" t="str">
        <f>LOWER(VLOOKUP(A340,Xtal_Templ!A:B,2,FALSE))</f>
        <v>glp1r_human</v>
      </c>
      <c r="C340" s="3">
        <f>VLOOKUP($A340,'SegEnds_NonXtal_BW#'!$A:$Z,3,FALSE)+D340-50</f>
        <v>535</v>
      </c>
      <c r="D340" s="3">
        <v>562</v>
      </c>
      <c r="E340" s="3">
        <f>IF(ISERROR(VLOOKUP($A340,'SegEnds_NonXtal_BW#'!$A:$Z,4,FALSE)+VLOOKUP($A340,A:AL,4,FALSE)-50),"-",(VLOOKUP($A340,'SegEnds_NonXtal_BW#'!$A:$Z,4,FALSE)+VLOOKUP($A340,A:AL,4,FALSE)-50))</f>
        <v>572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577</v>
      </c>
      <c r="J340" s="3">
        <v>590</v>
      </c>
      <c r="K340" s="3">
        <f>VLOOKUP($A340,'SegEnds_NonXtal_BW#'!$A:$Z,8,FALSE)+VLOOKUP($A340,A:AL,10,FALSE)-50</f>
        <v>603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610</v>
      </c>
      <c r="P340" s="3">
        <v>637</v>
      </c>
      <c r="Q340" s="3">
        <f>VLOOKUP($A340,'SegEnds_NonXtal_BW#'!$A:$Z,12,FALSE)+VLOOKUP($A340,A:AL,16,FALSE)-50</f>
        <v>643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648</v>
      </c>
      <c r="V340" s="3">
        <v>660</v>
      </c>
      <c r="W340" s="3">
        <f>IF(ISERROR(VLOOKUP($A340,'SegEnds_NonXtal_BW#'!$A:$Z,16,FALSE)+VLOOKUP($A340,A:AL,22,FALSE)-50),"-",(VLOOKUP($A340,'SegEnds_NonXtal_BW#'!$A:$Z,16,FALSE)+VLOOKUP($A340,A:AL,22,FALSE)-50))</f>
        <v>678</v>
      </c>
      <c r="X340" s="3">
        <f>IF(ISERROR(VLOOKUP($A340,'SegEnds_NonXtal_BW#'!$A:$Z,17,FALSE)+VLOOKUP($A340,A:AL,25,FALSE)-50),"-",(VLOOKUP($A340,'SegEnds_NonXtal_BW#'!$A:$Z,17,FALSE)+VLOOKUP($A340,A:AL,25,FALSE)-50))</f>
        <v>684</v>
      </c>
      <c r="Y340" s="3">
        <v>684</v>
      </c>
      <c r="Z340" s="3">
        <f>Y340+2</f>
        <v>686</v>
      </c>
      <c r="AA340" s="3">
        <f>IF(ISERROR(VLOOKUP($A340,'SegEnds_NonXtal_BW#'!$A:$Z,19,FALSE)+VLOOKUP($A340,A:AL,28,FALSE)-50),"-",(VLOOKUP($A340,'SegEnds_NonXtal_BW#'!$A:$Z,19,FALSE)+VLOOKUP($A340,A:AL,28,FALSE)-50))</f>
        <v>689</v>
      </c>
      <c r="AB340" s="3">
        <v>703</v>
      </c>
      <c r="AC340" s="3">
        <f>IF(ISERROR((VLOOKUP($A340,'SegEnds_NonXtal_BW#'!$A:$Z,20,FALSE)+VLOOKUP($A340,A:AL,28,FALSE)-50)),"-",(VLOOKUP($A340,'SegEnds_NonXtal_BW#'!$A:$Z,20,FALSE)+VLOOKUP($A340,A:AL,28,FALSE)-50))</f>
        <v>722</v>
      </c>
      <c r="AD340" s="3">
        <f>IF(ISERROR(VLOOKUP($A340,'SegEnds_NonXtal_BW#'!$A:$Z,21,FALSE)+VLOOKUP($A340,A:AL,31,FALSE)-50),"-",(VLOOKUP($A340,'SegEnds_NonXtal_BW#'!$A:$Z,21,FALSE)+VLOOKUP($A340,A:AL,31,FALSE)-50))</f>
        <v>734</v>
      </c>
      <c r="AE340" s="3">
        <v>755</v>
      </c>
      <c r="AF340" s="3">
        <f>IF(ISERROR((VLOOKUP($A340,'SegEnds_NonXtal_BW#'!$A:$Z,22,FALSE)+VLOOKUP($A340,A:AL,31,FALSE)-50)),"-",(VLOOKUP($A340,'SegEnds_NonXtal_BW#'!$A:$Z,22,FALSE)+VLOOKUP($A340,A:AL,31,FALSE)-50))</f>
        <v>758</v>
      </c>
      <c r="AG340" s="3">
        <f>IF(ISERROR(VLOOKUP($A340,'SegEnds_NonXtal_BW#'!$A:$Z,23,FALSE)+VLOOKUP($A340,A:AL,34,FALSE)-50),"-",(VLOOKUP($A340,'SegEnds_NonXtal_BW#'!$A:$Z,23,FALSE)+VLOOKUP($A340,A:AL,34,FALSE)-50))</f>
        <v>764</v>
      </c>
      <c r="AH340" s="3">
        <v>783</v>
      </c>
      <c r="AI340" s="3">
        <f>IF(ISERROR((VLOOKUP($A340,'SegEnds_NonXtal_BW#'!$A:$Z,24,FALSE)+VLOOKUP($A340,A:AL,34,FALSE)-50)),"-",(VLOOKUP($A340,'SegEnds_NonXtal_BW#'!$A:$Z,24,FALSE)+VLOOKUP($A340,A:AL,34,FALSE)-50))</f>
        <v>789</v>
      </c>
      <c r="AJ340" s="3">
        <f>IF(ISERROR(VLOOKUP($A340,'SegEnds_NonXtal_BW#'!$A:$Z,25,FALSE)+VLOOKUP($A340,A:AL,37,FALSE)-50),"-",(VLOOKUP($A340,'SegEnds_NonXtal_BW#'!$A:$Z,25,FALSE)+VLOOKUP($A340,A:AL,37,FALSE)-50))</f>
        <v>790</v>
      </c>
      <c r="AK340" s="3">
        <v>793</v>
      </c>
      <c r="AL340" s="3">
        <f>IF(ISERROR((VLOOKUP($A340,'SegEnds_NonXtal_BW#'!$A:$Z,26,FALSE)+VLOOKUP($A340,A:AL,37,FALSE)-50)),"-",(VLOOKUP($A340,'SegEnds_NonXtal_BW#'!$A:$Z,26,FALSE)+VLOOKUP($A340,A:AL,37,FALSE)-50))</f>
        <v>806</v>
      </c>
      <c r="AM340" s="28" t="str">
        <f>VLOOKUP(A340,Classification!A:B,2,FALSE)</f>
        <v>B2</v>
      </c>
      <c r="AN340" s="28" t="b">
        <f>AND(IF(Y340="-",IF(AA340-W340&gt;3,TRUE,FALSE),TRUE),IF(M340="-",IF(O340-K340&gt;3,TRUE,FALSE),TRUE),C340&lt;E340,OR(E340&lt;F340,F340="-"),OR(F340&lt;H340,F340="-"),OR(H340&lt;I340,H340="-"),I340&lt;K340,OR(K340&lt;L340,L340="-"),OR(L340&lt;N340,L340="-"),OR(N340&lt;O340,N340="-"),O340&lt;Q340,OR(Q340&lt;R340,R340="-"),OR(R340&lt;T340,R340="-"),OR(T340&lt;U340,T340="-"),U340&lt;W340,OR(W340&lt;X340,X340="-"),OR(X340&lt;Z340,X340="-"),OR(Z340&lt;AA340,Z340="-"),AA340&lt;AC340,AC340&lt;AD340,AD340&lt;AF340,AF340&lt;AG340,AG340&lt;AI340,OR(AI340&lt;AJ340,AJ340="-"),OR(AJ340&lt;AL340,AJ340="-"))</f>
        <v>1</v>
      </c>
      <c r="AO340" s="3" t="str">
        <f>IF(ISERROR(MATCH(A340,'SegEnds_Xtal_Prot#'!B:B, 0)), "NoXtal", "Xtal")</f>
        <v>NoXtal</v>
      </c>
      <c r="AP340" s="3" t="str">
        <f>IF(ISERROR(F340-E340),"-",F340-E340)</f>
        <v>-</v>
      </c>
      <c r="AQ340" s="3" t="str">
        <f>IF(ISERROR(I340-H340),"-",I340-H340)</f>
        <v>-</v>
      </c>
      <c r="AR340" s="3" t="str">
        <f>IF(ISERROR(L340-K340),"-",L340-K340)</f>
        <v>-</v>
      </c>
      <c r="AS340" s="3" t="str">
        <f>IF(ISERROR(O340-N340),"-",O340-N340)</f>
        <v>-</v>
      </c>
      <c r="AT340" s="3" t="str">
        <f>IF(ISERROR(R340-Q340),"-",R340-Q340)</f>
        <v>-</v>
      </c>
      <c r="AU340" s="3" t="str">
        <f>IF(ISERROR(U340-T340),"-",U340-T340)</f>
        <v>-</v>
      </c>
      <c r="AV340" s="3">
        <f>IF(ISERROR(X340-W340),"-",X340-W340)</f>
        <v>6</v>
      </c>
      <c r="AW340" s="3">
        <f>IF(ISERROR(AA340-Z340),"-",AA340-Z340)</f>
        <v>3</v>
      </c>
      <c r="AX340" s="3">
        <f>IF(ISERROR(AD340-AC340),"-",AD340-AC340)</f>
        <v>12</v>
      </c>
      <c r="AY340" s="3">
        <f>IF(ISERROR(AG340-AF340),"-",AG340-AF340)</f>
        <v>6</v>
      </c>
      <c r="AZ340" s="3">
        <f>IF(ISERROR(AJ340-AI340),"-",AJ340-AI340)</f>
        <v>1</v>
      </c>
      <c r="BA340" s="3">
        <f>IF(ISERROR(LEN(VLOOKUP(A340,Seqs!A:E,2,FALSE))-AL340),"-",LEN(VLOOKUP(A340,Seqs!A:E,2,FALSE))-AL340)</f>
        <v>29</v>
      </c>
      <c r="BB340" s="16">
        <f>J340-D340</f>
        <v>28</v>
      </c>
      <c r="BC340" s="9" t="str">
        <f>IF(ISERROR(V340-S340),"-",V340-S340)</f>
        <v>-</v>
      </c>
      <c r="BD340" s="3">
        <f>J340-D340</f>
        <v>28</v>
      </c>
      <c r="BE340" s="3">
        <f>AE340-AB340</f>
        <v>52</v>
      </c>
      <c r="BF340" s="3">
        <f>AH340-AE340</f>
        <v>28</v>
      </c>
    </row>
    <row r="341" spans="1:58" s="3" customFormat="1" x14ac:dyDescent="0.2">
      <c r="A341" s="3" t="s">
        <v>418</v>
      </c>
      <c r="B341" s="3" t="str">
        <f>LOWER(VLOOKUP(A341,Xtal_Templ!A:B,2,FALSE))</f>
        <v>calcr_human</v>
      </c>
      <c r="C341" s="3">
        <f>VLOOKUP($A341,'SegEnds_NonXtal_BW#'!$A:$Z,3,FALSE)+D341-50</f>
        <v>2456</v>
      </c>
      <c r="D341" s="3">
        <v>2483</v>
      </c>
      <c r="E341" s="3">
        <f>IF(ISERROR(VLOOKUP($A341,'SegEnds_NonXtal_BW#'!$A:$Z,4,FALSE)+VLOOKUP($A341,A:AL,4,FALSE)-50),"-",(VLOOKUP($A341,'SegEnds_NonXtal_BW#'!$A:$Z,4,FALSE)+VLOOKUP($A341,A:AL,4,FALSE)-50))</f>
        <v>2493</v>
      </c>
      <c r="F341" s="3">
        <f>G341-2</f>
        <v>2494</v>
      </c>
      <c r="G341" s="3">
        <v>2496</v>
      </c>
      <c r="H341" s="3">
        <f>G341+1</f>
        <v>2497</v>
      </c>
      <c r="I341" s="3">
        <f>H341+1</f>
        <v>2498</v>
      </c>
      <c r="J341" s="3">
        <v>2511</v>
      </c>
      <c r="K341" s="3">
        <f>VLOOKUP($A341,'SegEnds_NonXtal_BW#'!$A:$Z,8,FALSE)+VLOOKUP($A341,A:AL,10,FALSE)-50</f>
        <v>2524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2529</v>
      </c>
      <c r="P341" s="3">
        <v>2556</v>
      </c>
      <c r="Q341" s="3">
        <f>VLOOKUP($A341,'SegEnds_NonXtal_BW#'!$A:$Z,12,FALSE)+VLOOKUP($A341,A:AL,16,FALSE)-50</f>
        <v>2562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2570</v>
      </c>
      <c r="V341" s="3">
        <v>2579</v>
      </c>
      <c r="W341" s="3">
        <f>IF(ISERROR(VLOOKUP($A341,'SegEnds_NonXtal_BW#'!$A:$Z,16,FALSE)+VLOOKUP($A341,A:AL,22,FALSE)-50),"-",(VLOOKUP($A341,'SegEnds_NonXtal_BW#'!$A:$Z,16,FALSE)+VLOOKUP($A341,A:AL,22,FALSE)-50))</f>
        <v>2597</v>
      </c>
      <c r="X341" s="3">
        <f>IF(ISERROR(VLOOKUP($A341,'SegEnds_NonXtal_BW#'!$A:$Z,17,FALSE)+VLOOKUP($A341,A:AL,25,FALSE)-50),"-",(VLOOKUP($A341,'SegEnds_NonXtal_BW#'!$A:$Z,17,FALSE)+VLOOKUP($A341,A:AL,25,FALSE)-50))</f>
        <v>2603</v>
      </c>
      <c r="Y341" s="3">
        <v>2603</v>
      </c>
      <c r="Z341" s="3">
        <f>Y341+2</f>
        <v>2605</v>
      </c>
      <c r="AA341" s="3">
        <f>IF(ISERROR(VLOOKUP($A341,'SegEnds_NonXtal_BW#'!$A:$Z,19,FALSE)+VLOOKUP($A341,A:AL,28,FALSE)-50),"-",(VLOOKUP($A341,'SegEnds_NonXtal_BW#'!$A:$Z,19,FALSE)+VLOOKUP($A341,A:AL,28,FALSE)-50))</f>
        <v>2608</v>
      </c>
      <c r="AB341" s="3">
        <v>2622</v>
      </c>
      <c r="AC341" s="3">
        <f>IF(ISERROR((VLOOKUP($A341,'SegEnds_NonXtal_BW#'!$A:$Z,20,FALSE)+VLOOKUP($A341,A:AL,28,FALSE)-50)),"-",(VLOOKUP($A341,'SegEnds_NonXtal_BW#'!$A:$Z,20,FALSE)+VLOOKUP($A341,A:AL,28,FALSE)-50))</f>
        <v>2641</v>
      </c>
      <c r="AD341" s="3">
        <f>IF(ISERROR(VLOOKUP($A341,'SegEnds_NonXtal_BW#'!$A:$Z,21,FALSE)+VLOOKUP($A341,A:AL,31,FALSE)-50),"-",(VLOOKUP($A341,'SegEnds_NonXtal_BW#'!$A:$Z,21,FALSE)+VLOOKUP($A341,A:AL,31,FALSE)-50))</f>
        <v>2649</v>
      </c>
      <c r="AE341" s="3">
        <v>2670</v>
      </c>
      <c r="AF341" s="3">
        <f>IF(ISERROR((VLOOKUP($A341,'SegEnds_NonXtal_BW#'!$A:$Z,22,FALSE)+VLOOKUP($A341,A:AL,31,FALSE)-50)),"-",(VLOOKUP($A341,'SegEnds_NonXtal_BW#'!$A:$Z,22,FALSE)+VLOOKUP($A341,A:AL,31,FALSE)-50))</f>
        <v>2673</v>
      </c>
      <c r="AG341" s="3">
        <f>IF(ISERROR(VLOOKUP($A341,'SegEnds_NonXtal_BW#'!$A:$Z,23,FALSE)+VLOOKUP($A341,A:AL,34,FALSE)-50),"-",(VLOOKUP($A341,'SegEnds_NonXtal_BW#'!$A:$Z,23,FALSE)+VLOOKUP($A341,A:AL,34,FALSE)-50))</f>
        <v>2679</v>
      </c>
      <c r="AH341" s="3">
        <v>2698</v>
      </c>
      <c r="AI341" s="3">
        <f>IF(ISERROR((VLOOKUP($A341,'SegEnds_NonXtal_BW#'!$A:$Z,24,FALSE)+VLOOKUP($A341,A:AL,34,FALSE)-50)),"-",(VLOOKUP($A341,'SegEnds_NonXtal_BW#'!$A:$Z,24,FALSE)+VLOOKUP($A341,A:AL,34,FALSE)-50))</f>
        <v>2704</v>
      </c>
      <c r="AJ341" s="3">
        <f>IF(ISERROR(VLOOKUP($A341,'SegEnds_NonXtal_BW#'!$A:$Z,25,FALSE)+VLOOKUP($A341,A:AL,37,FALSE)-50),"-",(VLOOKUP($A341,'SegEnds_NonXtal_BW#'!$A:$Z,25,FALSE)+VLOOKUP($A341,A:AL,37,FALSE)-50))</f>
        <v>2705</v>
      </c>
      <c r="AK341" s="3">
        <v>2708</v>
      </c>
      <c r="AL341" s="3">
        <f>IF(ISERROR((VLOOKUP($A341,'SegEnds_NonXtal_BW#'!$A:$Z,26,FALSE)+VLOOKUP($A341,A:AL,37,FALSE)-50)),"-",(VLOOKUP($A341,'SegEnds_NonXtal_BW#'!$A:$Z,26,FALSE)+VLOOKUP($A341,A:AL,37,FALSE)-50))</f>
        <v>2721</v>
      </c>
      <c r="AM341" s="28" t="str">
        <f>VLOOKUP(A341,Classification!A:B,2,FALSE)</f>
        <v>B2</v>
      </c>
      <c r="AN341" s="28" t="b">
        <f>AND(IF(Y341="-",IF(AA341-W341&gt;3,TRUE,FALSE),TRUE),IF(M341="-",IF(O341-K341&gt;3,TRUE,FALSE),TRUE),C341&lt;E341,OR(E341&lt;F341,F341="-"),OR(F341&lt;H341,F341="-"),OR(H341&lt;I341,H341="-"),I341&lt;K341,OR(K341&lt;L341,L341="-"),OR(L341&lt;N341,L341="-"),OR(N341&lt;O341,N341="-"),O341&lt;Q341,OR(Q341&lt;R341,R341="-"),OR(R341&lt;T341,R341="-"),OR(T341&lt;U341,T341="-"),U341&lt;W341,OR(W341&lt;X341,X341="-"),OR(X341&lt;Z341,X341="-"),OR(Z341&lt;AA341,Z341="-"),AA341&lt;AC341,AC341&lt;AD341,AD341&lt;AF341,AF341&lt;AG341,AG341&lt;AI341,OR(AI341&lt;AJ341,AJ341="-"),OR(AJ341&lt;AL341,AJ341="-"))</f>
        <v>1</v>
      </c>
      <c r="AO341" s="3" t="str">
        <f>IF(ISERROR(MATCH(A341,'SegEnds_Xtal_Prot#'!B:B, 0)), "NoXtal", "Xtal")</f>
        <v>NoXtal</v>
      </c>
      <c r="AP341" s="3">
        <f>IF(ISERROR(F341-E341),"-",F341-E341)</f>
        <v>1</v>
      </c>
      <c r="AQ341" s="3">
        <f>IF(ISERROR(I341-H341),"-",I341-H341)</f>
        <v>1</v>
      </c>
      <c r="AR341" s="3" t="str">
        <f>IF(ISERROR(L341-K341),"-",L341-K341)</f>
        <v>-</v>
      </c>
      <c r="AS341" s="3" t="str">
        <f>IF(ISERROR(O341-N341),"-",O341-N341)</f>
        <v>-</v>
      </c>
      <c r="AT341" s="3" t="str">
        <f>IF(ISERROR(R341-Q341),"-",R341-Q341)</f>
        <v>-</v>
      </c>
      <c r="AU341" s="3" t="str">
        <f>IF(ISERROR(U341-T341),"-",U341-T341)</f>
        <v>-</v>
      </c>
      <c r="AV341" s="3">
        <f>IF(ISERROR(X341-W341),"-",X341-W341)</f>
        <v>6</v>
      </c>
      <c r="AW341" s="3">
        <f>IF(ISERROR(AA341-Z341),"-",AA341-Z341)</f>
        <v>3</v>
      </c>
      <c r="AX341" s="3">
        <f>IF(ISERROR(AD341-AC341),"-",AD341-AC341)</f>
        <v>8</v>
      </c>
      <c r="AY341" s="3">
        <f>IF(ISERROR(AG341-AF341),"-",AG341-AF341)</f>
        <v>6</v>
      </c>
      <c r="AZ341" s="3">
        <f>IF(ISERROR(AJ341-AI341),"-",AJ341-AI341)</f>
        <v>1</v>
      </c>
      <c r="BA341" s="3">
        <f>IF(ISERROR(LEN(VLOOKUP(A341,Seqs!A:E,2,FALSE))-AL341),"-",LEN(VLOOKUP(A341,Seqs!A:E,2,FALSE))-AL341)</f>
        <v>293</v>
      </c>
      <c r="BB341" s="16">
        <f>J341-D341</f>
        <v>28</v>
      </c>
      <c r="BC341" s="9" t="str">
        <f>IF(ISERROR(V341-S341),"-",V341-S341)</f>
        <v>-</v>
      </c>
      <c r="BD341" s="3">
        <f>J341-D341</f>
        <v>28</v>
      </c>
      <c r="BE341" s="3">
        <f>AE341-AB341</f>
        <v>48</v>
      </c>
    </row>
    <row r="342" spans="1:58" s="3" customFormat="1" x14ac:dyDescent="0.2">
      <c r="A342" s="3" t="s">
        <v>419</v>
      </c>
      <c r="B342" s="3" t="str">
        <f>LOWER(VLOOKUP(A342,Xtal_Templ!A:B,2,FALSE))</f>
        <v>calcr_human</v>
      </c>
      <c r="C342" s="3">
        <f>VLOOKUP($A342,'SegEnds_NonXtal_BW#'!$A:$Z,3,FALSE)+D342-50</f>
        <v>2364</v>
      </c>
      <c r="D342" s="3">
        <v>2391</v>
      </c>
      <c r="E342" s="3">
        <f>IF(ISERROR(VLOOKUP($A342,'SegEnds_NonXtal_BW#'!$A:$Z,4,FALSE)+VLOOKUP($A342,A:AL,4,FALSE)-50),"-",(VLOOKUP($A342,'SegEnds_NonXtal_BW#'!$A:$Z,4,FALSE)+VLOOKUP($A342,A:AL,4,FALSE)-50))</f>
        <v>2401</v>
      </c>
      <c r="F342" s="3">
        <f>G342-2</f>
        <v>2402</v>
      </c>
      <c r="G342" s="3">
        <v>2404</v>
      </c>
      <c r="H342" s="3">
        <f>G342+1</f>
        <v>2405</v>
      </c>
      <c r="I342" s="3">
        <f>H342+1</f>
        <v>2406</v>
      </c>
      <c r="J342" s="3">
        <v>2419</v>
      </c>
      <c r="K342" s="3">
        <f>VLOOKUP($A342,'SegEnds_NonXtal_BW#'!$A:$Z,8,FALSE)+VLOOKUP($A342,A:AL,10,FALSE)-50</f>
        <v>2432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2437</v>
      </c>
      <c r="P342" s="3">
        <v>2464</v>
      </c>
      <c r="Q342" s="3">
        <f>VLOOKUP($A342,'SegEnds_NonXtal_BW#'!$A:$Z,12,FALSE)+VLOOKUP($A342,A:AL,16,FALSE)-50</f>
        <v>2470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2478</v>
      </c>
      <c r="V342" s="3">
        <v>2487</v>
      </c>
      <c r="W342" s="3">
        <f>IF(ISERROR(VLOOKUP($A342,'SegEnds_NonXtal_BW#'!$A:$Z,16,FALSE)+VLOOKUP($A342,A:AL,22,FALSE)-50),"-",(VLOOKUP($A342,'SegEnds_NonXtal_BW#'!$A:$Z,16,FALSE)+VLOOKUP($A342,A:AL,22,FALSE)-50))</f>
        <v>2505</v>
      </c>
      <c r="X342" s="3">
        <f>IF(ISERROR(VLOOKUP($A342,'SegEnds_NonXtal_BW#'!$A:$Z,17,FALSE)+VLOOKUP($A342,A:AL,25,FALSE)-50),"-",(VLOOKUP($A342,'SegEnds_NonXtal_BW#'!$A:$Z,17,FALSE)+VLOOKUP($A342,A:AL,25,FALSE)-50))</f>
        <v>2511</v>
      </c>
      <c r="Y342" s="3">
        <v>2511</v>
      </c>
      <c r="Z342" s="3">
        <f>Y342+2</f>
        <v>2513</v>
      </c>
      <c r="AA342" s="3">
        <f>IF(ISERROR(VLOOKUP($A342,'SegEnds_NonXtal_BW#'!$A:$Z,19,FALSE)+VLOOKUP($A342,A:AL,28,FALSE)-50),"-",(VLOOKUP($A342,'SegEnds_NonXtal_BW#'!$A:$Z,19,FALSE)+VLOOKUP($A342,A:AL,28,FALSE)-50))</f>
        <v>2516</v>
      </c>
      <c r="AB342" s="3">
        <v>2530</v>
      </c>
      <c r="AC342" s="3">
        <f>IF(ISERROR((VLOOKUP($A342,'SegEnds_NonXtal_BW#'!$A:$Z,20,FALSE)+VLOOKUP($A342,A:AL,28,FALSE)-50)),"-",(VLOOKUP($A342,'SegEnds_NonXtal_BW#'!$A:$Z,20,FALSE)+VLOOKUP($A342,A:AL,28,FALSE)-50))</f>
        <v>2549</v>
      </c>
      <c r="AD342" s="3">
        <f>IF(ISERROR(VLOOKUP($A342,'SegEnds_NonXtal_BW#'!$A:$Z,21,FALSE)+VLOOKUP($A342,A:AL,31,FALSE)-50),"-",(VLOOKUP($A342,'SegEnds_NonXtal_BW#'!$A:$Z,21,FALSE)+VLOOKUP($A342,A:AL,31,FALSE)-50))</f>
        <v>2557</v>
      </c>
      <c r="AE342" s="3">
        <v>2578</v>
      </c>
      <c r="AF342" s="3">
        <f>IF(ISERROR((VLOOKUP($A342,'SegEnds_NonXtal_BW#'!$A:$Z,22,FALSE)+VLOOKUP($A342,A:AL,31,FALSE)-50)),"-",(VLOOKUP($A342,'SegEnds_NonXtal_BW#'!$A:$Z,22,FALSE)+VLOOKUP($A342,A:AL,31,FALSE)-50))</f>
        <v>2581</v>
      </c>
      <c r="AG342" s="3">
        <f>IF(ISERROR(VLOOKUP($A342,'SegEnds_NonXtal_BW#'!$A:$Z,23,FALSE)+VLOOKUP($A342,A:AL,34,FALSE)-50),"-",(VLOOKUP($A342,'SegEnds_NonXtal_BW#'!$A:$Z,23,FALSE)+VLOOKUP($A342,A:AL,34,FALSE)-50))</f>
        <v>2587</v>
      </c>
      <c r="AH342" s="3">
        <v>2606</v>
      </c>
      <c r="AI342" s="3">
        <f>IF(ISERROR((VLOOKUP($A342,'SegEnds_NonXtal_BW#'!$A:$Z,24,FALSE)+VLOOKUP($A342,A:AL,34,FALSE)-50)),"-",(VLOOKUP($A342,'SegEnds_NonXtal_BW#'!$A:$Z,24,FALSE)+VLOOKUP($A342,A:AL,34,FALSE)-50))</f>
        <v>2612</v>
      </c>
      <c r="AJ342" s="3">
        <f>IF(ISERROR(VLOOKUP($A342,'SegEnds_NonXtal_BW#'!$A:$Z,25,FALSE)+VLOOKUP($A342,A:AL,37,FALSE)-50),"-",(VLOOKUP($A342,'SegEnds_NonXtal_BW#'!$A:$Z,25,FALSE)+VLOOKUP($A342,A:AL,37,FALSE)-50))</f>
        <v>2613</v>
      </c>
      <c r="AK342" s="3">
        <v>2616</v>
      </c>
      <c r="AL342" s="3">
        <f>IF(ISERROR((VLOOKUP($A342,'SegEnds_NonXtal_BW#'!$A:$Z,26,FALSE)+VLOOKUP($A342,A:AL,37,FALSE)-50)),"-",(VLOOKUP($A342,'SegEnds_NonXtal_BW#'!$A:$Z,26,FALSE)+VLOOKUP($A342,A:AL,37,FALSE)-50))</f>
        <v>2629</v>
      </c>
      <c r="AM342" s="28" t="str">
        <f>VLOOKUP(A342,Classification!A:B,2,FALSE)</f>
        <v>B2</v>
      </c>
      <c r="AN342" s="28" t="b">
        <f>AND(IF(Y342="-",IF(AA342-W342&gt;3,TRUE,FALSE),TRUE),IF(M342="-",IF(O342-K342&gt;3,TRUE,FALSE),TRUE),C342&lt;E342,OR(E342&lt;F342,F342="-"),OR(F342&lt;H342,F342="-"),OR(H342&lt;I342,H342="-"),I342&lt;K342,OR(K342&lt;L342,L342="-"),OR(L342&lt;N342,L342="-"),OR(N342&lt;O342,N342="-"),O342&lt;Q342,OR(Q342&lt;R342,R342="-"),OR(R342&lt;T342,R342="-"),OR(T342&lt;U342,T342="-"),U342&lt;W342,OR(W342&lt;X342,X342="-"),OR(X342&lt;Z342,X342="-"),OR(Z342&lt;AA342,Z342="-"),AA342&lt;AC342,AC342&lt;AD342,AD342&lt;AF342,AF342&lt;AG342,AG342&lt;AI342,OR(AI342&lt;AJ342,AJ342="-"),OR(AJ342&lt;AL342,AJ342="-"))</f>
        <v>1</v>
      </c>
      <c r="AO342" s="3" t="str">
        <f>IF(ISERROR(MATCH(A342,'SegEnds_Xtal_Prot#'!B:B, 0)), "NoXtal", "Xtal")</f>
        <v>NoXtal</v>
      </c>
      <c r="AP342" s="3">
        <f>IF(ISERROR(F342-E342),"-",F342-E342)</f>
        <v>1</v>
      </c>
      <c r="AQ342" s="3">
        <f>IF(ISERROR(I342-H342),"-",I342-H342)</f>
        <v>1</v>
      </c>
      <c r="AR342" s="3" t="str">
        <f>IF(ISERROR(L342-K342),"-",L342-K342)</f>
        <v>-</v>
      </c>
      <c r="AS342" s="3" t="str">
        <f>IF(ISERROR(O342-N342),"-",O342-N342)</f>
        <v>-</v>
      </c>
      <c r="AT342" s="3" t="str">
        <f>IF(ISERROR(R342-Q342),"-",R342-Q342)</f>
        <v>-</v>
      </c>
      <c r="AU342" s="3" t="str">
        <f>IF(ISERROR(U342-T342),"-",U342-T342)</f>
        <v>-</v>
      </c>
      <c r="AV342" s="3">
        <f>IF(ISERROR(X342-W342),"-",X342-W342)</f>
        <v>6</v>
      </c>
      <c r="AW342" s="3">
        <f>IF(ISERROR(AA342-Z342),"-",AA342-Z342)</f>
        <v>3</v>
      </c>
      <c r="AX342" s="3">
        <f>IF(ISERROR(AD342-AC342),"-",AD342-AC342)</f>
        <v>8</v>
      </c>
      <c r="AY342" s="3">
        <f>IF(ISERROR(AG342-AF342),"-",AG342-AF342)</f>
        <v>6</v>
      </c>
      <c r="AZ342" s="3">
        <f>IF(ISERROR(AJ342-AI342),"-",AJ342-AI342)</f>
        <v>1</v>
      </c>
      <c r="BA342" s="3">
        <f>IF(ISERROR(LEN(VLOOKUP(A342,Seqs!A:E,2,FALSE))-AL342),"-",LEN(VLOOKUP(A342,Seqs!A:E,2,FALSE))-AL342)</f>
        <v>294</v>
      </c>
      <c r="BB342" s="16">
        <f>J342-D342</f>
        <v>28</v>
      </c>
      <c r="BC342" s="9" t="str">
        <f>IF(ISERROR(V342-S342),"-",V342-S342)</f>
        <v>-</v>
      </c>
      <c r="BD342" s="3">
        <f>J342-D342</f>
        <v>28</v>
      </c>
      <c r="BE342" s="3">
        <f>AE342-AB342</f>
        <v>48</v>
      </c>
    </row>
    <row r="343" spans="1:58" s="3" customFormat="1" x14ac:dyDescent="0.2">
      <c r="A343" s="3" t="s">
        <v>420</v>
      </c>
      <c r="B343" s="3" t="str">
        <f>LOWER(VLOOKUP(A343,Xtal_Templ!A:B,2,FALSE))</f>
        <v>crfr1_human</v>
      </c>
      <c r="C343" s="3">
        <f>VLOOKUP($A343,'SegEnds_NonXtal_BW#'!$A:$Z,3,FALSE)+D343-50</f>
        <v>2527</v>
      </c>
      <c r="D343" s="3">
        <v>2554</v>
      </c>
      <c r="E343" s="3">
        <f>IF(ISERROR(VLOOKUP($A343,'SegEnds_NonXtal_BW#'!$A:$Z,4,FALSE)+VLOOKUP($A343,A:AL,4,FALSE)-50),"-",(VLOOKUP($A343,'SegEnds_NonXtal_BW#'!$A:$Z,4,FALSE)+VLOOKUP($A343,A:AL,4,FALSE)-50))</f>
        <v>2564</v>
      </c>
      <c r="F343" s="3">
        <f>G343-2</f>
        <v>2565</v>
      </c>
      <c r="G343" s="3">
        <v>2567</v>
      </c>
      <c r="H343" s="3">
        <f>G343+1</f>
        <v>2568</v>
      </c>
      <c r="I343" s="3">
        <f>H343+1</f>
        <v>2569</v>
      </c>
      <c r="J343" s="3">
        <v>2582</v>
      </c>
      <c r="K343" s="3">
        <f>VLOOKUP($A343,'SegEnds_NonXtal_BW#'!$A:$Z,8,FALSE)+VLOOKUP($A343,A:AL,10,FALSE)-50</f>
        <v>2595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2600</v>
      </c>
      <c r="P343" s="3">
        <v>2627</v>
      </c>
      <c r="Q343" s="3">
        <f>VLOOKUP($A343,'SegEnds_NonXtal_BW#'!$A:$Z,12,FALSE)+VLOOKUP($A343,A:AL,16,FALSE)-50</f>
        <v>2633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2640</v>
      </c>
      <c r="V343" s="3">
        <v>2650</v>
      </c>
      <c r="W343" s="3">
        <f>IF(ISERROR(VLOOKUP($A343,'SegEnds_NonXtal_BW#'!$A:$Z,16,FALSE)+VLOOKUP($A343,A:AL,22,FALSE)-50),"-",(VLOOKUP($A343,'SegEnds_NonXtal_BW#'!$A:$Z,16,FALSE)+VLOOKUP($A343,A:AL,22,FALSE)-50))</f>
        <v>2668</v>
      </c>
      <c r="X343" s="3">
        <f>IF(ISERROR(VLOOKUP($A343,'SegEnds_NonXtal_BW#'!$A:$Z,17,FALSE)+VLOOKUP($A343,A:AL,25,FALSE)-50),"-",(VLOOKUP($A343,'SegEnds_NonXtal_BW#'!$A:$Z,17,FALSE)+VLOOKUP($A343,A:AL,25,FALSE)-50))</f>
        <v>2674</v>
      </c>
      <c r="Y343" s="3">
        <v>2674</v>
      </c>
      <c r="Z343" s="3">
        <f>Y343+2</f>
        <v>2676</v>
      </c>
      <c r="AA343" s="3">
        <f>IF(ISERROR(VLOOKUP($A343,'SegEnds_NonXtal_BW#'!$A:$Z,19,FALSE)+VLOOKUP($A343,A:AL,28,FALSE)-50),"-",(VLOOKUP($A343,'SegEnds_NonXtal_BW#'!$A:$Z,19,FALSE)+VLOOKUP($A343,A:AL,28,FALSE)-50))</f>
        <v>2679</v>
      </c>
      <c r="AB343" s="3">
        <v>2693</v>
      </c>
      <c r="AC343" s="3">
        <f>IF(ISERROR((VLOOKUP($A343,'SegEnds_NonXtal_BW#'!$A:$Z,20,FALSE)+VLOOKUP($A343,A:AL,28,FALSE)-50)),"-",(VLOOKUP($A343,'SegEnds_NonXtal_BW#'!$A:$Z,20,FALSE)+VLOOKUP($A343,A:AL,28,FALSE)-50))</f>
        <v>2712</v>
      </c>
      <c r="AD343" s="3">
        <f>IF(ISERROR(VLOOKUP($A343,'SegEnds_NonXtal_BW#'!$A:$Z,21,FALSE)+VLOOKUP($A343,A:AL,31,FALSE)-50),"-",(VLOOKUP($A343,'SegEnds_NonXtal_BW#'!$A:$Z,21,FALSE)+VLOOKUP($A343,A:AL,31,FALSE)-50))</f>
        <v>2719</v>
      </c>
      <c r="AE343" s="3">
        <v>2740</v>
      </c>
      <c r="AF343" s="3">
        <f>IF(ISERROR((VLOOKUP($A343,'SegEnds_NonXtal_BW#'!$A:$Z,22,FALSE)+VLOOKUP($A343,A:AL,31,FALSE)-50)),"-",(VLOOKUP($A343,'SegEnds_NonXtal_BW#'!$A:$Z,22,FALSE)+VLOOKUP($A343,A:AL,31,FALSE)-50))</f>
        <v>2743</v>
      </c>
      <c r="AG343" s="3">
        <f>IF(ISERROR(VLOOKUP($A343,'SegEnds_NonXtal_BW#'!$A:$Z,23,FALSE)+VLOOKUP($A343,A:AL,34,FALSE)-50),"-",(VLOOKUP($A343,'SegEnds_NonXtal_BW#'!$A:$Z,23,FALSE)+VLOOKUP($A343,A:AL,34,FALSE)-50))</f>
        <v>2749</v>
      </c>
      <c r="AH343" s="3">
        <v>2768</v>
      </c>
      <c r="AI343" s="3">
        <f>IF(ISERROR((VLOOKUP($A343,'SegEnds_NonXtal_BW#'!$A:$Z,24,FALSE)+VLOOKUP($A343,A:AL,34,FALSE)-50)),"-",(VLOOKUP($A343,'SegEnds_NonXtal_BW#'!$A:$Z,24,FALSE)+VLOOKUP($A343,A:AL,34,FALSE)-50))</f>
        <v>2774</v>
      </c>
      <c r="AJ343" s="3">
        <f>IF(ISERROR(VLOOKUP($A343,'SegEnds_NonXtal_BW#'!$A:$Z,25,FALSE)+VLOOKUP($A343,A:AL,37,FALSE)-50),"-",(VLOOKUP($A343,'SegEnds_NonXtal_BW#'!$A:$Z,25,FALSE)+VLOOKUP($A343,A:AL,37,FALSE)-50))</f>
        <v>2775</v>
      </c>
      <c r="AK343" s="3">
        <v>2778</v>
      </c>
      <c r="AL343" s="3">
        <f>IF(ISERROR((VLOOKUP($A343,'SegEnds_NonXtal_BW#'!$A:$Z,26,FALSE)+VLOOKUP($A343,A:AL,37,FALSE)-50)),"-",(VLOOKUP($A343,'SegEnds_NonXtal_BW#'!$A:$Z,26,FALSE)+VLOOKUP($A343,A:AL,37,FALSE)-50))</f>
        <v>2791</v>
      </c>
      <c r="AM343" s="28" t="str">
        <f>VLOOKUP(A343,Classification!A:B,2,FALSE)</f>
        <v>B2</v>
      </c>
      <c r="AN343" s="28" t="b">
        <f>AND(IF(Y343="-",IF(AA343-W343&gt;3,TRUE,FALSE),TRUE),IF(M343="-",IF(O343-K343&gt;3,TRUE,FALSE),TRUE),C343&lt;E343,OR(E343&lt;F343,F343="-"),OR(F343&lt;H343,F343="-"),OR(H343&lt;I343,H343="-"),I343&lt;K343,OR(K343&lt;L343,L343="-"),OR(L343&lt;N343,L343="-"),OR(N343&lt;O343,N343="-"),O343&lt;Q343,OR(Q343&lt;R343,R343="-"),OR(R343&lt;T343,R343="-"),OR(T343&lt;U343,T343="-"),U343&lt;W343,OR(W343&lt;X343,X343="-"),OR(X343&lt;Z343,X343="-"),OR(Z343&lt;AA343,Z343="-"),AA343&lt;AC343,AC343&lt;AD343,AD343&lt;AF343,AF343&lt;AG343,AG343&lt;AI343,OR(AI343&lt;AJ343,AJ343="-"),OR(AJ343&lt;AL343,AJ343="-"))</f>
        <v>1</v>
      </c>
      <c r="AO343" s="3" t="str">
        <f>IF(ISERROR(MATCH(A343,'SegEnds_Xtal_Prot#'!B:B, 0)), "NoXtal", "Xtal")</f>
        <v>NoXtal</v>
      </c>
      <c r="AP343" s="3">
        <f>IF(ISERROR(F343-E343),"-",F343-E343)</f>
        <v>1</v>
      </c>
      <c r="AQ343" s="3">
        <f>IF(ISERROR(I343-H343),"-",I343-H343)</f>
        <v>1</v>
      </c>
      <c r="AR343" s="3" t="str">
        <f>IF(ISERROR(L343-K343),"-",L343-K343)</f>
        <v>-</v>
      </c>
      <c r="AS343" s="3" t="str">
        <f>IF(ISERROR(O343-N343),"-",O343-N343)</f>
        <v>-</v>
      </c>
      <c r="AT343" s="3" t="str">
        <f>IF(ISERROR(R343-Q343),"-",R343-Q343)</f>
        <v>-</v>
      </c>
      <c r="AU343" s="3" t="str">
        <f>IF(ISERROR(U343-T343),"-",U343-T343)</f>
        <v>-</v>
      </c>
      <c r="AV343" s="3">
        <f>IF(ISERROR(X343-W343),"-",X343-W343)</f>
        <v>6</v>
      </c>
      <c r="AW343" s="3">
        <f>IF(ISERROR(AA343-Z343),"-",AA343-Z343)</f>
        <v>3</v>
      </c>
      <c r="AX343" s="3">
        <f>IF(ISERROR(AD343-AC343),"-",AD343-AC343)</f>
        <v>7</v>
      </c>
      <c r="AY343" s="3">
        <f>IF(ISERROR(AG343-AF343),"-",AG343-AF343)</f>
        <v>6</v>
      </c>
      <c r="AZ343" s="3">
        <f>IF(ISERROR(AJ343-AI343),"-",AJ343-AI343)</f>
        <v>1</v>
      </c>
      <c r="BA343" s="3">
        <f>IF(ISERROR(LEN(VLOOKUP(A343,Seqs!A:E,2,FALSE))-AL343),"-",LEN(VLOOKUP(A343,Seqs!A:E,2,FALSE))-AL343)</f>
        <v>521</v>
      </c>
      <c r="BB343" s="16">
        <f>J343-D343</f>
        <v>28</v>
      </c>
      <c r="BC343" s="9" t="str">
        <f>IF(ISERROR(V343-S343),"-",V343-S343)</f>
        <v>-</v>
      </c>
      <c r="BD343" s="3">
        <f>J343-D343</f>
        <v>28</v>
      </c>
      <c r="BE343" s="3">
        <f>AE343-AB343</f>
        <v>47</v>
      </c>
    </row>
    <row r="344" spans="1:58" s="3" customFormat="1" x14ac:dyDescent="0.2">
      <c r="A344" s="3" t="s">
        <v>442</v>
      </c>
      <c r="B344" s="3" t="str">
        <f>LOWER(VLOOKUP(A344,Xtal_Templ!A:B,2,FALSE))</f>
        <v>crfr1_human</v>
      </c>
      <c r="C344" s="3">
        <f>VLOOKUP($A344,'SegEnds_NonXtal_BW#'!$A:$Z,3,FALSE)+D344-50</f>
        <v>5895</v>
      </c>
      <c r="D344" s="3">
        <v>5922</v>
      </c>
      <c r="E344" s="3">
        <f>IF(ISERROR(VLOOKUP($A344,'SegEnds_NonXtal_BW#'!$A:$Z,4,FALSE)+VLOOKUP($A344,A:AL,4,FALSE)-50),"-",(VLOOKUP($A344,'SegEnds_NonXtal_BW#'!$A:$Z,4,FALSE)+VLOOKUP($A344,A:AL,4,FALSE)-50))</f>
        <v>5932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5935</v>
      </c>
      <c r="J344" s="3">
        <v>5948</v>
      </c>
      <c r="K344" s="3">
        <f>VLOOKUP($A344,'SegEnds_NonXtal_BW#'!$A:$Z,8,FALSE)+VLOOKUP($A344,A:AL,10,FALSE)-50</f>
        <v>5961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5968</v>
      </c>
      <c r="P344" s="3">
        <v>5995</v>
      </c>
      <c r="Q344" s="3">
        <f>VLOOKUP($A344,'SegEnds_NonXtal_BW#'!$A:$Z,12,FALSE)+VLOOKUP($A344,A:AL,16,FALSE)-50</f>
        <v>6001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6008</v>
      </c>
      <c r="V344" s="3">
        <v>6018</v>
      </c>
      <c r="W344" s="3">
        <f>IF(ISERROR(VLOOKUP($A344,'SegEnds_NonXtal_BW#'!$A:$Z,16,FALSE)+VLOOKUP($A344,A:AL,22,FALSE)-50),"-",(VLOOKUP($A344,'SegEnds_NonXtal_BW#'!$A:$Z,16,FALSE)+VLOOKUP($A344,A:AL,22,FALSE)-50))</f>
        <v>6036</v>
      </c>
      <c r="X344" s="3">
        <f>IF(ISERROR(VLOOKUP($A344,'SegEnds_NonXtal_BW#'!$A:$Z,17,FALSE)+VLOOKUP($A344,A:AL,25,FALSE)-50),"-",(VLOOKUP($A344,'SegEnds_NonXtal_BW#'!$A:$Z,17,FALSE)+VLOOKUP($A344,A:AL,25,FALSE)-50))</f>
        <v>6052</v>
      </c>
      <c r="Y344" s="3">
        <v>6052</v>
      </c>
      <c r="Z344" s="3">
        <f>Y344+2</f>
        <v>6054</v>
      </c>
      <c r="AA344" s="3">
        <f>IF(ISERROR(VLOOKUP($A344,'SegEnds_NonXtal_BW#'!$A:$Z,19,FALSE)+VLOOKUP($A344,A:AL,28,FALSE)-50),"-",(VLOOKUP($A344,'SegEnds_NonXtal_BW#'!$A:$Z,19,FALSE)+VLOOKUP($A344,A:AL,28,FALSE)-50))</f>
        <v>6058</v>
      </c>
      <c r="AB344" s="3">
        <v>6072</v>
      </c>
      <c r="AC344" s="3">
        <f>IF(ISERROR((VLOOKUP($A344,'SegEnds_NonXtal_BW#'!$A:$Z,20,FALSE)+VLOOKUP($A344,A:AL,28,FALSE)-50)),"-",(VLOOKUP($A344,'SegEnds_NonXtal_BW#'!$A:$Z,20,FALSE)+VLOOKUP($A344,A:AL,28,FALSE)-50))</f>
        <v>6091</v>
      </c>
      <c r="AD344" s="3">
        <f>IF(ISERROR(VLOOKUP($A344,'SegEnds_NonXtal_BW#'!$A:$Z,21,FALSE)+VLOOKUP($A344,A:AL,31,FALSE)-50),"-",(VLOOKUP($A344,'SegEnds_NonXtal_BW#'!$A:$Z,21,FALSE)+VLOOKUP($A344,A:AL,31,FALSE)-50))</f>
        <v>6100</v>
      </c>
      <c r="AE344" s="3">
        <v>6121</v>
      </c>
      <c r="AF344" s="3">
        <f>IF(ISERROR((VLOOKUP($A344,'SegEnds_NonXtal_BW#'!$A:$Z,22,FALSE)+VLOOKUP($A344,A:AL,31,FALSE)-50)),"-",(VLOOKUP($A344,'SegEnds_NonXtal_BW#'!$A:$Z,22,FALSE)+VLOOKUP($A344,A:AL,31,FALSE)-50))</f>
        <v>6124</v>
      </c>
      <c r="AG344" s="3">
        <f>IF(ISERROR(VLOOKUP($A344,'SegEnds_NonXtal_BW#'!$A:$Z,23,FALSE)+VLOOKUP($A344,A:AL,34,FALSE)-50),"-",(VLOOKUP($A344,'SegEnds_NonXtal_BW#'!$A:$Z,23,FALSE)+VLOOKUP($A344,A:AL,34,FALSE)-50))</f>
        <v>6130</v>
      </c>
      <c r="AH344" s="3">
        <v>6149</v>
      </c>
      <c r="AI344" s="3">
        <f>IF(ISERROR((VLOOKUP($A344,'SegEnds_NonXtal_BW#'!$A:$Z,24,FALSE)+VLOOKUP($A344,A:AL,34,FALSE)-50)),"-",(VLOOKUP($A344,'SegEnds_NonXtal_BW#'!$A:$Z,24,FALSE)+VLOOKUP($A344,A:AL,34,FALSE)-50))</f>
        <v>6155</v>
      </c>
      <c r="AJ344" s="3">
        <f>IF(ISERROR(VLOOKUP($A344,'SegEnds_NonXtal_BW#'!$A:$Z,25,FALSE)+VLOOKUP($A344,A:AL,37,FALSE)-50),"-",(VLOOKUP($A344,'SegEnds_NonXtal_BW#'!$A:$Z,25,FALSE)+VLOOKUP($A344,A:AL,37,FALSE)-50))</f>
        <v>6156</v>
      </c>
      <c r="AK344" s="3">
        <v>6159</v>
      </c>
      <c r="AL344" s="3">
        <f>IF(ISERROR((VLOOKUP($A344,'SegEnds_NonXtal_BW#'!$A:$Z,26,FALSE)+VLOOKUP($A344,A:AL,37,FALSE)-50)),"-",(VLOOKUP($A344,'SegEnds_NonXtal_BW#'!$A:$Z,26,FALSE)+VLOOKUP($A344,A:AL,37,FALSE)-50))</f>
        <v>6172</v>
      </c>
      <c r="AM344" s="28" t="str">
        <f>VLOOKUP(A344,Classification!A:B,2,FALSE)</f>
        <v>B2</v>
      </c>
      <c r="AN344" s="28" t="b">
        <f>AND(IF(Y344="-",IF(AA344-W344&gt;3,TRUE,FALSE),TRUE),IF(M344="-",IF(O344-K344&gt;3,TRUE,FALSE),TRUE),C344&lt;E344,OR(E344&lt;F344,F344="-"),OR(F344&lt;H344,F344="-"),OR(H344&lt;I344,H344="-"),I344&lt;K344,OR(K344&lt;L344,L344="-"),OR(L344&lt;N344,L344="-"),OR(N344&lt;O344,N344="-"),O344&lt;Q344,OR(Q344&lt;R344,R344="-"),OR(R344&lt;T344,R344="-"),OR(T344&lt;U344,T344="-"),U344&lt;W344,OR(W344&lt;X344,X344="-"),OR(X344&lt;Z344,X344="-"),OR(Z344&lt;AA344,Z344="-"),AA344&lt;AC344,AC344&lt;AD344,AD344&lt;AF344,AF344&lt;AG344,AG344&lt;AI344,OR(AI344&lt;AJ344,AJ344="-"),OR(AJ344&lt;AL344,AJ344="-"))</f>
        <v>1</v>
      </c>
      <c r="AO344" s="3" t="str">
        <f>IF(ISERROR(MATCH(A344,'SegEnds_Xtal_Prot#'!B:B, 0)), "NoXtal", "Xtal")</f>
        <v>NoXtal</v>
      </c>
      <c r="AP344" s="3" t="str">
        <f>IF(ISERROR(F344-E344),"-",F344-E344)</f>
        <v>-</v>
      </c>
      <c r="AQ344" s="3" t="str">
        <f>IF(ISERROR(I344-H344),"-",I344-H344)</f>
        <v>-</v>
      </c>
      <c r="AR344" s="3" t="str">
        <f>IF(ISERROR(L344-K344),"-",L344-K344)</f>
        <v>-</v>
      </c>
      <c r="AS344" s="3" t="str">
        <f>IF(ISERROR(O344-N344),"-",O344-N344)</f>
        <v>-</v>
      </c>
      <c r="AT344" s="3" t="str">
        <f>IF(ISERROR(R344-Q344),"-",R344-Q344)</f>
        <v>-</v>
      </c>
      <c r="AU344" s="3" t="str">
        <f>IF(ISERROR(U344-T344),"-",U344-T344)</f>
        <v>-</v>
      </c>
      <c r="AV344" s="3">
        <f>IF(ISERROR(X344-W344),"-",X344-W344)</f>
        <v>16</v>
      </c>
      <c r="AW344" s="3">
        <f>IF(ISERROR(AA344-Z344),"-",AA344-Z344)</f>
        <v>4</v>
      </c>
      <c r="AX344" s="3">
        <f>IF(ISERROR(AD344-AC344),"-",AD344-AC344)</f>
        <v>9</v>
      </c>
      <c r="AY344" s="3">
        <f>IF(ISERROR(AG344-AF344),"-",AG344-AF344)</f>
        <v>6</v>
      </c>
      <c r="AZ344" s="3">
        <f>IF(ISERROR(AJ344-AI344),"-",AJ344-AI344)</f>
        <v>1</v>
      </c>
      <c r="BA344" s="3">
        <f>IF(ISERROR(LEN(VLOOKUP(A344,Seqs!A:E,2,FALSE))-AL344),"-",LEN(VLOOKUP(A344,Seqs!A:E,2,FALSE))-AL344)</f>
        <v>134</v>
      </c>
      <c r="BB344" s="16">
        <f>J344-D344</f>
        <v>26</v>
      </c>
      <c r="BC344" s="9" t="str">
        <f>IF(ISERROR(V344-S344),"-",V344-S344)</f>
        <v>-</v>
      </c>
      <c r="BD344" s="3">
        <f>J344-D344</f>
        <v>26</v>
      </c>
      <c r="BE344" s="3">
        <f>AE344-AB344</f>
        <v>49</v>
      </c>
    </row>
    <row r="345" spans="1:58" s="3" customFormat="1" x14ac:dyDescent="0.2">
      <c r="A345" s="3" t="s">
        <v>105</v>
      </c>
      <c r="B345" s="3" t="str">
        <f>LOWER(VLOOKUP(A345,Xtal_Templ!A:B,2,FALSE))</f>
        <v>grm5_human</v>
      </c>
      <c r="C345" s="3">
        <f>VLOOKUP($A345,'SegEnds_NonXtal_BW#'!$A:$Z,3,FALSE)+D345-50</f>
        <v>611</v>
      </c>
      <c r="D345" s="3">
        <v>627</v>
      </c>
      <c r="E345" s="3">
        <f>IF(ISERROR(VLOOKUP($A345,'SegEnds_NonXtal_BW#'!$A:$Z,4,FALSE)+VLOOKUP($A345,A:AL,4,FALSE)-50),"-",(VLOOKUP($A345,'SegEnds_NonXtal_BW#'!$A:$Z,4,FALSE)+VLOOKUP($A345,A:AL,4,FALSE)-50))</f>
        <v>637</v>
      </c>
      <c r="F345" s="3">
        <f>G345-3</f>
        <v>640</v>
      </c>
      <c r="G345" s="3">
        <v>643</v>
      </c>
      <c r="H345" s="3">
        <f>G345+3</f>
        <v>646</v>
      </c>
      <c r="I345" s="3">
        <f>H345+1</f>
        <v>647</v>
      </c>
      <c r="J345" s="3">
        <v>658</v>
      </c>
      <c r="K345" s="3">
        <f>VLOOKUP($A345,'SegEnds_NonXtal_BW#'!$A:$Z,8,FALSE)+VLOOKUP($A345,A:AL,10,FALSE)-50</f>
        <v>669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674</v>
      </c>
      <c r="P345" s="3">
        <v>702</v>
      </c>
      <c r="Q345" s="3">
        <f>VLOOKUP($A345,'SegEnds_NonXtal_BW#'!$A:$Z,12,FALSE)+VLOOKUP($A345,A:AL,16,FALSE)-50</f>
        <v>706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720</v>
      </c>
      <c r="V345" s="3">
        <v>732</v>
      </c>
      <c r="W345" s="3">
        <f>IF(ISERROR(VLOOKUP($A345,'SegEnds_NonXtal_BW#'!$A:$Z,16,FALSE)+VLOOKUP($A345,A:AL,22,FALSE)-50),"-",(VLOOKUP($A345,'SegEnds_NonXtal_BW#'!$A:$Z,16,FALSE)+VLOOKUP($A345,A:AL,22,FALSE)-50))</f>
        <v>746</v>
      </c>
      <c r="X345" s="3">
        <f>IF(ISERROR(VLOOKUP($A345,'SegEnds_NonXtal_BW#'!$A:$Z,17,FALSE)+VLOOKUP($A345,A:AL,25,FALSE)-50),"-",(VLOOKUP($A345,'SegEnds_NonXtal_BW#'!$A:$Z,17,FALSE)+VLOOKUP($A345,A:AL,25,FALSE)-50))</f>
        <v>765</v>
      </c>
      <c r="Y345" s="3">
        <v>765</v>
      </c>
      <c r="Z345" s="3">
        <f>Y345+2</f>
        <v>767</v>
      </c>
      <c r="AA345" s="3">
        <f>IF(ISERROR(VLOOKUP($A345,'SegEnds_NonXtal_BW#'!$A:$Z,19,FALSE)+VLOOKUP($A345,A:AL,28,FALSE)-50),"-",(VLOOKUP($A345,'SegEnds_NonXtal_BW#'!$A:$Z,19,FALSE)+VLOOKUP($A345,A:AL,28,FALSE)-50))</f>
        <v>770</v>
      </c>
      <c r="AB345" s="3">
        <v>783</v>
      </c>
      <c r="AC345" s="3">
        <f>IF(ISERROR((VLOOKUP($A345,'SegEnds_NonXtal_BW#'!$A:$Z,20,FALSE)+VLOOKUP($A345,A:AL,28,FALSE)-50)),"-",(VLOOKUP($A345,'SegEnds_NonXtal_BW#'!$A:$Z,20,FALSE)+VLOOKUP($A345,A:AL,28,FALSE)-50))</f>
        <v>794</v>
      </c>
      <c r="AD345" s="3">
        <f>IF(ISERROR(VLOOKUP($A345,'SegEnds_NonXtal_BW#'!$A:$Z,21,FALSE)+VLOOKUP($A345,A:AL,31,FALSE)-50),"-",(VLOOKUP($A345,'SegEnds_NonXtal_BW#'!$A:$Z,21,FALSE)+VLOOKUP($A345,A:AL,31,FALSE)-50))</f>
        <v>803</v>
      </c>
      <c r="AE345" s="3">
        <v>820</v>
      </c>
      <c r="AF345" s="3">
        <f>IF(ISERROR((VLOOKUP($A345,'SegEnds_NonXtal_BW#'!$A:$Z,22,FALSE)+VLOOKUP($A345,A:AL,31,FALSE)-50)),"-",(VLOOKUP($A345,'SegEnds_NonXtal_BW#'!$A:$Z,22,FALSE)+VLOOKUP($A345,A:AL,31,FALSE)-50))</f>
        <v>827</v>
      </c>
      <c r="AG345" s="3">
        <f>IF(ISERROR(VLOOKUP($A345,'SegEnds_NonXtal_BW#'!$A:$Z,23,FALSE)+VLOOKUP($A345,A:AL,34,FALSE)-50),"-",(VLOOKUP($A345,'SegEnds_NonXtal_BW#'!$A:$Z,23,FALSE)+VLOOKUP($A345,A:AL,34,FALSE)-50))</f>
        <v>833</v>
      </c>
      <c r="AH345" s="3">
        <v>849</v>
      </c>
      <c r="AI345" s="3">
        <f>IF(ISERROR((VLOOKUP($A345,'SegEnds_NonXtal_BW#'!$A:$Z,24,FALSE)+VLOOKUP($A345,A:AL,34,FALSE)-50)),"-",(VLOOKUP($A345,'SegEnds_NonXtal_BW#'!$A:$Z,24,FALSE)+VLOOKUP($A345,A:AL,34,FALSE)-50))</f>
        <v>863</v>
      </c>
      <c r="AJ345" s="3">
        <f>IF(ISERROR(VLOOKUP($A345,'SegEnds_NonXtal_BW#'!$A:$Z,25,FALSE)+VLOOKUP($A345,A:AL,37,FALSE)-50),"-",(VLOOKUP($A345,'SegEnds_NonXtal_BW#'!$A:$Z,25,FALSE)+VLOOKUP($A345,A:AL,37,FALSE)-50))</f>
        <v>864</v>
      </c>
      <c r="AK345" s="3">
        <v>868</v>
      </c>
      <c r="AL345" s="3">
        <f>IF(ISERROR((VLOOKUP($A345,'SegEnds_NonXtal_BW#'!$A:$Z,26,FALSE)+VLOOKUP($A345,A:AL,37,FALSE)-50)),"-",(VLOOKUP($A345,'SegEnds_NonXtal_BW#'!$A:$Z,26,FALSE)+VLOOKUP($A345,A:AL,37,FALSE)-50))</f>
        <v>875</v>
      </c>
      <c r="AM345" s="28" t="str">
        <f>VLOOKUP(A345,Classification!A:B,2,FALSE)</f>
        <v>C</v>
      </c>
      <c r="AN345" s="28" t="b">
        <f>AND(IF(Y345="-",IF(AA345-W345&gt;3,TRUE,FALSE),TRUE),IF(M345="-",IF(O345-K345&gt;3,TRUE,FALSE),TRUE),C345&lt;E345,OR(E345&lt;F345,F345="-"),OR(F345&lt;H345,F345="-"),OR(H345&lt;I345,H345="-"),I345&lt;K345,OR(K345&lt;L345,L345="-"),OR(L345&lt;N345,L345="-"),OR(N345&lt;O345,N345="-"),O345&lt;Q345,OR(Q345&lt;R345,R345="-"),OR(R345&lt;T345,R345="-"),OR(T345&lt;U345,T345="-"),U345&lt;W345,OR(W345&lt;X345,X345="-"),OR(X345&lt;Z345,X345="-"),OR(Z345&lt;AA345,Z345="-"),AA345&lt;AC345,AC345&lt;AD345,AD345&lt;AF345,AF345&lt;AG345,AG345&lt;AI345,OR(AI345&lt;AJ345,AJ345="-"),OR(AJ345&lt;AL345,AJ345="-"))</f>
        <v>1</v>
      </c>
      <c r="AO345" s="3" t="str">
        <f>IF(ISERROR(MATCH(A345,'SegEnds_Xtal_Prot#'!B:B, 0)), "NoXtal", "Xtal")</f>
        <v>NoXtal</v>
      </c>
      <c r="AP345" s="3">
        <f>IF(ISERROR(F345-E345),"-",F345-E345)</f>
        <v>3</v>
      </c>
      <c r="AQ345" s="3">
        <f>IF(ISERROR(I345-H345),"-",I345-H345)</f>
        <v>1</v>
      </c>
      <c r="AR345" s="3" t="str">
        <f>IF(ISERROR(L345-K345),"-",L345-K345)</f>
        <v>-</v>
      </c>
      <c r="AS345" s="3" t="str">
        <f>IF(ISERROR(O345-N345),"-",O345-N345)</f>
        <v>-</v>
      </c>
      <c r="AT345" s="3" t="str">
        <f>IF(ISERROR(R345-Q345),"-",R345-Q345)</f>
        <v>-</v>
      </c>
      <c r="AU345" s="3" t="str">
        <f>IF(ISERROR(U345-T345),"-",U345-T345)</f>
        <v>-</v>
      </c>
      <c r="AV345" s="3">
        <f>IF(ISERROR(X345-W345),"-",X345-W345)</f>
        <v>19</v>
      </c>
      <c r="AW345" s="3">
        <f>IF(ISERROR(AA345-Z345),"-",AA345-Z345)</f>
        <v>3</v>
      </c>
      <c r="AX345" s="3">
        <f>IF(ISERROR(AD345-AC345),"-",AD345-AC345)</f>
        <v>9</v>
      </c>
      <c r="AY345" s="3">
        <f>IF(ISERROR(AG345-AF345),"-",AG345-AF345)</f>
        <v>6</v>
      </c>
      <c r="AZ345" s="3">
        <f>IF(ISERROR(AJ345-AI345),"-",AJ345-AI345)</f>
        <v>1</v>
      </c>
      <c r="BA345" s="3">
        <f>IF(ISERROR(LEN(VLOOKUP(A345,Seqs!A:E,2,FALSE))-AL345),"-",LEN(VLOOKUP(A345,Seqs!A:E,2,FALSE))-AL345)</f>
        <v>203</v>
      </c>
      <c r="BB345" s="16">
        <f>J345-D345</f>
        <v>31</v>
      </c>
      <c r="BC345" s="9" t="str">
        <f>IF(ISERROR(V345-S345),"-",V345-S345)</f>
        <v>-</v>
      </c>
      <c r="BD345" s="3">
        <f>J345-D345</f>
        <v>31</v>
      </c>
      <c r="BE345" s="3">
        <f>AE345-AB345</f>
        <v>37</v>
      </c>
    </row>
    <row r="346" spans="1:58" s="3" customFormat="1" x14ac:dyDescent="0.2">
      <c r="A346" s="3" t="s">
        <v>106</v>
      </c>
      <c r="B346" s="3" t="str">
        <f>LOWER(VLOOKUP(A346,Xtal_Templ!A:B,2,FALSE))</f>
        <v>grm5_human</v>
      </c>
      <c r="C346" s="3">
        <f>VLOOKUP($A346,'SegEnds_NonXtal_BW#'!$A:$Z,3,FALSE)+D346-50</f>
        <v>590</v>
      </c>
      <c r="D346" s="3">
        <v>606</v>
      </c>
      <c r="E346" s="3">
        <f>IF(ISERROR(VLOOKUP($A346,'SegEnds_NonXtal_BW#'!$A:$Z,4,FALSE)+VLOOKUP($A346,A:AL,4,FALSE)-50),"-",(VLOOKUP($A346,'SegEnds_NonXtal_BW#'!$A:$Z,4,FALSE)+VLOOKUP($A346,A:AL,4,FALSE)-50))</f>
        <v>616</v>
      </c>
      <c r="F346" s="3">
        <f>G346-3</f>
        <v>619</v>
      </c>
      <c r="G346" s="3">
        <v>622</v>
      </c>
      <c r="H346" s="3">
        <f>G346+3</f>
        <v>625</v>
      </c>
      <c r="I346" s="3">
        <f>H346+1</f>
        <v>626</v>
      </c>
      <c r="J346" s="3">
        <v>637</v>
      </c>
      <c r="K346" s="3">
        <f>VLOOKUP($A346,'SegEnds_NonXtal_BW#'!$A:$Z,8,FALSE)+VLOOKUP($A346,A:AL,10,FALSE)-50</f>
        <v>648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660</v>
      </c>
      <c r="P346" s="3">
        <v>688</v>
      </c>
      <c r="Q346" s="3">
        <f>VLOOKUP($A346,'SegEnds_NonXtal_BW#'!$A:$Z,12,FALSE)+VLOOKUP($A346,A:AL,16,FALSE)-50</f>
        <v>692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706</v>
      </c>
      <c r="V346" s="3">
        <v>718</v>
      </c>
      <c r="W346" s="3">
        <f>IF(ISERROR(VLOOKUP($A346,'SegEnds_NonXtal_BW#'!$A:$Z,16,FALSE)+VLOOKUP($A346,A:AL,22,FALSE)-50),"-",(VLOOKUP($A346,'SegEnds_NonXtal_BW#'!$A:$Z,16,FALSE)+VLOOKUP($A346,A:AL,22,FALSE)-50))</f>
        <v>732</v>
      </c>
      <c r="X346" s="3">
        <f>IF(ISERROR(VLOOKUP($A346,'SegEnds_NonXtal_BW#'!$A:$Z,17,FALSE)+VLOOKUP($A346,A:AL,25,FALSE)-50),"-",(VLOOKUP($A346,'SegEnds_NonXtal_BW#'!$A:$Z,17,FALSE)+VLOOKUP($A346,A:AL,25,FALSE)-50))</f>
        <v>761</v>
      </c>
      <c r="Y346" s="3">
        <v>761</v>
      </c>
      <c r="Z346" s="3">
        <f>Y346+2</f>
        <v>763</v>
      </c>
      <c r="AA346" s="3">
        <f>IF(ISERROR(VLOOKUP($A346,'SegEnds_NonXtal_BW#'!$A:$Z,19,FALSE)+VLOOKUP($A346,A:AL,28,FALSE)-50),"-",(VLOOKUP($A346,'SegEnds_NonXtal_BW#'!$A:$Z,19,FALSE)+VLOOKUP($A346,A:AL,28,FALSE)-50))</f>
        <v>767</v>
      </c>
      <c r="AB346" s="3">
        <v>780</v>
      </c>
      <c r="AC346" s="3">
        <f>IF(ISERROR((VLOOKUP($A346,'SegEnds_NonXtal_BW#'!$A:$Z,20,FALSE)+VLOOKUP($A346,A:AL,28,FALSE)-50)),"-",(VLOOKUP($A346,'SegEnds_NonXtal_BW#'!$A:$Z,20,FALSE)+VLOOKUP($A346,A:AL,28,FALSE)-50))</f>
        <v>791</v>
      </c>
      <c r="AD346" s="3">
        <f>IF(ISERROR(VLOOKUP($A346,'SegEnds_NonXtal_BW#'!$A:$Z,21,FALSE)+VLOOKUP($A346,A:AL,31,FALSE)-50),"-",(VLOOKUP($A346,'SegEnds_NonXtal_BW#'!$A:$Z,21,FALSE)+VLOOKUP($A346,A:AL,31,FALSE)-50))</f>
        <v>801</v>
      </c>
      <c r="AE346" s="3">
        <v>818</v>
      </c>
      <c r="AF346" s="3">
        <f>IF(ISERROR((VLOOKUP($A346,'SegEnds_NonXtal_BW#'!$A:$Z,22,FALSE)+VLOOKUP($A346,A:AL,31,FALSE)-50)),"-",(VLOOKUP($A346,'SegEnds_NonXtal_BW#'!$A:$Z,22,FALSE)+VLOOKUP($A346,A:AL,31,FALSE)-50))</f>
        <v>825</v>
      </c>
      <c r="AG346" s="3">
        <f>IF(ISERROR(VLOOKUP($A346,'SegEnds_NonXtal_BW#'!$A:$Z,23,FALSE)+VLOOKUP($A346,A:AL,34,FALSE)-50),"-",(VLOOKUP($A346,'SegEnds_NonXtal_BW#'!$A:$Z,23,FALSE)+VLOOKUP($A346,A:AL,34,FALSE)-50))</f>
        <v>833</v>
      </c>
      <c r="AH346" s="3">
        <v>849</v>
      </c>
      <c r="AI346" s="3">
        <f>IF(ISERROR((VLOOKUP($A346,'SegEnds_NonXtal_BW#'!$A:$Z,24,FALSE)+VLOOKUP($A346,A:AL,34,FALSE)-50)),"-",(VLOOKUP($A346,'SegEnds_NonXtal_BW#'!$A:$Z,24,FALSE)+VLOOKUP($A346,A:AL,34,FALSE)-50))</f>
        <v>863</v>
      </c>
      <c r="AJ346" s="3">
        <f>IF(ISERROR(VLOOKUP($A346,'SegEnds_NonXtal_BW#'!$A:$Z,25,FALSE)+VLOOKUP($A346,A:AL,37,FALSE)-50),"-",(VLOOKUP($A346,'SegEnds_NonXtal_BW#'!$A:$Z,25,FALSE)+VLOOKUP($A346,A:AL,37,FALSE)-50))</f>
        <v>864</v>
      </c>
      <c r="AK346" s="3">
        <v>868</v>
      </c>
      <c r="AL346" s="3">
        <f>IF(ISERROR((VLOOKUP($A346,'SegEnds_NonXtal_BW#'!$A:$Z,26,FALSE)+VLOOKUP($A346,A:AL,37,FALSE)-50)),"-",(VLOOKUP($A346,'SegEnds_NonXtal_BW#'!$A:$Z,26,FALSE)+VLOOKUP($A346,A:AL,37,FALSE)-50))</f>
        <v>875</v>
      </c>
      <c r="AM346" s="28" t="str">
        <f>VLOOKUP(A346,Classification!A:B,2,FALSE)</f>
        <v>C</v>
      </c>
      <c r="AN346" s="28" t="b">
        <f>AND(IF(Y346="-",IF(AA346-W346&gt;3,TRUE,FALSE),TRUE),IF(M346="-",IF(O346-K346&gt;3,TRUE,FALSE),TRUE),C346&lt;E346,OR(E346&lt;F346,F346="-"),OR(F346&lt;H346,F346="-"),OR(H346&lt;I346,H346="-"),I346&lt;K346,OR(K346&lt;L346,L346="-"),OR(L346&lt;N346,L346="-"),OR(N346&lt;O346,N346="-"),O346&lt;Q346,OR(Q346&lt;R346,R346="-"),OR(R346&lt;T346,R346="-"),OR(T346&lt;U346,T346="-"),U346&lt;W346,OR(W346&lt;X346,X346="-"),OR(X346&lt;Z346,X346="-"),OR(Z346&lt;AA346,Z346="-"),AA346&lt;AC346,AC346&lt;AD346,AD346&lt;AF346,AF346&lt;AG346,AG346&lt;AI346,OR(AI346&lt;AJ346,AJ346="-"),OR(AJ346&lt;AL346,AJ346="-"))</f>
        <v>1</v>
      </c>
      <c r="AO346" s="3" t="str">
        <f>IF(ISERROR(MATCH(A346,'SegEnds_Xtal_Prot#'!B:B, 0)), "NoXtal", "Xtal")</f>
        <v>NoXtal</v>
      </c>
      <c r="AP346" s="3">
        <f>IF(ISERROR(F346-E346),"-",F346-E346)</f>
        <v>3</v>
      </c>
      <c r="AQ346" s="3">
        <f>IF(ISERROR(I346-H346),"-",I346-H346)</f>
        <v>1</v>
      </c>
      <c r="AR346" s="3" t="str">
        <f>IF(ISERROR(L346-K346),"-",L346-K346)</f>
        <v>-</v>
      </c>
      <c r="AS346" s="3" t="str">
        <f>IF(ISERROR(O346-N346),"-",O346-N346)</f>
        <v>-</v>
      </c>
      <c r="AT346" s="3" t="str">
        <f>IF(ISERROR(R346-Q346),"-",R346-Q346)</f>
        <v>-</v>
      </c>
      <c r="AU346" s="3" t="str">
        <f>IF(ISERROR(U346-T346),"-",U346-T346)</f>
        <v>-</v>
      </c>
      <c r="AV346" s="3">
        <f>IF(ISERROR(X346-W346),"-",X346-W346)</f>
        <v>29</v>
      </c>
      <c r="AW346" s="3">
        <f>IF(ISERROR(AA346-Z346),"-",AA346-Z346)</f>
        <v>4</v>
      </c>
      <c r="AX346" s="3">
        <f>IF(ISERROR(AD346-AC346),"-",AD346-AC346)</f>
        <v>10</v>
      </c>
      <c r="AY346" s="3">
        <f>IF(ISERROR(AG346-AF346),"-",AG346-AF346)</f>
        <v>8</v>
      </c>
      <c r="AZ346" s="3">
        <f>IF(ISERROR(AJ346-AI346),"-",AJ346-AI346)</f>
        <v>1</v>
      </c>
      <c r="BA346" s="3">
        <f>IF(ISERROR(LEN(VLOOKUP(A346,Seqs!A:E,2,FALSE))-AL346),"-",LEN(VLOOKUP(A346,Seqs!A:E,2,FALSE))-AL346)</f>
        <v>86</v>
      </c>
      <c r="BB346" s="16">
        <f>J346-D346</f>
        <v>31</v>
      </c>
      <c r="BC346" s="9" t="str">
        <f>IF(ISERROR(V346-S346),"-",V346-S346)</f>
        <v>-</v>
      </c>
      <c r="BD346" s="3">
        <f>J346-D346</f>
        <v>31</v>
      </c>
      <c r="BE346" s="3">
        <f>AE346-AB346</f>
        <v>38</v>
      </c>
    </row>
    <row r="347" spans="1:58" s="3" customFormat="1" x14ac:dyDescent="0.2">
      <c r="A347" s="3" t="s">
        <v>107</v>
      </c>
      <c r="B347" s="3" t="str">
        <f>LOWER(VLOOKUP(A347,Xtal_Templ!A:B,2,FALSE))</f>
        <v>grm5_human</v>
      </c>
      <c r="C347" s="3">
        <f>VLOOKUP($A347,'SegEnds_NonXtal_BW#'!$A:$Z,3,FALSE)+D347-50</f>
        <v>480</v>
      </c>
      <c r="D347" s="3">
        <v>496</v>
      </c>
      <c r="E347" s="3">
        <f>IF(ISERROR(VLOOKUP($A347,'SegEnds_NonXtal_BW#'!$A:$Z,4,FALSE)+VLOOKUP($A347,A:AL,4,FALSE)-50),"-",(VLOOKUP($A347,'SegEnds_NonXtal_BW#'!$A:$Z,4,FALSE)+VLOOKUP($A347,A:AL,4,FALSE)-50))</f>
        <v>506</v>
      </c>
      <c r="F347" s="3">
        <f>G347-3</f>
        <v>509</v>
      </c>
      <c r="G347" s="3">
        <v>512</v>
      </c>
      <c r="H347" s="3">
        <f>G347+3</f>
        <v>515</v>
      </c>
      <c r="I347" s="3">
        <f>H347+1</f>
        <v>516</v>
      </c>
      <c r="J347" s="3">
        <v>527</v>
      </c>
      <c r="K347" s="3">
        <f>VLOOKUP($A347,'SegEnds_NonXtal_BW#'!$A:$Z,8,FALSE)+VLOOKUP($A347,A:AL,10,FALSE)-50</f>
        <v>538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550</v>
      </c>
      <c r="P347" s="3">
        <v>578</v>
      </c>
      <c r="Q347" s="3">
        <f>VLOOKUP($A347,'SegEnds_NonXtal_BW#'!$A:$Z,12,FALSE)+VLOOKUP($A347,A:AL,16,FALSE)-50</f>
        <v>582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593</v>
      </c>
      <c r="V347" s="3">
        <v>605</v>
      </c>
      <c r="W347" s="3">
        <f>IF(ISERROR(VLOOKUP($A347,'SegEnds_NonXtal_BW#'!$A:$Z,16,FALSE)+VLOOKUP($A347,A:AL,22,FALSE)-50),"-",(VLOOKUP($A347,'SegEnds_NonXtal_BW#'!$A:$Z,16,FALSE)+VLOOKUP($A347,A:AL,22,FALSE)-50))</f>
        <v>619</v>
      </c>
      <c r="X347" s="3">
        <f>IF(ISERROR(VLOOKUP($A347,'SegEnds_NonXtal_BW#'!$A:$Z,17,FALSE)+VLOOKUP($A347,A:AL,25,FALSE)-50),"-",(VLOOKUP($A347,'SegEnds_NonXtal_BW#'!$A:$Z,17,FALSE)+VLOOKUP($A347,A:AL,25,FALSE)-50))</f>
        <v>648</v>
      </c>
      <c r="Y347" s="3">
        <v>648</v>
      </c>
      <c r="Z347" s="3">
        <f>Y347+2</f>
        <v>650</v>
      </c>
      <c r="AA347" s="3">
        <f>IF(ISERROR(VLOOKUP($A347,'SegEnds_NonXtal_BW#'!$A:$Z,19,FALSE)+VLOOKUP($A347,A:AL,28,FALSE)-50),"-",(VLOOKUP($A347,'SegEnds_NonXtal_BW#'!$A:$Z,19,FALSE)+VLOOKUP($A347,A:AL,28,FALSE)-50))</f>
        <v>654</v>
      </c>
      <c r="AB347" s="3">
        <v>667</v>
      </c>
      <c r="AC347" s="3">
        <f>IF(ISERROR((VLOOKUP($A347,'SegEnds_NonXtal_BW#'!$A:$Z,20,FALSE)+VLOOKUP($A347,A:AL,28,FALSE)-50)),"-",(VLOOKUP($A347,'SegEnds_NonXtal_BW#'!$A:$Z,20,FALSE)+VLOOKUP($A347,A:AL,28,FALSE)-50))</f>
        <v>678</v>
      </c>
      <c r="AD347" s="3">
        <f>IF(ISERROR(VLOOKUP($A347,'SegEnds_NonXtal_BW#'!$A:$Z,21,FALSE)+VLOOKUP($A347,A:AL,31,FALSE)-50),"-",(VLOOKUP($A347,'SegEnds_NonXtal_BW#'!$A:$Z,21,FALSE)+VLOOKUP($A347,A:AL,31,FALSE)-50))</f>
        <v>688</v>
      </c>
      <c r="AE347" s="3">
        <v>705</v>
      </c>
      <c r="AF347" s="3">
        <f>IF(ISERROR((VLOOKUP($A347,'SegEnds_NonXtal_BW#'!$A:$Z,22,FALSE)+VLOOKUP($A347,A:AL,31,FALSE)-50)),"-",(VLOOKUP($A347,'SegEnds_NonXtal_BW#'!$A:$Z,22,FALSE)+VLOOKUP($A347,A:AL,31,FALSE)-50))</f>
        <v>712</v>
      </c>
      <c r="AG347" s="3">
        <f>IF(ISERROR(VLOOKUP($A347,'SegEnds_NonXtal_BW#'!$A:$Z,23,FALSE)+VLOOKUP($A347,A:AL,34,FALSE)-50),"-",(VLOOKUP($A347,'SegEnds_NonXtal_BW#'!$A:$Z,23,FALSE)+VLOOKUP($A347,A:AL,34,FALSE)-50))</f>
        <v>720</v>
      </c>
      <c r="AH347" s="3">
        <v>736</v>
      </c>
      <c r="AI347" s="3">
        <f>IF(ISERROR((VLOOKUP($A347,'SegEnds_NonXtal_BW#'!$A:$Z,24,FALSE)+VLOOKUP($A347,A:AL,34,FALSE)-50)),"-",(VLOOKUP($A347,'SegEnds_NonXtal_BW#'!$A:$Z,24,FALSE)+VLOOKUP($A347,A:AL,34,FALSE)-50))</f>
        <v>750</v>
      </c>
      <c r="AJ347" s="3">
        <f>IF(ISERROR(VLOOKUP($A347,'SegEnds_NonXtal_BW#'!$A:$Z,25,FALSE)+VLOOKUP($A347,A:AL,37,FALSE)-50),"-",(VLOOKUP($A347,'SegEnds_NonXtal_BW#'!$A:$Z,25,FALSE)+VLOOKUP($A347,A:AL,37,FALSE)-50))</f>
        <v>751</v>
      </c>
      <c r="AK347" s="3">
        <v>755</v>
      </c>
      <c r="AL347" s="3">
        <f>IF(ISERROR((VLOOKUP($A347,'SegEnds_NonXtal_BW#'!$A:$Z,26,FALSE)+VLOOKUP($A347,A:AL,37,FALSE)-50)),"-",(VLOOKUP($A347,'SegEnds_NonXtal_BW#'!$A:$Z,26,FALSE)+VLOOKUP($A347,A:AL,37,FALSE)-50))</f>
        <v>762</v>
      </c>
      <c r="AM347" s="28" t="str">
        <f>VLOOKUP(A347,Classification!A:B,2,FALSE)</f>
        <v>C</v>
      </c>
      <c r="AN347" s="28" t="b">
        <f>AND(IF(Y347="-",IF(AA347-W347&gt;3,TRUE,FALSE),TRUE),IF(M347="-",IF(O347-K347&gt;3,TRUE,FALSE),TRUE),C347&lt;E347,OR(E347&lt;F347,F347="-"),OR(F347&lt;H347,F347="-"),OR(H347&lt;I347,H347="-"),I347&lt;K347,OR(K347&lt;L347,L347="-"),OR(L347&lt;N347,L347="-"),OR(N347&lt;O347,N347="-"),O347&lt;Q347,OR(Q347&lt;R347,R347="-"),OR(R347&lt;T347,R347="-"),OR(T347&lt;U347,T347="-"),U347&lt;W347,OR(W347&lt;X347,X347="-"),OR(X347&lt;Z347,X347="-"),OR(Z347&lt;AA347,Z347="-"),AA347&lt;AC347,AC347&lt;AD347,AD347&lt;AF347,AF347&lt;AG347,AG347&lt;AI347,OR(AI347&lt;AJ347,AJ347="-"),OR(AJ347&lt;AL347,AJ347="-"))</f>
        <v>1</v>
      </c>
      <c r="AO347" s="3" t="str">
        <f>IF(ISERROR(MATCH(A347,'SegEnds_Xtal_Prot#'!B:B, 0)), "NoXtal", "Xtal")</f>
        <v>NoXtal</v>
      </c>
      <c r="AP347" s="3">
        <f>IF(ISERROR(F347-E347),"-",F347-E347)</f>
        <v>3</v>
      </c>
      <c r="AQ347" s="3">
        <f>IF(ISERROR(I347-H347),"-",I347-H347)</f>
        <v>1</v>
      </c>
      <c r="AR347" s="3" t="str">
        <f>IF(ISERROR(L347-K347),"-",L347-K347)</f>
        <v>-</v>
      </c>
      <c r="AS347" s="3" t="str">
        <f>IF(ISERROR(O347-N347),"-",O347-N347)</f>
        <v>-</v>
      </c>
      <c r="AT347" s="3" t="str">
        <f>IF(ISERROR(R347-Q347),"-",R347-Q347)</f>
        <v>-</v>
      </c>
      <c r="AU347" s="3" t="str">
        <f>IF(ISERROR(U347-T347),"-",U347-T347)</f>
        <v>-</v>
      </c>
      <c r="AV347" s="3">
        <f>IF(ISERROR(X347-W347),"-",X347-W347)</f>
        <v>29</v>
      </c>
      <c r="AW347" s="3">
        <f>IF(ISERROR(AA347-Z347),"-",AA347-Z347)</f>
        <v>4</v>
      </c>
      <c r="AX347" s="3">
        <f>IF(ISERROR(AD347-AC347),"-",AD347-AC347)</f>
        <v>10</v>
      </c>
      <c r="AY347" s="3">
        <f>IF(ISERROR(AG347-AF347),"-",AG347-AF347)</f>
        <v>8</v>
      </c>
      <c r="AZ347" s="3">
        <f>IF(ISERROR(AJ347-AI347),"-",AJ347-AI347)</f>
        <v>1</v>
      </c>
      <c r="BA347" s="3">
        <f>IF(ISERROR(LEN(VLOOKUP(A347,Seqs!A:E,2,FALSE))-AL347),"-",LEN(VLOOKUP(A347,Seqs!A:E,2,FALSE))-AL347)</f>
        <v>179</v>
      </c>
      <c r="BB347" s="16">
        <f>J347-D347</f>
        <v>31</v>
      </c>
      <c r="BC347" s="9" t="str">
        <f>IF(ISERROR(V347-S347),"-",V347-S347)</f>
        <v>-</v>
      </c>
      <c r="BD347" s="3">
        <f>J347-D347</f>
        <v>31</v>
      </c>
      <c r="BE347" s="3">
        <f>AE347-AB347</f>
        <v>38</v>
      </c>
    </row>
    <row r="348" spans="1:58" s="3" customFormat="1" x14ac:dyDescent="0.2">
      <c r="A348" s="3" t="s">
        <v>108</v>
      </c>
      <c r="B348" s="3" t="str">
        <f>LOWER(VLOOKUP(A348,Xtal_Templ!A:B,2,FALSE))</f>
        <v>grm1_human</v>
      </c>
      <c r="C348" s="3">
        <f>VLOOKUP($A348,'SegEnds_NonXtal_BW#'!$A:$Z,3,FALSE)+D348-50</f>
        <v>48</v>
      </c>
      <c r="D348" s="3">
        <v>64</v>
      </c>
      <c r="E348" s="3">
        <f>IF(ISERROR(VLOOKUP($A348,'SegEnds_NonXtal_BW#'!$A:$Z,4,FALSE)+VLOOKUP($A348,A:AL,4,FALSE)-50),"-",(VLOOKUP($A348,'SegEnds_NonXtal_BW#'!$A:$Z,4,FALSE)+VLOOKUP($A348,A:AL,4,FALSE)-50))</f>
        <v>74</v>
      </c>
      <c r="F348" s="3">
        <f>G348-3</f>
        <v>77</v>
      </c>
      <c r="G348" s="3">
        <v>80</v>
      </c>
      <c r="H348" s="3">
        <f>G348+3</f>
        <v>83</v>
      </c>
      <c r="I348" s="3">
        <f>H348+1</f>
        <v>84</v>
      </c>
      <c r="J348" s="3">
        <v>95</v>
      </c>
      <c r="K348" s="3">
        <f>VLOOKUP($A348,'SegEnds_NonXtal_BW#'!$A:$Z,8,FALSE)+VLOOKUP($A348,A:AL,10,FALSE)-50</f>
        <v>106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117</v>
      </c>
      <c r="P348" s="3">
        <v>145</v>
      </c>
      <c r="Q348" s="3">
        <f>VLOOKUP($A348,'SegEnds_NonXtal_BW#'!$A:$Z,12,FALSE)+VLOOKUP($A348,A:AL,16,FALSE)-50</f>
        <v>149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161</v>
      </c>
      <c r="V348" s="3">
        <v>173</v>
      </c>
      <c r="W348" s="3">
        <f>IF(ISERROR(VLOOKUP($A348,'SegEnds_NonXtal_BW#'!$A:$Z,16,FALSE)+VLOOKUP($A348,A:AL,22,FALSE)-50),"-",(VLOOKUP($A348,'SegEnds_NonXtal_BW#'!$A:$Z,16,FALSE)+VLOOKUP($A348,A:AL,22,FALSE)-50))</f>
        <v>187</v>
      </c>
      <c r="X348" s="3" t="str">
        <f>IF(ISERROR(VLOOKUP($A348,'SegEnds_NonXtal_BW#'!$A:$Z,17,FALSE)+VLOOKUP($A348,A:AL,25,FALSE)-50),"-",(VLOOKUP($A348,'SegEnds_NonXtal_BW#'!$A:$Z,17,FALSE)+VLOOKUP($A348,A:AL,25,FALSE)-50))</f>
        <v>-</v>
      </c>
      <c r="Y348" s="3" t="s">
        <v>23</v>
      </c>
      <c r="Z348" s="3" t="str">
        <f>IF(ISERROR(VLOOKUP($A348,'SegEnds_NonXtal_BW#'!$A:$Z,18,FALSE)+VLOOKUP($A348,A:AL,25,FALSE)-50),"-",(VLOOKUP($A348,'SegEnds_NonXtal_BW#'!$A:$Z,18,FALSE)+VLOOKUP($A348,A:AL,25,FALSE)-50))</f>
        <v>-</v>
      </c>
      <c r="AA348" s="3">
        <f>IF(ISERROR(VLOOKUP($A348,'SegEnds_NonXtal_BW#'!$A:$Z,19,FALSE)+VLOOKUP($A348,A:AL,28,FALSE)-50),"-",(VLOOKUP($A348,'SegEnds_NonXtal_BW#'!$A:$Z,19,FALSE)+VLOOKUP($A348,A:AL,28,FALSE)-50))</f>
        <v>222</v>
      </c>
      <c r="AB348" s="3">
        <v>235</v>
      </c>
      <c r="AC348" s="3">
        <f>IF(ISERROR((VLOOKUP($A348,'SegEnds_NonXtal_BW#'!$A:$Z,20,FALSE)+VLOOKUP($A348,A:AL,28,FALSE)-50)),"-",(VLOOKUP($A348,'SegEnds_NonXtal_BW#'!$A:$Z,20,FALSE)+VLOOKUP($A348,A:AL,28,FALSE)-50))</f>
        <v>246</v>
      </c>
      <c r="AD348" s="3">
        <f>IF(ISERROR(VLOOKUP($A348,'SegEnds_NonXtal_BW#'!$A:$Z,21,FALSE)+VLOOKUP($A348,A:AL,31,FALSE)-50),"-",(VLOOKUP($A348,'SegEnds_NonXtal_BW#'!$A:$Z,21,FALSE)+VLOOKUP($A348,A:AL,31,FALSE)-50))</f>
        <v>257</v>
      </c>
      <c r="AE348" s="3">
        <v>274</v>
      </c>
      <c r="AF348" s="3">
        <f>IF(ISERROR((VLOOKUP($A348,'SegEnds_NonXtal_BW#'!$A:$Z,22,FALSE)+VLOOKUP($A348,A:AL,31,FALSE)-50)),"-",(VLOOKUP($A348,'SegEnds_NonXtal_BW#'!$A:$Z,22,FALSE)+VLOOKUP($A348,A:AL,31,FALSE)-50))</f>
        <v>281</v>
      </c>
      <c r="AG348" s="3">
        <f>IF(ISERROR(VLOOKUP($A348,'SegEnds_NonXtal_BW#'!$A:$Z,23,FALSE)+VLOOKUP($A348,A:AL,34,FALSE)-50),"-",(VLOOKUP($A348,'SegEnds_NonXtal_BW#'!$A:$Z,23,FALSE)+VLOOKUP($A348,A:AL,34,FALSE)-50))</f>
        <v>288</v>
      </c>
      <c r="AH348" s="3">
        <v>304</v>
      </c>
      <c r="AI348" s="3">
        <f>IF(ISERROR((VLOOKUP($A348,'SegEnds_NonXtal_BW#'!$A:$Z,24,FALSE)+VLOOKUP($A348,A:AL,34,FALSE)-50)),"-",(VLOOKUP($A348,'SegEnds_NonXtal_BW#'!$A:$Z,24,FALSE)+VLOOKUP($A348,A:AL,34,FALSE)-50))</f>
        <v>318</v>
      </c>
      <c r="AJ348" s="3">
        <f>IF(ISERROR(VLOOKUP($A348,'SegEnds_NonXtal_BW#'!$A:$Z,25,FALSE)+VLOOKUP($A348,A:AL,37,FALSE)-50),"-",(VLOOKUP($A348,'SegEnds_NonXtal_BW#'!$A:$Z,25,FALSE)+VLOOKUP($A348,A:AL,37,FALSE)-50))</f>
        <v>319</v>
      </c>
      <c r="AK348" s="3">
        <v>323</v>
      </c>
      <c r="AL348" s="3">
        <f>IF(ISERROR((VLOOKUP($A348,'SegEnds_NonXtal_BW#'!$A:$Z,26,FALSE)+VLOOKUP($A348,A:AL,37,FALSE)-50)),"-",(VLOOKUP($A348,'SegEnds_NonXtal_BW#'!$A:$Z,26,FALSE)+VLOOKUP($A348,A:AL,37,FALSE)-50))</f>
        <v>330</v>
      </c>
      <c r="AM348" s="28" t="str">
        <f>VLOOKUP(A348,Classification!A:B,2,FALSE)</f>
        <v>C</v>
      </c>
      <c r="AN348" s="28" t="b">
        <f>AND(IF(Y348="-",IF(AA348-W348&gt;3,TRUE,FALSE),TRUE),IF(M348="-",IF(O348-K348&gt;3,TRUE,FALSE),TRUE),C348&lt;E348,OR(E348&lt;F348,F348="-"),OR(F348&lt;H348,F348="-"),OR(H348&lt;I348,H348="-"),I348&lt;K348,OR(K348&lt;L348,L348="-"),OR(L348&lt;N348,L348="-"),OR(N348&lt;O348,N348="-"),O348&lt;Q348,OR(Q348&lt;R348,R348="-"),OR(R348&lt;T348,R348="-"),OR(T348&lt;U348,T348="-"),U348&lt;W348,OR(W348&lt;X348,X348="-"),OR(X348&lt;Z348,X348="-"),OR(Z348&lt;AA348,Z348="-"),AA348&lt;AC348,AC348&lt;AD348,AD348&lt;AF348,AF348&lt;AG348,AG348&lt;AI348,OR(AI348&lt;AJ348,AJ348="-"),OR(AJ348&lt;AL348,AJ348="-"))</f>
        <v>1</v>
      </c>
      <c r="AO348" s="3" t="str">
        <f>IF(ISERROR(MATCH(A348,'SegEnds_Xtal_Prot#'!B:B, 0)), "NoXtal", "Xtal")</f>
        <v>NoXtal</v>
      </c>
      <c r="AP348" s="3">
        <f>IF(ISERROR(F348-E348),"-",F348-E348)</f>
        <v>3</v>
      </c>
      <c r="AQ348" s="3">
        <f>IF(ISERROR(I348-H348),"-",I348-H348)</f>
        <v>1</v>
      </c>
      <c r="AR348" s="3" t="str">
        <f>IF(ISERROR(L348-K348),"-",L348-K348)</f>
        <v>-</v>
      </c>
      <c r="AS348" s="3" t="str">
        <f>IF(ISERROR(O348-N348),"-",O348-N348)</f>
        <v>-</v>
      </c>
      <c r="AT348" s="3" t="str">
        <f>IF(ISERROR(R348-Q348),"-",R348-Q348)</f>
        <v>-</v>
      </c>
      <c r="AU348" s="3" t="str">
        <f>IF(ISERROR(U348-T348),"-",U348-T348)</f>
        <v>-</v>
      </c>
      <c r="AV348" s="3" t="str">
        <f>IF(ISERROR(X348-W348),"-",X348-W348)</f>
        <v>-</v>
      </c>
      <c r="AW348" s="3" t="str">
        <f>IF(ISERROR(AA348-Z348),"-",AA348-Z348)</f>
        <v>-</v>
      </c>
      <c r="AX348" s="3">
        <f>IF(ISERROR(AD348-AC348),"-",AD348-AC348)</f>
        <v>11</v>
      </c>
      <c r="AY348" s="3">
        <f>IF(ISERROR(AG348-AF348),"-",AG348-AF348)</f>
        <v>7</v>
      </c>
      <c r="AZ348" s="3">
        <f>IF(ISERROR(AJ348-AI348),"-",AJ348-AI348)</f>
        <v>1</v>
      </c>
      <c r="BA348" s="3">
        <f>IF(ISERROR(LEN(VLOOKUP(A348,Seqs!A:E,2,FALSE))-AL348),"-",LEN(VLOOKUP(A348,Seqs!A:E,2,FALSE))-AL348)</f>
        <v>484</v>
      </c>
      <c r="BB348" s="16">
        <f>J348-D348</f>
        <v>31</v>
      </c>
      <c r="BC348" s="9" t="str">
        <f>IF(ISERROR(V348-S348),"-",V348-S348)</f>
        <v>-</v>
      </c>
      <c r="BD348" s="3">
        <f>J348-D348</f>
        <v>31</v>
      </c>
      <c r="BE348" s="3">
        <f>AE348-AB348</f>
        <v>39</v>
      </c>
    </row>
    <row r="349" spans="1:58" s="3" customFormat="1" x14ac:dyDescent="0.2">
      <c r="A349" s="3" t="s">
        <v>109</v>
      </c>
      <c r="B349" s="3" t="str">
        <f>LOWER(VLOOKUP(A349,Xtal_Templ!A:B,2,FALSE))</f>
        <v>grm1_human</v>
      </c>
      <c r="C349" s="3">
        <f>VLOOKUP($A349,'SegEnds_NonXtal_BW#'!$A:$Z,3,FALSE)+D349-50</f>
        <v>415</v>
      </c>
      <c r="D349" s="3">
        <v>431</v>
      </c>
      <c r="E349" s="3">
        <f>IF(ISERROR(VLOOKUP($A349,'SegEnds_NonXtal_BW#'!$A:$Z,4,FALSE)+VLOOKUP($A349,A:AL,4,FALSE)-50),"-",(VLOOKUP($A349,'SegEnds_NonXtal_BW#'!$A:$Z,4,FALSE)+VLOOKUP($A349,A:AL,4,FALSE)-50))</f>
        <v>441</v>
      </c>
      <c r="F349" s="3">
        <f>G349-3</f>
        <v>444</v>
      </c>
      <c r="G349" s="3">
        <v>447</v>
      </c>
      <c r="H349" s="3">
        <f>G349+3</f>
        <v>450</v>
      </c>
      <c r="I349" s="3">
        <f>H349+1</f>
        <v>451</v>
      </c>
      <c r="J349" s="3">
        <v>462</v>
      </c>
      <c r="K349" s="3">
        <f>VLOOKUP($A349,'SegEnds_NonXtal_BW#'!$A:$Z,8,FALSE)+VLOOKUP($A349,A:AL,10,FALSE)-50</f>
        <v>473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478</v>
      </c>
      <c r="P349" s="3">
        <v>506</v>
      </c>
      <c r="Q349" s="3">
        <f>VLOOKUP($A349,'SegEnds_NonXtal_BW#'!$A:$Z,12,FALSE)+VLOOKUP($A349,A:AL,16,FALSE)-50</f>
        <v>510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512</v>
      </c>
      <c r="V349" s="3">
        <v>524</v>
      </c>
      <c r="W349" s="3">
        <f>IF(ISERROR(VLOOKUP($A349,'SegEnds_NonXtal_BW#'!$A:$Z,16,FALSE)+VLOOKUP($A349,A:AL,22,FALSE)-50),"-",(VLOOKUP($A349,'SegEnds_NonXtal_BW#'!$A:$Z,16,FALSE)+VLOOKUP($A349,A:AL,22,FALSE)-50))</f>
        <v>538</v>
      </c>
      <c r="X349" s="3">
        <f>IF(ISERROR(VLOOKUP($A349,'SegEnds_NonXtal_BW#'!$A:$Z,17,FALSE)+VLOOKUP($A349,A:AL,25,FALSE)-50),"-",(VLOOKUP($A349,'SegEnds_NonXtal_BW#'!$A:$Z,17,FALSE)+VLOOKUP($A349,A:AL,25,FALSE)-50))</f>
        <v>573</v>
      </c>
      <c r="Y349" s="3">
        <v>573</v>
      </c>
      <c r="Z349" s="3">
        <f>Y349+2</f>
        <v>575</v>
      </c>
      <c r="AA349" s="3">
        <f>IF(ISERROR(VLOOKUP($A349,'SegEnds_NonXtal_BW#'!$A:$Z,19,FALSE)+VLOOKUP($A349,A:AL,28,FALSE)-50),"-",(VLOOKUP($A349,'SegEnds_NonXtal_BW#'!$A:$Z,19,FALSE)+VLOOKUP($A349,A:AL,28,FALSE)-50))</f>
        <v>576</v>
      </c>
      <c r="AB349" s="3">
        <v>589</v>
      </c>
      <c r="AC349" s="3">
        <f>IF(ISERROR((VLOOKUP($A349,'SegEnds_NonXtal_BW#'!$A:$Z,20,FALSE)+VLOOKUP($A349,A:AL,28,FALSE)-50)),"-",(VLOOKUP($A349,'SegEnds_NonXtal_BW#'!$A:$Z,20,FALSE)+VLOOKUP($A349,A:AL,28,FALSE)-50))</f>
        <v>600</v>
      </c>
      <c r="AD349" s="3">
        <f>IF(ISERROR(VLOOKUP($A349,'SegEnds_NonXtal_BW#'!$A:$Z,21,FALSE)+VLOOKUP($A349,A:AL,31,FALSE)-50),"-",(VLOOKUP($A349,'SegEnds_NonXtal_BW#'!$A:$Z,21,FALSE)+VLOOKUP($A349,A:AL,31,FALSE)-50))</f>
        <v>609</v>
      </c>
      <c r="AE349" s="3">
        <v>626</v>
      </c>
      <c r="AF349" s="3">
        <f>IF(ISERROR((VLOOKUP($A349,'SegEnds_NonXtal_BW#'!$A:$Z,22,FALSE)+VLOOKUP($A349,A:AL,31,FALSE)-50)),"-",(VLOOKUP($A349,'SegEnds_NonXtal_BW#'!$A:$Z,22,FALSE)+VLOOKUP($A349,A:AL,31,FALSE)-50))</f>
        <v>633</v>
      </c>
      <c r="AG349" s="3">
        <f>IF(ISERROR(VLOOKUP($A349,'SegEnds_NonXtal_BW#'!$A:$Z,23,FALSE)+VLOOKUP($A349,A:AL,34,FALSE)-50),"-",(VLOOKUP($A349,'SegEnds_NonXtal_BW#'!$A:$Z,23,FALSE)+VLOOKUP($A349,A:AL,34,FALSE)-50))</f>
        <v>643</v>
      </c>
      <c r="AH349" s="3">
        <v>659</v>
      </c>
      <c r="AI349" s="3">
        <f>IF(ISERROR((VLOOKUP($A349,'SegEnds_NonXtal_BW#'!$A:$Z,24,FALSE)+VLOOKUP($A349,A:AL,34,FALSE)-50)),"-",(VLOOKUP($A349,'SegEnds_NonXtal_BW#'!$A:$Z,24,FALSE)+VLOOKUP($A349,A:AL,34,FALSE)-50))</f>
        <v>673</v>
      </c>
      <c r="AJ349" s="3">
        <f>IF(ISERROR(VLOOKUP($A349,'SegEnds_NonXtal_BW#'!$A:$Z,25,FALSE)+VLOOKUP($A349,A:AL,37,FALSE)-50),"-",(VLOOKUP($A349,'SegEnds_NonXtal_BW#'!$A:$Z,25,FALSE)+VLOOKUP($A349,A:AL,37,FALSE)-50))</f>
        <v>674</v>
      </c>
      <c r="AK349" s="3">
        <v>678</v>
      </c>
      <c r="AL349" s="3">
        <f>IF(ISERROR((VLOOKUP($A349,'SegEnds_NonXtal_BW#'!$A:$Z,26,FALSE)+VLOOKUP($A349,A:AL,37,FALSE)-50)),"-",(VLOOKUP($A349,'SegEnds_NonXtal_BW#'!$A:$Z,26,FALSE)+VLOOKUP($A349,A:AL,37,FALSE)-50))</f>
        <v>685</v>
      </c>
      <c r="AM349" s="28" t="str">
        <f>VLOOKUP(A349,Classification!A:B,2,FALSE)</f>
        <v>C</v>
      </c>
      <c r="AN349" s="28" t="b">
        <f>AND(IF(Y349="-",IF(AA349-W349&gt;3,TRUE,FALSE),TRUE),IF(M349="-",IF(O349-K349&gt;3,TRUE,FALSE),TRUE),C349&lt;E349,OR(E349&lt;F349,F349="-"),OR(F349&lt;H349,F349="-"),OR(H349&lt;I349,H349="-"),I349&lt;K349,OR(K349&lt;L349,L349="-"),OR(L349&lt;N349,L349="-"),OR(N349&lt;O349,N349="-"),O349&lt;Q349,OR(Q349&lt;R349,R349="-"),OR(R349&lt;T349,R349="-"),OR(T349&lt;U349,T349="-"),U349&lt;W349,OR(W349&lt;X349,X349="-"),OR(X349&lt;Z349,X349="-"),OR(Z349&lt;AA349,Z349="-"),AA349&lt;AC349,AC349&lt;AD349,AD349&lt;AF349,AF349&lt;AG349,AG349&lt;AI349,OR(AI349&lt;AJ349,AJ349="-"),OR(AJ349&lt;AL349,AJ349="-"))</f>
        <v>1</v>
      </c>
      <c r="AO349" s="3" t="str">
        <f>IF(ISERROR(MATCH(A349,'SegEnds_Xtal_Prot#'!B:B, 0)), "NoXtal", "Xtal")</f>
        <v>NoXtal</v>
      </c>
      <c r="AP349" s="3">
        <f>IF(ISERROR(F349-E349),"-",F349-E349)</f>
        <v>3</v>
      </c>
      <c r="AQ349" s="3">
        <f>IF(ISERROR(I349-H349),"-",I349-H349)</f>
        <v>1</v>
      </c>
      <c r="AR349" s="3" t="str">
        <f>IF(ISERROR(L349-K349),"-",L349-K349)</f>
        <v>-</v>
      </c>
      <c r="AS349" s="3" t="str">
        <f>IF(ISERROR(O349-N349),"-",O349-N349)</f>
        <v>-</v>
      </c>
      <c r="AT349" s="3" t="str">
        <f>IF(ISERROR(R349-Q349),"-",R349-Q349)</f>
        <v>-</v>
      </c>
      <c r="AU349" s="3" t="str">
        <f>IF(ISERROR(U349-T349),"-",U349-T349)</f>
        <v>-</v>
      </c>
      <c r="AV349" s="3">
        <f>IF(ISERROR(X349-W349),"-",X349-W349)</f>
        <v>35</v>
      </c>
      <c r="AW349" s="3">
        <f>IF(ISERROR(AA349-Z349),"-",AA349-Z349)</f>
        <v>1</v>
      </c>
      <c r="AX349" s="3">
        <f>IF(ISERROR(AD349-AC349),"-",AD349-AC349)</f>
        <v>9</v>
      </c>
      <c r="AY349" s="3">
        <f>IF(ISERROR(AG349-AF349),"-",AG349-AF349)</f>
        <v>10</v>
      </c>
      <c r="AZ349" s="3">
        <f>IF(ISERROR(AJ349-AI349),"-",AJ349-AI349)</f>
        <v>1</v>
      </c>
      <c r="BA349" s="3">
        <f>IF(ISERROR(LEN(VLOOKUP(A349,Seqs!A:E,2,FALSE))-AL349),"-",LEN(VLOOKUP(A349,Seqs!A:E,2,FALSE))-AL349)</f>
        <v>530</v>
      </c>
      <c r="BB349" s="16">
        <f>J349-D349</f>
        <v>31</v>
      </c>
      <c r="BC349" s="9" t="str">
        <f>IF(ISERROR(V349-S349),"-",V349-S349)</f>
        <v>-</v>
      </c>
      <c r="BD349" s="3">
        <f>J349-D349</f>
        <v>31</v>
      </c>
      <c r="BE349" s="3">
        <f>AE349-AB349</f>
        <v>37</v>
      </c>
    </row>
    <row r="350" spans="1:58" s="3" customFormat="1" x14ac:dyDescent="0.2">
      <c r="A350" s="3" t="s">
        <v>110</v>
      </c>
      <c r="B350" s="3" t="str">
        <f>LOWER(VLOOKUP(A350,Xtal_Templ!A:B,2,FALSE))</f>
        <v>grm1_human</v>
      </c>
      <c r="C350" s="3">
        <f>VLOOKUP($A350,'SegEnds_NonXtal_BW#'!$A:$Z,3,FALSE)+D350-50</f>
        <v>379</v>
      </c>
      <c r="D350" s="3">
        <v>395</v>
      </c>
      <c r="E350" s="3">
        <f>IF(ISERROR(VLOOKUP($A350,'SegEnds_NonXtal_BW#'!$A:$Z,4,FALSE)+VLOOKUP($A350,A:AL,4,FALSE)-50),"-",(VLOOKUP($A350,'SegEnds_NonXtal_BW#'!$A:$Z,4,FALSE)+VLOOKUP($A350,A:AL,4,FALSE)-50))</f>
        <v>405</v>
      </c>
      <c r="F350" s="3">
        <f>G350-3</f>
        <v>408</v>
      </c>
      <c r="G350" s="3">
        <v>411</v>
      </c>
      <c r="H350" s="3">
        <f>G350+3</f>
        <v>414</v>
      </c>
      <c r="I350" s="3">
        <f>H350+1</f>
        <v>415</v>
      </c>
      <c r="J350" s="3">
        <v>426</v>
      </c>
      <c r="K350" s="3">
        <f>VLOOKUP($A350,'SegEnds_NonXtal_BW#'!$A:$Z,8,FALSE)+VLOOKUP($A350,A:AL,10,FALSE)-50</f>
        <v>437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442</v>
      </c>
      <c r="P350" s="3">
        <v>470</v>
      </c>
      <c r="Q350" s="3">
        <f>VLOOKUP($A350,'SegEnds_NonXtal_BW#'!$A:$Z,12,FALSE)+VLOOKUP($A350,A:AL,16,FALSE)-50</f>
        <v>474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476</v>
      </c>
      <c r="V350" s="3">
        <v>488</v>
      </c>
      <c r="W350" s="3">
        <f>IF(ISERROR(VLOOKUP($A350,'SegEnds_NonXtal_BW#'!$A:$Z,16,FALSE)+VLOOKUP($A350,A:AL,22,FALSE)-50),"-",(VLOOKUP($A350,'SegEnds_NonXtal_BW#'!$A:$Z,16,FALSE)+VLOOKUP($A350,A:AL,22,FALSE)-50))</f>
        <v>502</v>
      </c>
      <c r="X350" s="3">
        <f>IF(ISERROR(VLOOKUP($A350,'SegEnds_NonXtal_BW#'!$A:$Z,17,FALSE)+VLOOKUP($A350,A:AL,25,FALSE)-50),"-",(VLOOKUP($A350,'SegEnds_NonXtal_BW#'!$A:$Z,17,FALSE)+VLOOKUP($A350,A:AL,25,FALSE)-50))</f>
        <v>537</v>
      </c>
      <c r="Y350" s="3">
        <v>537</v>
      </c>
      <c r="Z350" s="3">
        <f>Y350+2</f>
        <v>539</v>
      </c>
      <c r="AA350" s="3">
        <f>IF(ISERROR(VLOOKUP($A350,'SegEnds_NonXtal_BW#'!$A:$Z,19,FALSE)+VLOOKUP($A350,A:AL,28,FALSE)-50),"-",(VLOOKUP($A350,'SegEnds_NonXtal_BW#'!$A:$Z,19,FALSE)+VLOOKUP($A350,A:AL,28,FALSE)-50))</f>
        <v>540</v>
      </c>
      <c r="AB350" s="3">
        <v>553</v>
      </c>
      <c r="AC350" s="3">
        <f>IF(ISERROR((VLOOKUP($A350,'SegEnds_NonXtal_BW#'!$A:$Z,20,FALSE)+VLOOKUP($A350,A:AL,28,FALSE)-50)),"-",(VLOOKUP($A350,'SegEnds_NonXtal_BW#'!$A:$Z,20,FALSE)+VLOOKUP($A350,A:AL,28,FALSE)-50))</f>
        <v>564</v>
      </c>
      <c r="AD350" s="3">
        <f>IF(ISERROR(VLOOKUP($A350,'SegEnds_NonXtal_BW#'!$A:$Z,21,FALSE)+VLOOKUP($A350,A:AL,31,FALSE)-50),"-",(VLOOKUP($A350,'SegEnds_NonXtal_BW#'!$A:$Z,21,FALSE)+VLOOKUP($A350,A:AL,31,FALSE)-50))</f>
        <v>573</v>
      </c>
      <c r="AE350" s="3">
        <v>590</v>
      </c>
      <c r="AF350" s="3">
        <f>IF(ISERROR((VLOOKUP($A350,'SegEnds_NonXtal_BW#'!$A:$Z,22,FALSE)+VLOOKUP($A350,A:AL,31,FALSE)-50)),"-",(VLOOKUP($A350,'SegEnds_NonXtal_BW#'!$A:$Z,22,FALSE)+VLOOKUP($A350,A:AL,31,FALSE)-50))</f>
        <v>597</v>
      </c>
      <c r="AG350" s="3">
        <f>IF(ISERROR(VLOOKUP($A350,'SegEnds_NonXtal_BW#'!$A:$Z,23,FALSE)+VLOOKUP($A350,A:AL,34,FALSE)-50),"-",(VLOOKUP($A350,'SegEnds_NonXtal_BW#'!$A:$Z,23,FALSE)+VLOOKUP($A350,A:AL,34,FALSE)-50))</f>
        <v>607</v>
      </c>
      <c r="AH350" s="3">
        <v>623</v>
      </c>
      <c r="AI350" s="3">
        <f>IF(ISERROR((VLOOKUP($A350,'SegEnds_NonXtal_BW#'!$A:$Z,24,FALSE)+VLOOKUP($A350,A:AL,34,FALSE)-50)),"-",(VLOOKUP($A350,'SegEnds_NonXtal_BW#'!$A:$Z,24,FALSE)+VLOOKUP($A350,A:AL,34,FALSE)-50))</f>
        <v>637</v>
      </c>
      <c r="AJ350" s="3">
        <f>IF(ISERROR(VLOOKUP($A350,'SegEnds_NonXtal_BW#'!$A:$Z,25,FALSE)+VLOOKUP($A350,A:AL,37,FALSE)-50),"-",(VLOOKUP($A350,'SegEnds_NonXtal_BW#'!$A:$Z,25,FALSE)+VLOOKUP($A350,A:AL,37,FALSE)-50))</f>
        <v>638</v>
      </c>
      <c r="AK350" s="3">
        <v>642</v>
      </c>
      <c r="AL350" s="3">
        <f>IF(ISERROR((VLOOKUP($A350,'SegEnds_NonXtal_BW#'!$A:$Z,26,FALSE)+VLOOKUP($A350,A:AL,37,FALSE)-50)),"-",(VLOOKUP($A350,'SegEnds_NonXtal_BW#'!$A:$Z,26,FALSE)+VLOOKUP($A350,A:AL,37,FALSE)-50))</f>
        <v>649</v>
      </c>
      <c r="AM350" s="28" t="str">
        <f>VLOOKUP(A350,Classification!A:B,2,FALSE)</f>
        <v>C</v>
      </c>
      <c r="AN350" s="28" t="b">
        <f>AND(IF(Y350="-",IF(AA350-W350&gt;3,TRUE,FALSE),TRUE),IF(M350="-",IF(O350-K350&gt;3,TRUE,FALSE),TRUE),C350&lt;E350,OR(E350&lt;F350,F350="-"),OR(F350&lt;H350,F350="-"),OR(H350&lt;I350,H350="-"),I350&lt;K350,OR(K350&lt;L350,L350="-"),OR(L350&lt;N350,L350="-"),OR(N350&lt;O350,N350="-"),O350&lt;Q350,OR(Q350&lt;R350,R350="-"),OR(R350&lt;T350,R350="-"),OR(T350&lt;U350,T350="-"),U350&lt;W350,OR(W350&lt;X350,X350="-"),OR(X350&lt;Z350,X350="-"),OR(Z350&lt;AA350,Z350="-"),AA350&lt;AC350,AC350&lt;AD350,AD350&lt;AF350,AF350&lt;AG350,AG350&lt;AI350,OR(AI350&lt;AJ350,AJ350="-"),OR(AJ350&lt;AL350,AJ350="-"))</f>
        <v>1</v>
      </c>
      <c r="AO350" s="3" t="str">
        <f>IF(ISERROR(MATCH(A350,'SegEnds_Xtal_Prot#'!B:B, 0)), "NoXtal", "Xtal")</f>
        <v>NoXtal</v>
      </c>
      <c r="AP350" s="3">
        <f>IF(ISERROR(F350-E350),"-",F350-E350)</f>
        <v>3</v>
      </c>
      <c r="AQ350" s="3">
        <f>IF(ISERROR(I350-H350),"-",I350-H350)</f>
        <v>1</v>
      </c>
      <c r="AR350" s="3" t="str">
        <f>IF(ISERROR(L350-K350),"-",L350-K350)</f>
        <v>-</v>
      </c>
      <c r="AS350" s="3" t="str">
        <f>IF(ISERROR(O350-N350),"-",O350-N350)</f>
        <v>-</v>
      </c>
      <c r="AT350" s="3" t="str">
        <f>IF(ISERROR(R350-Q350),"-",R350-Q350)</f>
        <v>-</v>
      </c>
      <c r="AU350" s="3" t="str">
        <f>IF(ISERROR(U350-T350),"-",U350-T350)</f>
        <v>-</v>
      </c>
      <c r="AV350" s="3">
        <f>IF(ISERROR(X350-W350),"-",X350-W350)</f>
        <v>35</v>
      </c>
      <c r="AW350" s="3">
        <f>IF(ISERROR(AA350-Z350),"-",AA350-Z350)</f>
        <v>1</v>
      </c>
      <c r="AX350" s="3">
        <f>IF(ISERROR(AD350-AC350),"-",AD350-AC350)</f>
        <v>9</v>
      </c>
      <c r="AY350" s="3">
        <f>IF(ISERROR(AG350-AF350),"-",AG350-AF350)</f>
        <v>10</v>
      </c>
      <c r="AZ350" s="3">
        <f>IF(ISERROR(AJ350-AI350),"-",AJ350-AI350)</f>
        <v>1</v>
      </c>
      <c r="BA350" s="3">
        <f>IF(ISERROR(LEN(VLOOKUP(A350,Seqs!A:E,2,FALSE))-AL350),"-",LEN(VLOOKUP(A350,Seqs!A:E,2,FALSE))-AL350)</f>
        <v>1718</v>
      </c>
      <c r="BB350" s="16">
        <f>J350-D350</f>
        <v>31</v>
      </c>
      <c r="BC350" s="9" t="str">
        <f>IF(ISERROR(V350-S350),"-",V350-S350)</f>
        <v>-</v>
      </c>
      <c r="BD350" s="3">
        <f>J350-D350</f>
        <v>31</v>
      </c>
      <c r="BE350" s="3">
        <f>AE350-AB350</f>
        <v>37</v>
      </c>
    </row>
    <row r="351" spans="1:58" s="3" customFormat="1" x14ac:dyDescent="0.2">
      <c r="A351" s="3" t="s">
        <v>111</v>
      </c>
      <c r="B351" s="3" t="str">
        <f>LOWER(VLOOKUP(A351,Xtal_Templ!A:B,2,FALSE))</f>
        <v>grm1_human</v>
      </c>
      <c r="C351" s="3">
        <f>VLOOKUP($A351,'SegEnds_NonXtal_BW#'!$A:$Z,3,FALSE)+D351-50</f>
        <v>54</v>
      </c>
      <c r="D351" s="3">
        <v>70</v>
      </c>
      <c r="E351" s="3">
        <f>IF(ISERROR(VLOOKUP($A351,'SegEnds_NonXtal_BW#'!$A:$Z,4,FALSE)+VLOOKUP($A351,A:AL,4,FALSE)-50),"-",(VLOOKUP($A351,'SegEnds_NonXtal_BW#'!$A:$Z,4,FALSE)+VLOOKUP($A351,A:AL,4,FALSE)-50))</f>
        <v>80</v>
      </c>
      <c r="F351" s="3">
        <f>G351-3</f>
        <v>81</v>
      </c>
      <c r="G351" s="3">
        <v>84</v>
      </c>
      <c r="H351" s="3">
        <f>G351+3</f>
        <v>87</v>
      </c>
      <c r="I351" s="3">
        <f>H351+1</f>
        <v>88</v>
      </c>
      <c r="J351" s="3">
        <v>103</v>
      </c>
      <c r="K351" s="3">
        <f>VLOOKUP($A351,'SegEnds_NonXtal_BW#'!$A:$Z,8,FALSE)+VLOOKUP($A351,A:AL,10,FALSE)-50</f>
        <v>114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119</v>
      </c>
      <c r="P351" s="3">
        <v>147</v>
      </c>
      <c r="Q351" s="3">
        <f>VLOOKUP($A351,'SegEnds_NonXtal_BW#'!$A:$Z,12,FALSE)+VLOOKUP($A351,A:AL,16,FALSE)-50</f>
        <v>151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3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158</v>
      </c>
      <c r="V351" s="3">
        <v>170</v>
      </c>
      <c r="W351" s="3">
        <f>IF(ISERROR(VLOOKUP($A351,'SegEnds_NonXtal_BW#'!$A:$Z,16,FALSE)+VLOOKUP($A351,A:AL,22,FALSE)-50),"-",(VLOOKUP($A351,'SegEnds_NonXtal_BW#'!$A:$Z,16,FALSE)+VLOOKUP($A351,A:AL,22,FALSE)-50))</f>
        <v>184</v>
      </c>
      <c r="X351" s="3">
        <f>IF(ISERROR(VLOOKUP($A351,'SegEnds_NonXtal_BW#'!$A:$Z,17,FALSE)+VLOOKUP($A351,A:AL,25,FALSE)-50),"-",(VLOOKUP($A351,'SegEnds_NonXtal_BW#'!$A:$Z,17,FALSE)+VLOOKUP($A351,A:AL,25,FALSE)-50))</f>
        <v>193</v>
      </c>
      <c r="Y351" s="3">
        <v>193</v>
      </c>
      <c r="Z351" s="3">
        <f>Y351+2</f>
        <v>195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210</v>
      </c>
      <c r="AC351" s="3">
        <f>IF(ISERROR((VLOOKUP($A351,'SegEnds_NonXtal_BW#'!$A:$Z,20,FALSE)+VLOOKUP($A351,A:AL,28,FALSE)-50)),"-",(VLOOKUP($A351,'SegEnds_NonXtal_BW#'!$A:$Z,20,FALSE)+VLOOKUP($A351,A:AL,28,FALSE)-50))</f>
        <v>221</v>
      </c>
      <c r="AD351" s="3">
        <f>IF(ISERROR(VLOOKUP($A351,'SegEnds_NonXtal_BW#'!$A:$Z,21,FALSE)+VLOOKUP($A351,A:AL,31,FALSE)-50),"-",(VLOOKUP($A351,'SegEnds_NonXtal_BW#'!$A:$Z,21,FALSE)+VLOOKUP($A351,A:AL,31,FALSE)-50))</f>
        <v>232</v>
      </c>
      <c r="AE351" s="3">
        <v>249</v>
      </c>
      <c r="AF351" s="3">
        <f>IF(ISERROR((VLOOKUP($A351,'SegEnds_NonXtal_BW#'!$A:$Z,22,FALSE)+VLOOKUP($A351,A:AL,31,FALSE)-50)),"-",(VLOOKUP($A351,'SegEnds_NonXtal_BW#'!$A:$Z,22,FALSE)+VLOOKUP($A351,A:AL,31,FALSE)-50))</f>
        <v>256</v>
      </c>
      <c r="AG351" s="3">
        <f>IF(ISERROR(VLOOKUP($A351,'SegEnds_NonXtal_BW#'!$A:$Z,23,FALSE)+VLOOKUP($A351,A:AL,34,FALSE)-50),"-",(VLOOKUP($A351,'SegEnds_NonXtal_BW#'!$A:$Z,23,FALSE)+VLOOKUP($A351,A:AL,34,FALSE)-50))</f>
        <v>268</v>
      </c>
      <c r="AH351" s="3">
        <v>284</v>
      </c>
      <c r="AI351" s="3">
        <f>IF(ISERROR((VLOOKUP($A351,'SegEnds_NonXtal_BW#'!$A:$Z,24,FALSE)+VLOOKUP($A351,A:AL,34,FALSE)-50)),"-",(VLOOKUP($A351,'SegEnds_NonXtal_BW#'!$A:$Z,24,FALSE)+VLOOKUP($A351,A:AL,34,FALSE)-50))</f>
        <v>298</v>
      </c>
      <c r="AJ351" s="3">
        <f>IF(ISERROR(VLOOKUP($A351,'SegEnds_NonXtal_BW#'!$A:$Z,25,FALSE)+VLOOKUP($A351,A:AL,37,FALSE)-50),"-",(VLOOKUP($A351,'SegEnds_NonXtal_BW#'!$A:$Z,25,FALSE)+VLOOKUP($A351,A:AL,37,FALSE)-50))</f>
        <v>300</v>
      </c>
      <c r="AK351" s="3">
        <v>304</v>
      </c>
      <c r="AL351" s="3">
        <f>IF(ISERROR((VLOOKUP($A351,'SegEnds_NonXtal_BW#'!$A:$Z,26,FALSE)+VLOOKUP($A351,A:AL,37,FALSE)-50)),"-",(VLOOKUP($A351,'SegEnds_NonXtal_BW#'!$A:$Z,26,FALSE)+VLOOKUP($A351,A:AL,37,FALSE)-50))</f>
        <v>311</v>
      </c>
      <c r="AM351" s="28" t="str">
        <f>VLOOKUP(A351,Classification!A:B,2,FALSE)</f>
        <v>C</v>
      </c>
      <c r="AN351" s="28" t="b">
        <f>AND(IF(Y351="-",IF(AA351-W351&gt;3,TRUE,FALSE),TRUE),IF(M351="-",IF(O351-K351&gt;3,TRUE,FALSE),TRUE),C351&lt;E351,OR(E351&lt;F351,F351="-"),OR(F351&lt;H351,F351="-"),OR(H351&lt;I351,H351="-"),I351&lt;K351,OR(K351&lt;L351,L351="-"),OR(L351&lt;N351,L351="-"),OR(N351&lt;O351,N351="-"),O351&lt;Q351,OR(Q351&lt;R351,R351="-"),OR(R351&lt;T351,R351="-"),OR(T351&lt;U351,T351="-"),U351&lt;W351,OR(W351&lt;X351,X351="-"),OR(X351&lt;Z351,X351="-"),OR(Z351&lt;AA351,Z351="-"),AA351&lt;AC351,AC351&lt;AD351,AD351&lt;AF351,AF351&lt;AG351,AG351&lt;AI351,OR(AI351&lt;AJ351,AJ351="-"),OR(AJ351&lt;AL351,AJ351="-"))</f>
        <v>1</v>
      </c>
      <c r="AO351" s="3" t="str">
        <f>IF(ISERROR(MATCH(A351,'SegEnds_Xtal_Prot#'!B:B, 0)), "NoXtal", "Xtal")</f>
        <v>NoXtal</v>
      </c>
      <c r="AP351" s="3">
        <f>IF(ISERROR(F351-E351),"-",F351-E351)</f>
        <v>1</v>
      </c>
      <c r="AQ351" s="3">
        <f>IF(ISERROR(I351-H351),"-",I351-H351)</f>
        <v>1</v>
      </c>
      <c r="AR351" s="3" t="str">
        <f>IF(ISERROR(L351-K351),"-",L351-K351)</f>
        <v>-</v>
      </c>
      <c r="AS351" s="3" t="str">
        <f>IF(ISERROR(O351-N351),"-",O351-N351)</f>
        <v>-</v>
      </c>
      <c r="AT351" s="3" t="str">
        <f>IF(ISERROR(R351-Q351),"-",R351-Q351)</f>
        <v>-</v>
      </c>
      <c r="AU351" s="3" t="str">
        <f>IF(ISERROR(U351-T351),"-",U351-T351)</f>
        <v>-</v>
      </c>
      <c r="AV351" s="3">
        <f>IF(ISERROR(X351-W351),"-",X351-W351)</f>
        <v>9</v>
      </c>
      <c r="AW351" s="3">
        <f>IF(ISERROR(AA351-Z351),"-",AA351-Z351)</f>
        <v>2</v>
      </c>
      <c r="AX351" s="3">
        <f>IF(ISERROR(AD351-AC351),"-",AD351-AC351)</f>
        <v>11</v>
      </c>
      <c r="AY351" s="3">
        <f>IF(ISERROR(AG351-AF351),"-",AG351-AF351)</f>
        <v>12</v>
      </c>
      <c r="AZ351" s="3">
        <f>IF(ISERROR(AJ351-AI351),"-",AJ351-AI351)</f>
        <v>2</v>
      </c>
      <c r="BA351" s="3">
        <f>IF(ISERROR(LEN(VLOOKUP(A351,Seqs!A:E,2,FALSE))-AL351),"-",LEN(VLOOKUP(A351,Seqs!A:E,2,FALSE))-AL351)</f>
        <v>92</v>
      </c>
      <c r="BB351" s="16">
        <f>J351-D351</f>
        <v>33</v>
      </c>
      <c r="BC351" s="9" t="str">
        <f>IF(ISERROR(V351-S351),"-",V351-S351)</f>
        <v>-</v>
      </c>
      <c r="BD351" s="3">
        <f>J351-D351</f>
        <v>33</v>
      </c>
      <c r="BE351" s="3">
        <f>AE351-AB351</f>
        <v>39</v>
      </c>
    </row>
    <row r="352" spans="1:58" s="3" customFormat="1" x14ac:dyDescent="0.2">
      <c r="A352" s="3" t="s">
        <v>112</v>
      </c>
      <c r="B352" s="3" t="str">
        <f>LOWER(VLOOKUP(A352,Xtal_Templ!A:B,2,FALSE))</f>
        <v>grm1_human</v>
      </c>
      <c r="C352" s="3">
        <f>VLOOKUP($A352,'SegEnds_NonXtal_BW#'!$A:$Z,3,FALSE)+D352-50</f>
        <v>48</v>
      </c>
      <c r="D352" s="3">
        <v>64</v>
      </c>
      <c r="E352" s="3">
        <f>IF(ISERROR(VLOOKUP($A352,'SegEnds_NonXtal_BW#'!$A:$Z,4,FALSE)+VLOOKUP($A352,A:AL,4,FALSE)-50),"-",(VLOOKUP($A352,'SegEnds_NonXtal_BW#'!$A:$Z,4,FALSE)+VLOOKUP($A352,A:AL,4,FALSE)-50))</f>
        <v>74</v>
      </c>
      <c r="F352" s="3">
        <f>G352-3</f>
        <v>75</v>
      </c>
      <c r="G352" s="3">
        <v>78</v>
      </c>
      <c r="H352" s="3">
        <f>G352+3</f>
        <v>81</v>
      </c>
      <c r="I352" s="3">
        <f>H352+1</f>
        <v>82</v>
      </c>
      <c r="J352" s="3">
        <v>97</v>
      </c>
      <c r="K352" s="3">
        <f>VLOOKUP($A352,'SegEnds_NonXtal_BW#'!$A:$Z,8,FALSE)+VLOOKUP($A352,A:AL,10,FALSE)-50</f>
        <v>108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113</v>
      </c>
      <c r="P352" s="3">
        <v>141</v>
      </c>
      <c r="Q352" s="3">
        <f>VLOOKUP($A352,'SegEnds_NonXtal_BW#'!$A:$Z,12,FALSE)+VLOOKUP($A352,A:AL,16,FALSE)-50</f>
        <v>145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152</v>
      </c>
      <c r="V352" s="3">
        <v>164</v>
      </c>
      <c r="W352" s="3">
        <f>IF(ISERROR(VLOOKUP($A352,'SegEnds_NonXtal_BW#'!$A:$Z,16,FALSE)+VLOOKUP($A352,A:AL,22,FALSE)-50),"-",(VLOOKUP($A352,'SegEnds_NonXtal_BW#'!$A:$Z,16,FALSE)+VLOOKUP($A352,A:AL,22,FALSE)-50))</f>
        <v>178</v>
      </c>
      <c r="X352" s="3">
        <f>IF(ISERROR(VLOOKUP($A352,'SegEnds_NonXtal_BW#'!$A:$Z,17,FALSE)+VLOOKUP($A352,A:AL,25,FALSE)-50),"-",(VLOOKUP($A352,'SegEnds_NonXtal_BW#'!$A:$Z,17,FALSE)+VLOOKUP($A352,A:AL,25,FALSE)-50))</f>
        <v>202</v>
      </c>
      <c r="Y352" s="3">
        <v>202</v>
      </c>
      <c r="Z352" s="3">
        <f>Y352+2</f>
        <v>204</v>
      </c>
      <c r="AA352" s="3">
        <f>IF(ISERROR(VLOOKUP($A352,'SegEnds_NonXtal_BW#'!$A:$Z,19,FALSE)+VLOOKUP($A352,A:AL,28,FALSE)-50),"-",(VLOOKUP($A352,'SegEnds_NonXtal_BW#'!$A:$Z,19,FALSE)+VLOOKUP($A352,A:AL,28,FALSE)-50))</f>
        <v>206</v>
      </c>
      <c r="AB352" s="3">
        <v>219</v>
      </c>
      <c r="AC352" s="3">
        <f>IF(ISERROR((VLOOKUP($A352,'SegEnds_NonXtal_BW#'!$A:$Z,20,FALSE)+VLOOKUP($A352,A:AL,28,FALSE)-50)),"-",(VLOOKUP($A352,'SegEnds_NonXtal_BW#'!$A:$Z,20,FALSE)+VLOOKUP($A352,A:AL,28,FALSE)-50))</f>
        <v>230</v>
      </c>
      <c r="AD352" s="3">
        <f>IF(ISERROR(VLOOKUP($A352,'SegEnds_NonXtal_BW#'!$A:$Z,21,FALSE)+VLOOKUP($A352,A:AL,31,FALSE)-50),"-",(VLOOKUP($A352,'SegEnds_NonXtal_BW#'!$A:$Z,21,FALSE)+VLOOKUP($A352,A:AL,31,FALSE)-50))</f>
        <v>241</v>
      </c>
      <c r="AE352" s="3">
        <v>258</v>
      </c>
      <c r="AF352" s="3">
        <f>IF(ISERROR((VLOOKUP($A352,'SegEnds_NonXtal_BW#'!$A:$Z,22,FALSE)+VLOOKUP($A352,A:AL,31,FALSE)-50)),"-",(VLOOKUP($A352,'SegEnds_NonXtal_BW#'!$A:$Z,22,FALSE)+VLOOKUP($A352,A:AL,31,FALSE)-50))</f>
        <v>265</v>
      </c>
      <c r="AG352" s="3">
        <f>IF(ISERROR(VLOOKUP($A352,'SegEnds_NonXtal_BW#'!$A:$Z,23,FALSE)+VLOOKUP($A352,A:AL,34,FALSE)-50),"-",(VLOOKUP($A352,'SegEnds_NonXtal_BW#'!$A:$Z,23,FALSE)+VLOOKUP($A352,A:AL,34,FALSE)-50))</f>
        <v>276</v>
      </c>
      <c r="AH352" s="3">
        <v>292</v>
      </c>
      <c r="AI352" s="3">
        <f>IF(ISERROR((VLOOKUP($A352,'SegEnds_NonXtal_BW#'!$A:$Z,24,FALSE)+VLOOKUP($A352,A:AL,34,FALSE)-50)),"-",(VLOOKUP($A352,'SegEnds_NonXtal_BW#'!$A:$Z,24,FALSE)+VLOOKUP($A352,A:AL,34,FALSE)-50))</f>
        <v>306</v>
      </c>
      <c r="AJ352" s="3">
        <f>IF(ISERROR(VLOOKUP($A352,'SegEnds_NonXtal_BW#'!$A:$Z,25,FALSE)+VLOOKUP($A352,A:AL,37,FALSE)-50),"-",(VLOOKUP($A352,'SegEnds_NonXtal_BW#'!$A:$Z,25,FALSE)+VLOOKUP($A352,A:AL,37,FALSE)-50))</f>
        <v>308</v>
      </c>
      <c r="AK352" s="3">
        <v>312</v>
      </c>
      <c r="AL352" s="3">
        <v>319</v>
      </c>
      <c r="AM352" s="28" t="str">
        <f>VLOOKUP(A352,Classification!A:B,2,FALSE)</f>
        <v>C</v>
      </c>
      <c r="AN352" s="28" t="b">
        <f>AND(IF(Y352="-",IF(AA352-W352&gt;3,TRUE,FALSE),TRUE),IF(M352="-",IF(O352-K352&gt;3,TRUE,FALSE),TRUE),C352&lt;E352,OR(E352&lt;F352,F352="-"),OR(F352&lt;H352,F352="-"),OR(H352&lt;I352,H352="-"),I352&lt;K352,OR(K352&lt;L352,L352="-"),OR(L352&lt;N352,L352="-"),OR(N352&lt;O352,N352="-"),O352&lt;Q352,OR(Q352&lt;R352,R352="-"),OR(R352&lt;T352,R352="-"),OR(T352&lt;U352,T352="-"),U352&lt;W352,OR(W352&lt;X352,X352="-"),OR(X352&lt;Z352,X352="-"),OR(Z352&lt;AA352,Z352="-"),AA352&lt;AC352,AC352&lt;AD352,AD352&lt;AF352,AF352&lt;AG352,AG352&lt;AI352,OR(AI352&lt;AJ352,AJ352="-"),OR(AJ352&lt;AL352,AJ352="-"))</f>
        <v>1</v>
      </c>
      <c r="AO352" s="3" t="str">
        <f>IF(ISERROR(MATCH(A352,'SegEnds_Xtal_Prot#'!B:B, 0)), "NoXtal", "Xtal")</f>
        <v>NoXtal</v>
      </c>
      <c r="AP352" s="3">
        <f>IF(ISERROR(F352-E352),"-",F352-E352)</f>
        <v>1</v>
      </c>
      <c r="AQ352" s="3">
        <f>IF(ISERROR(I352-H352),"-",I352-H352)</f>
        <v>1</v>
      </c>
      <c r="AR352" s="3" t="str">
        <f>IF(ISERROR(L352-K352),"-",L352-K352)</f>
        <v>-</v>
      </c>
      <c r="AS352" s="3" t="str">
        <f>IF(ISERROR(O352-N352),"-",O352-N352)</f>
        <v>-</v>
      </c>
      <c r="AT352" s="3" t="str">
        <f>IF(ISERROR(R352-Q352),"-",R352-Q352)</f>
        <v>-</v>
      </c>
      <c r="AU352" s="3" t="str">
        <f>IF(ISERROR(U352-T352),"-",U352-T352)</f>
        <v>-</v>
      </c>
      <c r="AV352" s="3">
        <f>IF(ISERROR(X352-W352),"-",X352-W352)</f>
        <v>24</v>
      </c>
      <c r="AW352" s="3">
        <f>IF(ISERROR(AA352-Z352),"-",AA352-Z352)</f>
        <v>2</v>
      </c>
      <c r="AX352" s="3">
        <f>IF(ISERROR(AD352-AC352),"-",AD352-AC352)</f>
        <v>11</v>
      </c>
      <c r="AY352" s="3">
        <f>IF(ISERROR(AG352-AF352),"-",AG352-AF352)</f>
        <v>11</v>
      </c>
      <c r="AZ352" s="3">
        <f>IF(ISERROR(AJ352-AI352),"-",AJ352-AI352)</f>
        <v>2</v>
      </c>
      <c r="BA352" s="3">
        <f>IF(ISERROR(LEN(VLOOKUP(A352,Seqs!A:E,2,FALSE))-AL352),"-",LEN(VLOOKUP(A352,Seqs!A:E,2,FALSE))-AL352)</f>
        <v>122</v>
      </c>
      <c r="BB352" s="16">
        <f>J352-D352</f>
        <v>33</v>
      </c>
      <c r="BC352" s="9" t="str">
        <f>IF(ISERROR(V352-S352),"-",V352-S352)</f>
        <v>-</v>
      </c>
      <c r="BD352" s="3">
        <f>J352-D352</f>
        <v>33</v>
      </c>
      <c r="BE352" s="3">
        <f>AE352-AB352</f>
        <v>39</v>
      </c>
    </row>
    <row r="353" spans="1:58" s="3" customFormat="1" x14ac:dyDescent="0.2">
      <c r="A353" s="3" t="s">
        <v>113</v>
      </c>
      <c r="B353" s="3" t="str">
        <f>LOWER(VLOOKUP(A353,Xtal_Templ!A:B,2,FALSE))</f>
        <v>grm1_human</v>
      </c>
      <c r="C353" s="3">
        <f>VLOOKUP($A353,'SegEnds_NonXtal_BW#'!$A:$Z,3,FALSE)+D353-50</f>
        <v>21</v>
      </c>
      <c r="D353" s="3">
        <v>37</v>
      </c>
      <c r="E353" s="3">
        <f>IF(ISERROR(VLOOKUP($A353,'SegEnds_NonXtal_BW#'!$A:$Z,4,FALSE)+VLOOKUP($A353,A:AL,4,FALSE)-50),"-",(VLOOKUP($A353,'SegEnds_NonXtal_BW#'!$A:$Z,4,FALSE)+VLOOKUP($A353,A:AL,4,FALSE)-50))</f>
        <v>47</v>
      </c>
      <c r="F353" s="3">
        <f>G353-3</f>
        <v>48</v>
      </c>
      <c r="G353" s="3">
        <v>51</v>
      </c>
      <c r="H353" s="3">
        <f>G353+3</f>
        <v>54</v>
      </c>
      <c r="I353" s="3">
        <f>H353+1</f>
        <v>55</v>
      </c>
      <c r="J353" s="3">
        <v>70</v>
      </c>
      <c r="K353" s="3">
        <f>VLOOKUP($A353,'SegEnds_NonXtal_BW#'!$A:$Z,8,FALSE)+VLOOKUP($A353,A:AL,10,FALSE)-50</f>
        <v>81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86</v>
      </c>
      <c r="P353" s="3">
        <v>114</v>
      </c>
      <c r="Q353" s="3">
        <f>VLOOKUP($A353,'SegEnds_NonXtal_BW#'!$A:$Z,12,FALSE)+VLOOKUP($A353,A:AL,16,FALSE)-50</f>
        <v>118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125</v>
      </c>
      <c r="V353" s="3">
        <v>137</v>
      </c>
      <c r="W353" s="3">
        <f>IF(ISERROR(VLOOKUP($A353,'SegEnds_NonXtal_BW#'!$A:$Z,16,FALSE)+VLOOKUP($A353,A:AL,22,FALSE)-50),"-",(VLOOKUP($A353,'SegEnds_NonXtal_BW#'!$A:$Z,16,FALSE)+VLOOKUP($A353,A:AL,22,FALSE)-50))</f>
        <v>151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167</v>
      </c>
      <c r="AB353" s="3">
        <v>180</v>
      </c>
      <c r="AC353" s="3">
        <f>IF(ISERROR((VLOOKUP($A353,'SegEnds_NonXtal_BW#'!$A:$Z,20,FALSE)+VLOOKUP($A353,A:AL,28,FALSE)-50)),"-",(VLOOKUP($A353,'SegEnds_NonXtal_BW#'!$A:$Z,20,FALSE)+VLOOKUP($A353,A:AL,28,FALSE)-50))</f>
        <v>191</v>
      </c>
      <c r="AD353" s="3">
        <f>IF(ISERROR(VLOOKUP($A353,'SegEnds_NonXtal_BW#'!$A:$Z,21,FALSE)+VLOOKUP($A353,A:AL,31,FALSE)-50),"-",(VLOOKUP($A353,'SegEnds_NonXtal_BW#'!$A:$Z,21,FALSE)+VLOOKUP($A353,A:AL,31,FALSE)-50))</f>
        <v>202</v>
      </c>
      <c r="AE353" s="3">
        <v>219</v>
      </c>
      <c r="AF353" s="3">
        <f>IF(ISERROR((VLOOKUP($A353,'SegEnds_NonXtal_BW#'!$A:$Z,22,FALSE)+VLOOKUP($A353,A:AL,31,FALSE)-50)),"-",(VLOOKUP($A353,'SegEnds_NonXtal_BW#'!$A:$Z,22,FALSE)+VLOOKUP($A353,A:AL,31,FALSE)-50))</f>
        <v>226</v>
      </c>
      <c r="AG353" s="3">
        <f>IF(ISERROR(VLOOKUP($A353,'SegEnds_NonXtal_BW#'!$A:$Z,23,FALSE)+VLOOKUP($A353,A:AL,34,FALSE)-50),"-",(VLOOKUP($A353,'SegEnds_NonXtal_BW#'!$A:$Z,23,FALSE)+VLOOKUP($A353,A:AL,34,FALSE)-50))</f>
        <v>238</v>
      </c>
      <c r="AH353" s="3">
        <v>254</v>
      </c>
      <c r="AI353" s="3">
        <f>IF(ISERROR((VLOOKUP($A353,'SegEnds_NonXtal_BW#'!$A:$Z,24,FALSE)+VLOOKUP($A353,A:AL,34,FALSE)-50)),"-",(VLOOKUP($A353,'SegEnds_NonXtal_BW#'!$A:$Z,24,FALSE)+VLOOKUP($A353,A:AL,34,FALSE)-50))</f>
        <v>268</v>
      </c>
      <c r="AJ353" s="9">
        <f>IF(ISERROR(VLOOKUP($A353,'SegEnds_NonXtal_BW#'!$A:$Z,25,FALSE)+VLOOKUP($A353,A:AL,37,FALSE)-50),"-",(VLOOKUP($A353,'SegEnds_NonXtal_BW#'!$A:$Z,25,FALSE)+VLOOKUP($A353,A:AL,37,FALSE)-50))</f>
        <v>271</v>
      </c>
      <c r="AK353" s="3">
        <v>275</v>
      </c>
      <c r="AL353" s="3">
        <v>281</v>
      </c>
      <c r="AM353" s="28" t="str">
        <f>VLOOKUP(A353,Classification!A:B,2,FALSE)</f>
        <v>C</v>
      </c>
      <c r="AN353" s="28" t="b">
        <f>AND(IF(Y353="-",IF(AA353-W353&gt;3,TRUE,FALSE),TRUE),IF(M353="-",IF(O353-K353&gt;3,TRUE,FALSE),TRUE),C353&lt;E353,OR(E353&lt;F353,F353="-"),OR(F353&lt;H353,F353="-"),OR(H353&lt;I353,H353="-"),I353&lt;K353,OR(K353&lt;L353,L353="-"),OR(L353&lt;N353,L353="-"),OR(N353&lt;O353,N353="-"),O353&lt;Q353,OR(Q353&lt;R353,R353="-"),OR(R353&lt;T353,R353="-"),OR(T353&lt;U353,T353="-"),U353&lt;W353,OR(W353&lt;X353,X353="-"),OR(X353&lt;Z353,X353="-"),OR(Z353&lt;AA353,Z353="-"),AA353&lt;AC353,AC353&lt;AD353,AD353&lt;AF353,AF353&lt;AG353,AG353&lt;AI353,OR(AI353&lt;AJ353,AJ353="-"),OR(AJ353&lt;AL353,AJ353="-"))</f>
        <v>1</v>
      </c>
      <c r="AO353" s="3" t="str">
        <f>IF(ISERROR(MATCH(A353,'SegEnds_Xtal_Prot#'!B:B, 0)), "NoXtal", "Xtal")</f>
        <v>NoXtal</v>
      </c>
      <c r="AP353" s="3">
        <f>IF(ISERROR(F353-E353),"-",F353-E353)</f>
        <v>1</v>
      </c>
      <c r="AQ353" s="3">
        <f>IF(ISERROR(I353-H353),"-",I353-H353)</f>
        <v>1</v>
      </c>
      <c r="AR353" s="3" t="str">
        <f>IF(ISERROR(L353-K353),"-",L353-K353)</f>
        <v>-</v>
      </c>
      <c r="AS353" s="3" t="str">
        <f>IF(ISERROR(O353-N353),"-",O353-N353)</f>
        <v>-</v>
      </c>
      <c r="AT353" s="3" t="str">
        <f>IF(ISERROR(R353-Q353),"-",R353-Q353)</f>
        <v>-</v>
      </c>
      <c r="AU353" s="3" t="str">
        <f>IF(ISERROR(U353-T353),"-",U353-T353)</f>
        <v>-</v>
      </c>
      <c r="AV353" s="3" t="str">
        <f>IF(ISERROR(X353-W353),"-",X353-W353)</f>
        <v>-</v>
      </c>
      <c r="AW353" s="3" t="str">
        <f>IF(ISERROR(AA353-Z353),"-",AA353-Z353)</f>
        <v>-</v>
      </c>
      <c r="AX353" s="3">
        <f>IF(ISERROR(AD353-AC353),"-",AD353-AC353)</f>
        <v>11</v>
      </c>
      <c r="AY353" s="3">
        <f>IF(ISERROR(AG353-AF353),"-",AG353-AF353)</f>
        <v>12</v>
      </c>
      <c r="AZ353" s="3">
        <f>IF(ISERROR(AJ353-AI353),"-",AJ353-AI353)</f>
        <v>3</v>
      </c>
      <c r="BA353" s="3">
        <f>IF(ISERROR(LEN(VLOOKUP(A353,Seqs!A:E,2,FALSE))-AL353),"-",LEN(VLOOKUP(A353,Seqs!A:E,2,FALSE))-AL353)</f>
        <v>64</v>
      </c>
      <c r="BB353" s="16">
        <f>J353-D353</f>
        <v>33</v>
      </c>
      <c r="BC353" s="9" t="str">
        <f>IF(ISERROR(V353-S353),"-",V353-S353)</f>
        <v>-</v>
      </c>
      <c r="BD353" s="3">
        <f>J353-D353</f>
        <v>33</v>
      </c>
      <c r="BE353" s="3">
        <f>AE353-AB353</f>
        <v>39</v>
      </c>
    </row>
    <row r="354" spans="1:58" s="3" customFormat="1" x14ac:dyDescent="0.2">
      <c r="A354" s="3" t="s">
        <v>114</v>
      </c>
      <c r="B354" s="3" t="str">
        <f>LOWER(VLOOKUP(A354,Xtal_Templ!A:B,2,FALSE))</f>
        <v>grm1_human</v>
      </c>
      <c r="C354" s="3">
        <f>VLOOKUP($A354,'SegEnds_NonXtal_BW#'!$A:$Z,3,FALSE)+D354-50</f>
        <v>592</v>
      </c>
      <c r="D354" s="3">
        <v>608</v>
      </c>
      <c r="E354" s="3">
        <f>IF(ISERROR(VLOOKUP($A354,'SegEnds_NonXtal_BW#'!$A:$Z,4,FALSE)+VLOOKUP($A354,A:AL,4,FALSE)-50),"-",(VLOOKUP($A354,'SegEnds_NonXtal_BW#'!$A:$Z,4,FALSE)+VLOOKUP($A354,A:AL,4,FALSE)-50))</f>
        <v>618</v>
      </c>
      <c r="F354" s="3">
        <f>G354-3</f>
        <v>621</v>
      </c>
      <c r="G354" s="3">
        <v>624</v>
      </c>
      <c r="H354" s="3">
        <f>G354+3</f>
        <v>627</v>
      </c>
      <c r="I354" s="3">
        <f>H354+1</f>
        <v>628</v>
      </c>
      <c r="J354" s="3">
        <v>640</v>
      </c>
      <c r="K354" s="3">
        <f>VLOOKUP($A354,'SegEnds_NonXtal_BW#'!$A:$Z,8,FALSE)+VLOOKUP($A354,A:AL,10,FALSE)-50</f>
        <v>651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656</v>
      </c>
      <c r="P354" s="3">
        <v>684</v>
      </c>
      <c r="Q354" s="3">
        <f>VLOOKUP($A354,'SegEnds_NonXtal_BW#'!$A:$Z,12,FALSE)+VLOOKUP($A354,A:AL,16,FALSE)-50</f>
        <v>688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700</v>
      </c>
      <c r="V354" s="3">
        <v>712</v>
      </c>
      <c r="W354" s="3">
        <f>IF(ISERROR(VLOOKUP($A354,'SegEnds_NonXtal_BW#'!$A:$Z,16,FALSE)+VLOOKUP($A354,A:AL,22,FALSE)-50),"-",(VLOOKUP($A354,'SegEnds_NonXtal_BW#'!$A:$Z,16,FALSE)+VLOOKUP($A354,A:AL,22,FALSE)-50))</f>
        <v>726</v>
      </c>
      <c r="X354" s="3">
        <f>IF(ISERROR(VLOOKUP($A354,'SegEnds_NonXtal_BW#'!$A:$Z,17,FALSE)+VLOOKUP($A354,A:AL,25,FALSE)-50),"-",(VLOOKUP($A354,'SegEnds_NonXtal_BW#'!$A:$Z,17,FALSE)+VLOOKUP($A354,A:AL,25,FALSE)-50))</f>
        <v>744</v>
      </c>
      <c r="Y354" s="3">
        <v>744</v>
      </c>
      <c r="Z354" s="3">
        <f>Y354+2</f>
        <v>746</v>
      </c>
      <c r="AA354" s="3">
        <f>IF(ISERROR(VLOOKUP($A354,'SegEnds_NonXtal_BW#'!$A:$Z,19,FALSE)+VLOOKUP($A354,A:AL,28,FALSE)-50),"-",(VLOOKUP($A354,'SegEnds_NonXtal_BW#'!$A:$Z,19,FALSE)+VLOOKUP($A354,A:AL,28,FALSE)-50))</f>
        <v>749</v>
      </c>
      <c r="AB354" s="3">
        <v>762</v>
      </c>
      <c r="AC354" s="3">
        <f>IF(ISERROR((VLOOKUP($A354,'SegEnds_NonXtal_BW#'!$A:$Z,20,FALSE)+VLOOKUP($A354,A:AL,28,FALSE)-50)),"-",(VLOOKUP($A354,'SegEnds_NonXtal_BW#'!$A:$Z,20,FALSE)+VLOOKUP($A354,A:AL,28,FALSE)-50))</f>
        <v>773</v>
      </c>
      <c r="AD354" s="3">
        <f>IF(ISERROR(VLOOKUP($A354,'SegEnds_NonXtal_BW#'!$A:$Z,21,FALSE)+VLOOKUP($A354,A:AL,31,FALSE)-50),"-",(VLOOKUP($A354,'SegEnds_NonXtal_BW#'!$A:$Z,21,FALSE)+VLOOKUP($A354,A:AL,31,FALSE)-50))</f>
        <v>780</v>
      </c>
      <c r="AE354" s="3">
        <v>797</v>
      </c>
      <c r="AF354" s="3">
        <f>IF(ISERROR((VLOOKUP($A354,'SegEnds_NonXtal_BW#'!$A:$Z,22,FALSE)+VLOOKUP($A354,A:AL,31,FALSE)-50)),"-",(VLOOKUP($A354,'SegEnds_NonXtal_BW#'!$A:$Z,22,FALSE)+VLOOKUP($A354,A:AL,31,FALSE)-50))</f>
        <v>804</v>
      </c>
      <c r="AG354" s="3">
        <f>IF(ISERROR(VLOOKUP($A354,'SegEnds_NonXtal_BW#'!$A:$Z,23,FALSE)+VLOOKUP($A354,A:AL,34,FALSE)-50),"-",(VLOOKUP($A354,'SegEnds_NonXtal_BW#'!$A:$Z,23,FALSE)+VLOOKUP($A354,A:AL,34,FALSE)-50))</f>
        <v>810</v>
      </c>
      <c r="AH354" s="3">
        <v>826</v>
      </c>
      <c r="AI354" s="3">
        <f>IF(ISERROR((VLOOKUP($A354,'SegEnds_NonXtal_BW#'!$A:$Z,24,FALSE)+VLOOKUP($A354,A:AL,34,FALSE)-50)),"-",(VLOOKUP($A354,'SegEnds_NonXtal_BW#'!$A:$Z,24,FALSE)+VLOOKUP($A354,A:AL,34,FALSE)-50))</f>
        <v>840</v>
      </c>
      <c r="AJ354" s="3">
        <f>IF(ISERROR(VLOOKUP($A354,'SegEnds_NonXtal_BW#'!$A:$Z,25,FALSE)+VLOOKUP($A354,A:AL,37,FALSE)-50),"-",(VLOOKUP($A354,'SegEnds_NonXtal_BW#'!$A:$Z,25,FALSE)+VLOOKUP($A354,A:AL,37,FALSE)-50))</f>
        <v>841</v>
      </c>
      <c r="AK354" s="3">
        <v>845</v>
      </c>
      <c r="AL354" s="3">
        <f>IF(ISERROR((VLOOKUP($A354,'SegEnds_NonXtal_BW#'!$A:$Z,26,FALSE)+VLOOKUP($A354,A:AL,37,FALSE)-50)),"-",(VLOOKUP($A354,'SegEnds_NonXtal_BW#'!$A:$Z,26,FALSE)+VLOOKUP($A354,A:AL,37,FALSE)-50))</f>
        <v>852</v>
      </c>
      <c r="AM354" s="28" t="str">
        <f>VLOOKUP(A354,Classification!A:B,2,FALSE)</f>
        <v>C</v>
      </c>
      <c r="AN354" s="28" t="b">
        <f>AND(IF(Y354="-",IF(AA354-W354&gt;3,TRUE,FALSE),TRUE),IF(M354="-",IF(O354-K354&gt;3,TRUE,FALSE),TRUE),C354&lt;E354,OR(E354&lt;F354,F354="-"),OR(F354&lt;H354,F354="-"),OR(H354&lt;I354,H354="-"),I354&lt;K354,OR(K354&lt;L354,L354="-"),OR(L354&lt;N354,L354="-"),OR(N354&lt;O354,N354="-"),O354&lt;Q354,OR(Q354&lt;R354,R354="-"),OR(R354&lt;T354,R354="-"),OR(T354&lt;U354,T354="-"),U354&lt;W354,OR(W354&lt;X354,X354="-"),OR(X354&lt;Z354,X354="-"),OR(Z354&lt;AA354,Z354="-"),AA354&lt;AC354,AC354&lt;AD354,AD354&lt;AF354,AF354&lt;AG354,AG354&lt;AI354,OR(AI354&lt;AJ354,AJ354="-"),OR(AJ354&lt;AL354,AJ354="-"))</f>
        <v>1</v>
      </c>
      <c r="AO354" s="3" t="str">
        <f>IF(ISERROR(MATCH(A354,'SegEnds_Xtal_Prot#'!B:B, 0)), "NoXtal", "Xtal")</f>
        <v>NoXtal</v>
      </c>
      <c r="AP354" s="3">
        <f>IF(ISERROR(F354-E354),"-",F354-E354)</f>
        <v>3</v>
      </c>
      <c r="AQ354" s="3">
        <f>IF(ISERROR(I354-H354),"-",I354-H354)</f>
        <v>1</v>
      </c>
      <c r="AR354" s="3" t="str">
        <f>IF(ISERROR(L354-K354),"-",L354-K354)</f>
        <v>-</v>
      </c>
      <c r="AS354" s="3" t="str">
        <f>IF(ISERROR(O354-N354),"-",O354-N354)</f>
        <v>-</v>
      </c>
      <c r="AT354" s="3" t="str">
        <f>IF(ISERROR(R354-Q354),"-",R354-Q354)</f>
        <v>-</v>
      </c>
      <c r="AU354" s="3" t="str">
        <f>IF(ISERROR(U354-T354),"-",U354-T354)</f>
        <v>-</v>
      </c>
      <c r="AV354" s="3">
        <f>IF(ISERROR(X354-W354),"-",X354-W354)</f>
        <v>18</v>
      </c>
      <c r="AW354" s="3">
        <f>IF(ISERROR(AA354-Z354),"-",AA354-Z354)</f>
        <v>3</v>
      </c>
      <c r="AX354" s="3">
        <f>IF(ISERROR(AD354-AC354),"-",AD354-AC354)</f>
        <v>7</v>
      </c>
      <c r="AY354" s="3">
        <f>IF(ISERROR(AG354-AF354),"-",AG354-AF354)</f>
        <v>6</v>
      </c>
      <c r="AZ354" s="3">
        <f>IF(ISERROR(AJ354-AI354),"-",AJ354-AI354)</f>
        <v>1</v>
      </c>
      <c r="BA354" s="3">
        <f>IF(ISERROR(LEN(VLOOKUP(A354,Seqs!A:E,2,FALSE))-AL354),"-",LEN(VLOOKUP(A354,Seqs!A:E,2,FALSE))-AL354)</f>
        <v>74</v>
      </c>
      <c r="BB354" s="16">
        <f>J354-D354</f>
        <v>32</v>
      </c>
      <c r="BC354" s="9" t="str">
        <f>IF(ISERROR(V354-S354),"-",V354-S354)</f>
        <v>-</v>
      </c>
      <c r="BD354" s="3">
        <f>J354-D354</f>
        <v>32</v>
      </c>
      <c r="BE354" s="3">
        <f>AE354-AB354</f>
        <v>35</v>
      </c>
    </row>
    <row r="355" spans="1:58" s="3" customFormat="1" x14ac:dyDescent="0.2">
      <c r="A355" s="3" t="s">
        <v>40</v>
      </c>
      <c r="B355" s="3" t="str">
        <f>LOWER(VLOOKUP(A355,Xtal_Templ!A:B,2,FALSE))</f>
        <v>grm1_human</v>
      </c>
      <c r="C355" s="3">
        <f>VLOOKUP($A355,'SegEnds_NonXtal_BW#'!$A:$Z,3,FALSE)+D355-50</f>
        <v>591</v>
      </c>
      <c r="D355" s="3">
        <v>607</v>
      </c>
      <c r="E355" s="3">
        <f>IF(ISERROR(VLOOKUP($A355,'SegEnds_NonXtal_BW#'!$A:$Z,4,FALSE)+VLOOKUP($A355,A:AL,4,FALSE)-50),"-",(VLOOKUP($A355,'SegEnds_NonXtal_BW#'!$A:$Z,4,FALSE)+VLOOKUP($A355,A:AL,4,FALSE)-50))</f>
        <v>617</v>
      </c>
      <c r="F355" s="3">
        <f>G355-3</f>
        <v>620</v>
      </c>
      <c r="G355" s="3">
        <v>623</v>
      </c>
      <c r="H355" s="3">
        <f>G355+3</f>
        <v>626</v>
      </c>
      <c r="I355" s="3">
        <f>H355+1</f>
        <v>627</v>
      </c>
      <c r="J355" s="3">
        <v>638</v>
      </c>
      <c r="K355" s="3">
        <f>VLOOKUP($A355,'SegEnds_NonXtal_BW#'!$A:$Z,8,FALSE)+VLOOKUP($A355,A:AL,10,FALSE)-50</f>
        <v>649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654</v>
      </c>
      <c r="P355" s="3">
        <v>682</v>
      </c>
      <c r="Q355" s="3">
        <f>VLOOKUP($A355,'SegEnds_NonXtal_BW#'!$A:$Z,12,FALSE)+VLOOKUP($A355,A:AL,16,FALSE)-50</f>
        <v>686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702</v>
      </c>
      <c r="V355" s="3">
        <v>714</v>
      </c>
      <c r="W355" s="3">
        <f>IF(ISERROR(VLOOKUP($A355,'SegEnds_NonXtal_BW#'!$A:$Z,16,FALSE)+VLOOKUP($A355,A:AL,22,FALSE)-50),"-",(VLOOKUP($A355,'SegEnds_NonXtal_BW#'!$A:$Z,16,FALSE)+VLOOKUP($A355,A:AL,22,FALSE)-50))</f>
        <v>728</v>
      </c>
      <c r="X355" s="3">
        <f>IF(ISERROR(VLOOKUP($A355,'SegEnds_NonXtal_BW#'!$A:$Z,17,FALSE)+VLOOKUP($A355,A:AL,25,FALSE)-50),"-",(VLOOKUP($A355,'SegEnds_NonXtal_BW#'!$A:$Z,17,FALSE)+VLOOKUP($A355,A:AL,25,FALSE)-50))</f>
        <v>746</v>
      </c>
      <c r="Y355" s="3">
        <v>746</v>
      </c>
      <c r="Z355" s="3">
        <f>Y355+2</f>
        <v>748</v>
      </c>
      <c r="AA355" s="3">
        <f>IF(ISERROR(VLOOKUP($A355,'SegEnds_NonXtal_BW#'!$A:$Z,19,FALSE)+VLOOKUP($A355,A:AL,28,FALSE)-50),"-",(VLOOKUP($A355,'SegEnds_NonXtal_BW#'!$A:$Z,19,FALSE)+VLOOKUP($A355,A:AL,28,FALSE)-50))</f>
        <v>750</v>
      </c>
      <c r="AB355" s="3">
        <v>763</v>
      </c>
      <c r="AC355" s="3">
        <f>IF(ISERROR((VLOOKUP($A355,'SegEnds_NonXtal_BW#'!$A:$Z,20,FALSE)+VLOOKUP($A355,A:AL,28,FALSE)-50)),"-",(VLOOKUP($A355,'SegEnds_NonXtal_BW#'!$A:$Z,20,FALSE)+VLOOKUP($A355,A:AL,28,FALSE)-50))</f>
        <v>774</v>
      </c>
      <c r="AD355" s="3">
        <f>IF(ISERROR(VLOOKUP($A355,'SegEnds_NonXtal_BW#'!$A:$Z,21,FALSE)+VLOOKUP($A355,A:AL,31,FALSE)-50),"-",(VLOOKUP($A355,'SegEnds_NonXtal_BW#'!$A:$Z,21,FALSE)+VLOOKUP($A355,A:AL,31,FALSE)-50))</f>
        <v>783</v>
      </c>
      <c r="AE355" s="3">
        <v>800</v>
      </c>
      <c r="AF355" s="3">
        <f>IF(ISERROR((VLOOKUP($A355,'SegEnds_NonXtal_BW#'!$A:$Z,22,FALSE)+VLOOKUP($A355,A:AL,31,FALSE)-50)),"-",(VLOOKUP($A355,'SegEnds_NonXtal_BW#'!$A:$Z,22,FALSE)+VLOOKUP($A355,A:AL,31,FALSE)-50))</f>
        <v>807</v>
      </c>
      <c r="AG355" s="3">
        <f>IF(ISERROR(VLOOKUP($A355,'SegEnds_NonXtal_BW#'!$A:$Z,23,FALSE)+VLOOKUP($A355,A:AL,34,FALSE)-50),"-",(VLOOKUP($A355,'SegEnds_NonXtal_BW#'!$A:$Z,23,FALSE)+VLOOKUP($A355,A:AL,34,FALSE)-50))</f>
        <v>811</v>
      </c>
      <c r="AH355" s="3">
        <v>827</v>
      </c>
      <c r="AI355" s="3">
        <f>IF(ISERROR((VLOOKUP($A355,'SegEnds_NonXtal_BW#'!$A:$Z,24,FALSE)+VLOOKUP($A355,A:AL,34,FALSE)-50)),"-",(VLOOKUP($A355,'SegEnds_NonXtal_BW#'!$A:$Z,24,FALSE)+VLOOKUP($A355,A:AL,34,FALSE)-50))</f>
        <v>841</v>
      </c>
      <c r="AJ355" s="3">
        <f>IF(ISERROR(VLOOKUP($A355,'SegEnds_NonXtal_BW#'!$A:$Z,25,FALSE)+VLOOKUP($A355,A:AL,37,FALSE)-50),"-",(VLOOKUP($A355,'SegEnds_NonXtal_BW#'!$A:$Z,25,FALSE)+VLOOKUP($A355,A:AL,37,FALSE)-50))</f>
        <v>842</v>
      </c>
      <c r="AK355" s="3">
        <v>846</v>
      </c>
      <c r="AL355" s="3">
        <f>IF(ISERROR((VLOOKUP($A355,'SegEnds_NonXtal_BW#'!$A:$Z,26,FALSE)+VLOOKUP($A355,A:AL,37,FALSE)-50)),"-",(VLOOKUP($A355,'SegEnds_NonXtal_BW#'!$A:$Z,26,FALSE)+VLOOKUP($A355,A:AL,37,FALSE)-50))</f>
        <v>853</v>
      </c>
      <c r="AM355" s="28" t="str">
        <f>VLOOKUP(A355,Classification!A:B,2,FALSE)</f>
        <v>C</v>
      </c>
      <c r="AN355" s="28" t="b">
        <f>AND(IF(Y355="-",IF(AA355-W355&gt;3,TRUE,FALSE),TRUE),IF(M355="-",IF(O355-K355&gt;3,TRUE,FALSE),TRUE),C355&lt;E355,OR(E355&lt;F355,F355="-"),OR(F355&lt;H355,F355="-"),OR(H355&lt;I355,H355="-"),I355&lt;K355,OR(K355&lt;L355,L355="-"),OR(L355&lt;N355,L355="-"),OR(N355&lt;O355,N355="-"),O355&lt;Q355,OR(Q355&lt;R355,R355="-"),OR(R355&lt;T355,R355="-"),OR(T355&lt;U355,T355="-"),U355&lt;W355,OR(W355&lt;X355,X355="-"),OR(X355&lt;Z355,X355="-"),OR(Z355&lt;AA355,Z355="-"),AA355&lt;AC355,AC355&lt;AD355,AD355&lt;AF355,AF355&lt;AG355,AG355&lt;AI355,OR(AI355&lt;AJ355,AJ355="-"),OR(AJ355&lt;AL355,AJ355="-"))</f>
        <v>1</v>
      </c>
      <c r="AO355" s="3" t="str">
        <f>IF(ISERROR(MATCH(A355,'SegEnds_Xtal_Prot#'!B:B, 0)), "NoXtal", "Xtal")</f>
        <v>Xtal</v>
      </c>
      <c r="AP355" s="3">
        <f>IF(ISERROR(F355-E355),"-",F355-E355)</f>
        <v>3</v>
      </c>
      <c r="AQ355" s="3">
        <f>IF(ISERROR(I355-H355),"-",I355-H355)</f>
        <v>1</v>
      </c>
      <c r="AR355" s="3" t="str">
        <f>IF(ISERROR(L355-K355),"-",L355-K355)</f>
        <v>-</v>
      </c>
      <c r="AS355" s="3" t="str">
        <f>IF(ISERROR(O355-N355),"-",O355-N355)</f>
        <v>-</v>
      </c>
      <c r="AT355" s="3" t="str">
        <f>IF(ISERROR(R355-Q355),"-",R355-Q355)</f>
        <v>-</v>
      </c>
      <c r="AU355" s="3" t="str">
        <f>IF(ISERROR(U355-T355),"-",U355-T355)</f>
        <v>-</v>
      </c>
      <c r="AV355" s="3">
        <f>IF(ISERROR(X355-W355),"-",X355-W355)</f>
        <v>18</v>
      </c>
      <c r="AW355" s="3">
        <f>IF(ISERROR(AA355-Z355),"-",AA355-Z355)</f>
        <v>2</v>
      </c>
      <c r="AX355" s="3">
        <f>IF(ISERROR(AD355-AC355),"-",AD355-AC355)</f>
        <v>9</v>
      </c>
      <c r="AY355" s="3">
        <f>IF(ISERROR(AG355-AF355),"-",AG355-AF355)</f>
        <v>4</v>
      </c>
      <c r="AZ355" s="3">
        <f>IF(ISERROR(AJ355-AI355),"-",AJ355-AI355)</f>
        <v>1</v>
      </c>
      <c r="BA355" s="3">
        <f>IF(ISERROR(LEN(VLOOKUP(A355,Seqs!A:E,2,FALSE))-AL355),"-",LEN(VLOOKUP(A355,Seqs!A:E,2,FALSE))-AL355)</f>
        <v>341</v>
      </c>
      <c r="BB355" s="16">
        <f>J355-D355</f>
        <v>31</v>
      </c>
      <c r="BC355" s="9" t="str">
        <f>IF(ISERROR(V355-S355),"-",V355-S355)</f>
        <v>-</v>
      </c>
      <c r="BD355" s="3">
        <f>J355-D355</f>
        <v>31</v>
      </c>
      <c r="BE355" s="3">
        <f>AE355-AB355</f>
        <v>37</v>
      </c>
    </row>
    <row r="356" spans="1:58" s="3" customFormat="1" x14ac:dyDescent="0.2">
      <c r="A356" s="3" t="s">
        <v>115</v>
      </c>
      <c r="B356" s="3" t="str">
        <f>LOWER(VLOOKUP(A356,Xtal_Templ!A:B,2,FALSE))</f>
        <v>grm5_human</v>
      </c>
      <c r="C356" s="3">
        <f>VLOOKUP($A356,'SegEnds_NonXtal_BW#'!$A:$Z,3,FALSE)+D356-50</f>
        <v>566</v>
      </c>
      <c r="D356" s="3">
        <v>582</v>
      </c>
      <c r="E356" s="3">
        <f>IF(ISERROR(VLOOKUP($A356,'SegEnds_NonXtal_BW#'!$A:$Z,4,FALSE)+VLOOKUP($A356,A:AL,4,FALSE)-50),"-",(VLOOKUP($A356,'SegEnds_NonXtal_BW#'!$A:$Z,4,FALSE)+VLOOKUP($A356,A:AL,4,FALSE)-50))</f>
        <v>592</v>
      </c>
      <c r="F356" s="3">
        <f>G356-3</f>
        <v>595</v>
      </c>
      <c r="G356" s="3">
        <v>598</v>
      </c>
      <c r="H356" s="3">
        <f>G356+3</f>
        <v>601</v>
      </c>
      <c r="I356" s="3">
        <f>H356+1</f>
        <v>602</v>
      </c>
      <c r="J356" s="3">
        <v>613</v>
      </c>
      <c r="K356" s="3">
        <f>VLOOKUP($A356,'SegEnds_NonXtal_BW#'!$A:$Z,8,FALSE)+VLOOKUP($A356,A:AL,10,FALSE)-50</f>
        <v>624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629</v>
      </c>
      <c r="P356" s="3">
        <v>657</v>
      </c>
      <c r="Q356" s="3">
        <f>VLOOKUP($A356,'SegEnds_NonXtal_BW#'!$A:$Z,12,FALSE)+VLOOKUP($A356,A:AL,16,FALSE)-50</f>
        <v>661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675</v>
      </c>
      <c r="V356" s="3">
        <v>687</v>
      </c>
      <c r="W356" s="3">
        <f>IF(ISERROR(VLOOKUP($A356,'SegEnds_NonXtal_BW#'!$A:$Z,16,FALSE)+VLOOKUP($A356,A:AL,22,FALSE)-50),"-",(VLOOKUP($A356,'SegEnds_NonXtal_BW#'!$A:$Z,16,FALSE)+VLOOKUP($A356,A:AL,22,FALSE)-50))</f>
        <v>701</v>
      </c>
      <c r="X356" s="3">
        <f>IF(ISERROR(VLOOKUP($A356,'SegEnds_NonXtal_BW#'!$A:$Z,17,FALSE)+VLOOKUP($A356,A:AL,25,FALSE)-50),"-",(VLOOKUP($A356,'SegEnds_NonXtal_BW#'!$A:$Z,17,FALSE)+VLOOKUP($A356,A:AL,25,FALSE)-50))</f>
        <v>721</v>
      </c>
      <c r="Y356" s="3">
        <v>721</v>
      </c>
      <c r="Z356" s="3">
        <f>Y356+2</f>
        <v>723</v>
      </c>
      <c r="AA356" s="3">
        <f>IF(ISERROR(VLOOKUP($A356,'SegEnds_NonXtal_BW#'!$A:$Z,19,FALSE)+VLOOKUP($A356,A:AL,28,FALSE)-50),"-",(VLOOKUP($A356,'SegEnds_NonXtal_BW#'!$A:$Z,19,FALSE)+VLOOKUP($A356,A:AL,28,FALSE)-50))</f>
        <v>725</v>
      </c>
      <c r="AB356" s="3">
        <v>738</v>
      </c>
      <c r="AC356" s="3">
        <f>IF(ISERROR((VLOOKUP($A356,'SegEnds_NonXtal_BW#'!$A:$Z,20,FALSE)+VLOOKUP($A356,A:AL,28,FALSE)-50)),"-",(VLOOKUP($A356,'SegEnds_NonXtal_BW#'!$A:$Z,20,FALSE)+VLOOKUP($A356,A:AL,28,FALSE)-50))</f>
        <v>749</v>
      </c>
      <c r="AD356" s="3">
        <f>IF(ISERROR(VLOOKUP($A356,'SegEnds_NonXtal_BW#'!$A:$Z,21,FALSE)+VLOOKUP($A356,A:AL,31,FALSE)-50),"-",(VLOOKUP($A356,'SegEnds_NonXtal_BW#'!$A:$Z,21,FALSE)+VLOOKUP($A356,A:AL,31,FALSE)-50))</f>
        <v>758</v>
      </c>
      <c r="AE356" s="3">
        <v>775</v>
      </c>
      <c r="AF356" s="3">
        <f>IF(ISERROR((VLOOKUP($A356,'SegEnds_NonXtal_BW#'!$A:$Z,22,FALSE)+VLOOKUP($A356,A:AL,31,FALSE)-50)),"-",(VLOOKUP($A356,'SegEnds_NonXtal_BW#'!$A:$Z,22,FALSE)+VLOOKUP($A356,A:AL,31,FALSE)-50))</f>
        <v>782</v>
      </c>
      <c r="AG356" s="3">
        <f>IF(ISERROR(VLOOKUP($A356,'SegEnds_NonXtal_BW#'!$A:$Z,23,FALSE)+VLOOKUP($A356,A:AL,34,FALSE)-50),"-",(VLOOKUP($A356,'SegEnds_NonXtal_BW#'!$A:$Z,23,FALSE)+VLOOKUP($A356,A:AL,34,FALSE)-50))</f>
        <v>790</v>
      </c>
      <c r="AH356" s="3">
        <v>806</v>
      </c>
      <c r="AI356" s="3">
        <f>IF(ISERROR((VLOOKUP($A356,'SegEnds_NonXtal_BW#'!$A:$Z,24,FALSE)+VLOOKUP($A356,A:AL,34,FALSE)-50)),"-",(VLOOKUP($A356,'SegEnds_NonXtal_BW#'!$A:$Z,24,FALSE)+VLOOKUP($A356,A:AL,34,FALSE)-50))</f>
        <v>820</v>
      </c>
      <c r="AJ356" s="3">
        <f>IF(ISERROR(VLOOKUP($A356,'SegEnds_NonXtal_BW#'!$A:$Z,25,FALSE)+VLOOKUP($A356,A:AL,37,FALSE)-50),"-",(VLOOKUP($A356,'SegEnds_NonXtal_BW#'!$A:$Z,25,FALSE)+VLOOKUP($A356,A:AL,37,FALSE)-50))</f>
        <v>821</v>
      </c>
      <c r="AK356" s="3">
        <v>825</v>
      </c>
      <c r="AL356" s="3">
        <f>IF(ISERROR((VLOOKUP($A356,'SegEnds_NonXtal_BW#'!$A:$Z,26,FALSE)+VLOOKUP($A356,A:AL,37,FALSE)-50)),"-",(VLOOKUP($A356,'SegEnds_NonXtal_BW#'!$A:$Z,26,FALSE)+VLOOKUP($A356,A:AL,37,FALSE)-50))</f>
        <v>832</v>
      </c>
      <c r="AM356" s="28" t="str">
        <f>VLOOKUP(A356,Classification!A:B,2,FALSE)</f>
        <v>C</v>
      </c>
      <c r="AN356" s="28" t="b">
        <f>AND(IF(Y356="-",IF(AA356-W356&gt;3,TRUE,FALSE),TRUE),IF(M356="-",IF(O356-K356&gt;3,TRUE,FALSE),TRUE),C356&lt;E356,OR(E356&lt;F356,F356="-"),OR(F356&lt;H356,F356="-"),OR(H356&lt;I356,H356="-"),I356&lt;K356,OR(K356&lt;L356,L356="-"),OR(L356&lt;N356,L356="-"),OR(N356&lt;O356,N356="-"),O356&lt;Q356,OR(Q356&lt;R356,R356="-"),OR(R356&lt;T356,R356="-"),OR(T356&lt;U356,T356="-"),U356&lt;W356,OR(W356&lt;X356,X356="-"),OR(X356&lt;Z356,X356="-"),OR(Z356&lt;AA356,Z356="-"),AA356&lt;AC356,AC356&lt;AD356,AD356&lt;AF356,AF356&lt;AG356,AG356&lt;AI356,OR(AI356&lt;AJ356,AJ356="-"),OR(AJ356&lt;AL356,AJ356="-"))</f>
        <v>1</v>
      </c>
      <c r="AO356" s="3" t="str">
        <f>IF(ISERROR(MATCH(A356,'SegEnds_Xtal_Prot#'!B:B, 0)), "NoXtal", "Xtal")</f>
        <v>NoXtal</v>
      </c>
      <c r="AP356" s="3">
        <f>IF(ISERROR(F356-E356),"-",F356-E356)</f>
        <v>3</v>
      </c>
      <c r="AQ356" s="3">
        <f>IF(ISERROR(I356-H356),"-",I356-H356)</f>
        <v>1</v>
      </c>
      <c r="AR356" s="3" t="str">
        <f>IF(ISERROR(L356-K356),"-",L356-K356)</f>
        <v>-</v>
      </c>
      <c r="AS356" s="3" t="str">
        <f>IF(ISERROR(O356-N356),"-",O356-N356)</f>
        <v>-</v>
      </c>
      <c r="AT356" s="3" t="str">
        <f>IF(ISERROR(R356-Q356),"-",R356-Q356)</f>
        <v>-</v>
      </c>
      <c r="AU356" s="3" t="str">
        <f>IF(ISERROR(U356-T356),"-",U356-T356)</f>
        <v>-</v>
      </c>
      <c r="AV356" s="3">
        <f>IF(ISERROR(X356-W356),"-",X356-W356)</f>
        <v>20</v>
      </c>
      <c r="AW356" s="3">
        <f>IF(ISERROR(AA356-Z356),"-",AA356-Z356)</f>
        <v>2</v>
      </c>
      <c r="AX356" s="3">
        <f>IF(ISERROR(AD356-AC356),"-",AD356-AC356)</f>
        <v>9</v>
      </c>
      <c r="AY356" s="3">
        <f>IF(ISERROR(AG356-AF356),"-",AG356-AF356)</f>
        <v>8</v>
      </c>
      <c r="AZ356" s="3">
        <f>IF(ISERROR(AJ356-AI356),"-",AJ356-AI356)</f>
        <v>1</v>
      </c>
      <c r="BA356" s="3">
        <f>IF(ISERROR(LEN(VLOOKUP(A356,Seqs!A:E,2,FALSE))-AL356),"-",LEN(VLOOKUP(A356,Seqs!A:E,2,FALSE))-AL356)</f>
        <v>40</v>
      </c>
      <c r="BB356" s="16">
        <f>J356-D356</f>
        <v>31</v>
      </c>
      <c r="BC356" s="9" t="str">
        <f>IF(ISERROR(V356-S356),"-",V356-S356)</f>
        <v>-</v>
      </c>
      <c r="BD356" s="3">
        <f>J356-D356</f>
        <v>31</v>
      </c>
      <c r="BE356" s="3">
        <f>AE356-AB356</f>
        <v>37</v>
      </c>
    </row>
    <row r="357" spans="1:58" s="3" customFormat="1" x14ac:dyDescent="0.2">
      <c r="A357" s="3" t="s">
        <v>116</v>
      </c>
      <c r="B357" s="3" t="str">
        <f>LOWER(VLOOKUP(A357,Xtal_Templ!A:B,2,FALSE))</f>
        <v>grm5_human</v>
      </c>
      <c r="C357" s="3">
        <f>VLOOKUP($A357,'SegEnds_NonXtal_BW#'!$A:$Z,3,FALSE)+D357-50</f>
        <v>575</v>
      </c>
      <c r="D357" s="3">
        <v>591</v>
      </c>
      <c r="E357" s="3">
        <f>IF(ISERROR(VLOOKUP($A357,'SegEnds_NonXtal_BW#'!$A:$Z,4,FALSE)+VLOOKUP($A357,A:AL,4,FALSE)-50),"-",(VLOOKUP($A357,'SegEnds_NonXtal_BW#'!$A:$Z,4,FALSE)+VLOOKUP($A357,A:AL,4,FALSE)-50))</f>
        <v>601</v>
      </c>
      <c r="F357" s="3">
        <f>G357-3</f>
        <v>604</v>
      </c>
      <c r="G357" s="3">
        <v>607</v>
      </c>
      <c r="H357" s="3">
        <f>G357+3</f>
        <v>610</v>
      </c>
      <c r="I357" s="3">
        <f>H357+1</f>
        <v>611</v>
      </c>
      <c r="J357" s="3">
        <v>622</v>
      </c>
      <c r="K357" s="3">
        <f>VLOOKUP($A357,'SegEnds_NonXtal_BW#'!$A:$Z,8,FALSE)+VLOOKUP($A357,A:AL,10,FALSE)-50</f>
        <v>633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638</v>
      </c>
      <c r="P357" s="3">
        <v>666</v>
      </c>
      <c r="Q357" s="3">
        <f>VLOOKUP($A357,'SegEnds_NonXtal_BW#'!$A:$Z,12,FALSE)+VLOOKUP($A357,A:AL,16,FALSE)-50</f>
        <v>670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684</v>
      </c>
      <c r="V357" s="3">
        <v>696</v>
      </c>
      <c r="W357" s="3">
        <f>IF(ISERROR(VLOOKUP($A357,'SegEnds_NonXtal_BW#'!$A:$Z,16,FALSE)+VLOOKUP($A357,A:AL,22,FALSE)-50),"-",(VLOOKUP($A357,'SegEnds_NonXtal_BW#'!$A:$Z,16,FALSE)+VLOOKUP($A357,A:AL,22,FALSE)-50))</f>
        <v>710</v>
      </c>
      <c r="X357" s="3">
        <f>IF(ISERROR(VLOOKUP($A357,'SegEnds_NonXtal_BW#'!$A:$Z,17,FALSE)+VLOOKUP($A357,A:AL,25,FALSE)-50),"-",(VLOOKUP($A357,'SegEnds_NonXtal_BW#'!$A:$Z,17,FALSE)+VLOOKUP($A357,A:AL,25,FALSE)-50))</f>
        <v>730</v>
      </c>
      <c r="Y357" s="3">
        <v>730</v>
      </c>
      <c r="Z357" s="3">
        <f>Y357+2</f>
        <v>732</v>
      </c>
      <c r="AA357" s="3">
        <f>IF(ISERROR(VLOOKUP($A357,'SegEnds_NonXtal_BW#'!$A:$Z,19,FALSE)+VLOOKUP($A357,A:AL,28,FALSE)-50),"-",(VLOOKUP($A357,'SegEnds_NonXtal_BW#'!$A:$Z,19,FALSE)+VLOOKUP($A357,A:AL,28,FALSE)-50))</f>
        <v>734</v>
      </c>
      <c r="AB357" s="3">
        <v>747</v>
      </c>
      <c r="AC357" s="3">
        <f>IF(ISERROR((VLOOKUP($A357,'SegEnds_NonXtal_BW#'!$A:$Z,20,FALSE)+VLOOKUP($A357,A:AL,28,FALSE)-50)),"-",(VLOOKUP($A357,'SegEnds_NonXtal_BW#'!$A:$Z,20,FALSE)+VLOOKUP($A357,A:AL,28,FALSE)-50))</f>
        <v>758</v>
      </c>
      <c r="AD357" s="3">
        <f>IF(ISERROR(VLOOKUP($A357,'SegEnds_NonXtal_BW#'!$A:$Z,21,FALSE)+VLOOKUP($A357,A:AL,31,FALSE)-50),"-",(VLOOKUP($A357,'SegEnds_NonXtal_BW#'!$A:$Z,21,FALSE)+VLOOKUP($A357,A:AL,31,FALSE)-50))</f>
        <v>767</v>
      </c>
      <c r="AE357" s="3">
        <v>784</v>
      </c>
      <c r="AF357" s="3">
        <f>IF(ISERROR((VLOOKUP($A357,'SegEnds_NonXtal_BW#'!$A:$Z,22,FALSE)+VLOOKUP($A357,A:AL,31,FALSE)-50)),"-",(VLOOKUP($A357,'SegEnds_NonXtal_BW#'!$A:$Z,22,FALSE)+VLOOKUP($A357,A:AL,31,FALSE)-50))</f>
        <v>791</v>
      </c>
      <c r="AG357" s="3">
        <f>IF(ISERROR(VLOOKUP($A357,'SegEnds_NonXtal_BW#'!$A:$Z,23,FALSE)+VLOOKUP($A357,A:AL,34,FALSE)-50),"-",(VLOOKUP($A357,'SegEnds_NonXtal_BW#'!$A:$Z,23,FALSE)+VLOOKUP($A357,A:AL,34,FALSE)-50))</f>
        <v>799</v>
      </c>
      <c r="AH357" s="3">
        <v>815</v>
      </c>
      <c r="AI357" s="3">
        <f>IF(ISERROR((VLOOKUP($A357,'SegEnds_NonXtal_BW#'!$A:$Z,24,FALSE)+VLOOKUP($A357,A:AL,34,FALSE)-50)),"-",(VLOOKUP($A357,'SegEnds_NonXtal_BW#'!$A:$Z,24,FALSE)+VLOOKUP($A357,A:AL,34,FALSE)-50))</f>
        <v>829</v>
      </c>
      <c r="AJ357" s="3">
        <f>IF(ISERROR(VLOOKUP($A357,'SegEnds_NonXtal_BW#'!$A:$Z,25,FALSE)+VLOOKUP($A357,A:AL,37,FALSE)-50),"-",(VLOOKUP($A357,'SegEnds_NonXtal_BW#'!$A:$Z,25,FALSE)+VLOOKUP($A357,A:AL,37,FALSE)-50))</f>
        <v>830</v>
      </c>
      <c r="AK357" s="3">
        <v>834</v>
      </c>
      <c r="AL357" s="3">
        <f>IF(ISERROR((VLOOKUP($A357,'SegEnds_NonXtal_BW#'!$A:$Z,26,FALSE)+VLOOKUP($A357,A:AL,37,FALSE)-50)),"-",(VLOOKUP($A357,'SegEnds_NonXtal_BW#'!$A:$Z,26,FALSE)+VLOOKUP($A357,A:AL,37,FALSE)-50))</f>
        <v>841</v>
      </c>
      <c r="AM357" s="28" t="str">
        <f>VLOOKUP(A357,Classification!A:B,2,FALSE)</f>
        <v>C</v>
      </c>
      <c r="AN357" s="28" t="b">
        <f>AND(IF(Y357="-",IF(AA357-W357&gt;3,TRUE,FALSE),TRUE),IF(M357="-",IF(O357-K357&gt;3,TRUE,FALSE),TRUE),C357&lt;E357,OR(E357&lt;F357,F357="-"),OR(F357&lt;H357,F357="-"),OR(H357&lt;I357,H357="-"),I357&lt;K357,OR(K357&lt;L357,L357="-"),OR(L357&lt;N357,L357="-"),OR(N357&lt;O357,N357="-"),O357&lt;Q357,OR(Q357&lt;R357,R357="-"),OR(R357&lt;T357,R357="-"),OR(T357&lt;U357,T357="-"),U357&lt;W357,OR(W357&lt;X357,X357="-"),OR(X357&lt;Z357,X357="-"),OR(Z357&lt;AA357,Z357="-"),AA357&lt;AC357,AC357&lt;AD357,AD357&lt;AF357,AF357&lt;AG357,AG357&lt;AI357,OR(AI357&lt;AJ357,AJ357="-"),OR(AJ357&lt;AL357,AJ357="-"))</f>
        <v>1</v>
      </c>
      <c r="AO357" s="3" t="str">
        <f>IF(ISERROR(MATCH(A357,'SegEnds_Xtal_Prot#'!B:B, 0)), "NoXtal", "Xtal")</f>
        <v>NoXtal</v>
      </c>
      <c r="AP357" s="3">
        <f>IF(ISERROR(F357-E357),"-",F357-E357)</f>
        <v>3</v>
      </c>
      <c r="AQ357" s="3">
        <f>IF(ISERROR(I357-H357),"-",I357-H357)</f>
        <v>1</v>
      </c>
      <c r="AR357" s="3" t="str">
        <f>IF(ISERROR(L357-K357),"-",L357-K357)</f>
        <v>-</v>
      </c>
      <c r="AS357" s="3" t="str">
        <f>IF(ISERROR(O357-N357),"-",O357-N357)</f>
        <v>-</v>
      </c>
      <c r="AT357" s="3" t="str">
        <f>IF(ISERROR(R357-Q357),"-",R357-Q357)</f>
        <v>-</v>
      </c>
      <c r="AU357" s="3" t="str">
        <f>IF(ISERROR(U357-T357),"-",U357-T357)</f>
        <v>-</v>
      </c>
      <c r="AV357" s="3">
        <f>IF(ISERROR(X357-W357),"-",X357-W357)</f>
        <v>20</v>
      </c>
      <c r="AW357" s="3">
        <f>IF(ISERROR(AA357-Z357),"-",AA357-Z357)</f>
        <v>2</v>
      </c>
      <c r="AX357" s="3">
        <f>IF(ISERROR(AD357-AC357),"-",AD357-AC357)</f>
        <v>9</v>
      </c>
      <c r="AY357" s="3">
        <f>IF(ISERROR(AG357-AF357),"-",AG357-AF357)</f>
        <v>8</v>
      </c>
      <c r="AZ357" s="3">
        <f>IF(ISERROR(AJ357-AI357),"-",AJ357-AI357)</f>
        <v>1</v>
      </c>
      <c r="BA357" s="3">
        <f>IF(ISERROR(LEN(VLOOKUP(A357,Seqs!A:E,2,FALSE))-AL357),"-",LEN(VLOOKUP(A357,Seqs!A:E,2,FALSE))-AL357)</f>
        <v>38</v>
      </c>
      <c r="BB357" s="16">
        <f>J357-D357</f>
        <v>31</v>
      </c>
      <c r="BC357" s="9" t="str">
        <f>IF(ISERROR(V357-S357),"-",V357-S357)</f>
        <v>-</v>
      </c>
      <c r="BD357" s="3">
        <f>J357-D357</f>
        <v>31</v>
      </c>
      <c r="BE357" s="3">
        <f>AE357-AB357</f>
        <v>37</v>
      </c>
    </row>
    <row r="358" spans="1:58" s="3" customFormat="1" x14ac:dyDescent="0.2">
      <c r="A358" s="3" t="s">
        <v>117</v>
      </c>
      <c r="B358" s="3" t="str">
        <f>LOWER(VLOOKUP(A358,Xtal_Templ!A:B,2,FALSE))</f>
        <v>grm5_human</v>
      </c>
      <c r="C358" s="3">
        <f>VLOOKUP($A358,'SegEnds_NonXtal_BW#'!$A:$Z,3,FALSE)+D358-50</f>
        <v>586</v>
      </c>
      <c r="D358" s="3">
        <v>602</v>
      </c>
      <c r="E358" s="3">
        <f>IF(ISERROR(VLOOKUP($A358,'SegEnds_NonXtal_BW#'!$A:$Z,4,FALSE)+VLOOKUP($A358,A:AL,4,FALSE)-50),"-",(VLOOKUP($A358,'SegEnds_NonXtal_BW#'!$A:$Z,4,FALSE)+VLOOKUP($A358,A:AL,4,FALSE)-50))</f>
        <v>612</v>
      </c>
      <c r="F358" s="3">
        <f>G358-3</f>
        <v>615</v>
      </c>
      <c r="G358" s="3">
        <v>618</v>
      </c>
      <c r="H358" s="3">
        <f>G358+3</f>
        <v>621</v>
      </c>
      <c r="I358" s="3">
        <f>H358+1</f>
        <v>622</v>
      </c>
      <c r="J358" s="3">
        <v>633</v>
      </c>
      <c r="K358" s="3">
        <f>VLOOKUP($A358,'SegEnds_NonXtal_BW#'!$A:$Z,8,FALSE)+VLOOKUP($A358,A:AL,10,FALSE)-50</f>
        <v>644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649</v>
      </c>
      <c r="P358" s="3">
        <v>677</v>
      </c>
      <c r="Q358" s="3">
        <f>VLOOKUP($A358,'SegEnds_NonXtal_BW#'!$A:$Z,12,FALSE)+VLOOKUP($A358,A:AL,16,FALSE)-50</f>
        <v>681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695</v>
      </c>
      <c r="V358" s="3">
        <v>707</v>
      </c>
      <c r="W358" s="3">
        <f>IF(ISERROR(VLOOKUP($A358,'SegEnds_NonXtal_BW#'!$A:$Z,16,FALSE)+VLOOKUP($A358,A:AL,22,FALSE)-50),"-",(VLOOKUP($A358,'SegEnds_NonXtal_BW#'!$A:$Z,16,FALSE)+VLOOKUP($A358,A:AL,22,FALSE)-50))</f>
        <v>721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>Y358+2</f>
        <v>748</v>
      </c>
      <c r="AA358" s="3">
        <f>IF(ISERROR(VLOOKUP($A358,'SegEnds_NonXtal_BW#'!$A:$Z,19,FALSE)+VLOOKUP($A358,A:AL,28,FALSE)-50),"-",(VLOOKUP($A358,'SegEnds_NonXtal_BW#'!$A:$Z,19,FALSE)+VLOOKUP($A358,A:AL,28,FALSE)-50))</f>
        <v>750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818</v>
      </c>
      <c r="AH358" s="3">
        <v>834</v>
      </c>
      <c r="AI358" s="3">
        <f>IF(ISERROR((VLOOKUP($A358,'SegEnds_NonXtal_BW#'!$A:$Z,24,FALSE)+VLOOKUP($A358,A:AL,34,FALSE)-50)),"-",(VLOOKUP($A358,'SegEnds_NonXtal_BW#'!$A:$Z,24,FALSE)+VLOOKUP($A358,A:AL,34,FALSE)-50))</f>
        <v>848</v>
      </c>
      <c r="AJ358" s="3">
        <f>IF(ISERROR(VLOOKUP($A358,'SegEnds_NonXtal_BW#'!$A:$Z,25,FALSE)+VLOOKUP($A358,A:AL,37,FALSE)-50),"-",(VLOOKUP($A358,'SegEnds_NonXtal_BW#'!$A:$Z,25,FALSE)+VLOOKUP($A358,A:AL,37,FALSE)-50))</f>
        <v>849</v>
      </c>
      <c r="AK358" s="3">
        <v>853</v>
      </c>
      <c r="AL358" s="3">
        <f>IF(ISERROR((VLOOKUP($A358,'SegEnds_NonXtal_BW#'!$A:$Z,26,FALSE)+VLOOKUP($A358,A:AL,37,FALSE)-50)),"-",(VLOOKUP($A358,'SegEnds_NonXtal_BW#'!$A:$Z,26,FALSE)+VLOOKUP($A358,A:AL,37,FALSE)-50))</f>
        <v>860</v>
      </c>
      <c r="AM358" s="28" t="str">
        <f>VLOOKUP(A358,Classification!A:B,2,FALSE)</f>
        <v>C</v>
      </c>
      <c r="AN358" s="28" t="b">
        <f>AND(IF(Y358="-",IF(AA358-W358&gt;3,TRUE,FALSE),TRUE),IF(M358="-",IF(O358-K358&gt;3,TRUE,FALSE),TRUE),C358&lt;E358,OR(E358&lt;F358,F358="-"),OR(F358&lt;H358,F358="-"),OR(H358&lt;I358,H358="-"),I358&lt;K358,OR(K358&lt;L358,L358="-"),OR(L358&lt;N358,L358="-"),OR(N358&lt;O358,N358="-"),O358&lt;Q358,OR(Q358&lt;R358,R358="-"),OR(R358&lt;T358,R358="-"),OR(T358&lt;U358,T358="-"),U358&lt;W358,OR(W358&lt;X358,X358="-"),OR(X358&lt;Z358,X358="-"),OR(Z358&lt;AA358,Z358="-"),AA358&lt;AC358,AC358&lt;AD358,AD358&lt;AF358,AF358&lt;AG358,AG358&lt;AI358,OR(AI358&lt;AJ358,AJ358="-"),OR(AJ358&lt;AL358,AJ358="-"))</f>
        <v>1</v>
      </c>
      <c r="AO358" s="3" t="str">
        <f>IF(ISERROR(MATCH(A358,'SegEnds_Xtal_Prot#'!B:B, 0)), "NoXtal", "Xtal")</f>
        <v>NoXtal</v>
      </c>
      <c r="AP358" s="3">
        <f>IF(ISERROR(F358-E358),"-",F358-E358)</f>
        <v>3</v>
      </c>
      <c r="AQ358" s="3">
        <f>IF(ISERROR(I358-H358),"-",I358-H358)</f>
        <v>1</v>
      </c>
      <c r="AR358" s="3" t="str">
        <f>IF(ISERROR(L358-K358),"-",L358-K358)</f>
        <v>-</v>
      </c>
      <c r="AS358" s="3" t="str">
        <f>IF(ISERROR(O358-N358),"-",O358-N358)</f>
        <v>-</v>
      </c>
      <c r="AT358" s="3" t="str">
        <f>IF(ISERROR(R358-Q358),"-",R358-Q358)</f>
        <v>-</v>
      </c>
      <c r="AU358" s="3" t="str">
        <f>IF(ISERROR(U358-T358),"-",U358-T358)</f>
        <v>-</v>
      </c>
      <c r="AV358" s="3">
        <f>IF(ISERROR(X358-W358),"-",X358-W358)</f>
        <v>25</v>
      </c>
      <c r="AW358" s="3">
        <f>IF(ISERROR(AA358-Z358),"-",AA358-Z358)</f>
        <v>2</v>
      </c>
      <c r="AX358" s="3">
        <f>IF(ISERROR(AD358-AC358),"-",AD358-AC358)</f>
        <v>9</v>
      </c>
      <c r="AY358" s="3">
        <f>IF(ISERROR(AG358-AF358),"-",AG358-AF358)</f>
        <v>11</v>
      </c>
      <c r="AZ358" s="3">
        <f>IF(ISERROR(AJ358-AI358),"-",AJ358-AI358)</f>
        <v>1</v>
      </c>
      <c r="BA358" s="3">
        <f>IF(ISERROR(LEN(VLOOKUP(A358,Seqs!A:E,2,FALSE))-AL358),"-",LEN(VLOOKUP(A358,Seqs!A:E,2,FALSE))-AL358)</f>
        <v>52</v>
      </c>
      <c r="BB358" s="16">
        <f>J358-D358</f>
        <v>31</v>
      </c>
      <c r="BC358" s="9" t="str">
        <f>IF(ISERROR(V358-S358),"-",V358-S358)</f>
        <v>-</v>
      </c>
      <c r="BD358" s="3">
        <f>J358-D358</f>
        <v>31</v>
      </c>
      <c r="BE358" s="3">
        <f>AE358-AB358</f>
        <v>37</v>
      </c>
    </row>
    <row r="359" spans="1:58" s="3" customFormat="1" x14ac:dyDescent="0.2">
      <c r="A359" s="3" t="s">
        <v>41</v>
      </c>
      <c r="B359" s="3" t="str">
        <f>LOWER(VLOOKUP(A359,Xtal_Templ!A:B,2,FALSE))</f>
        <v>grm5_human</v>
      </c>
      <c r="C359" s="3">
        <f>VLOOKUP($A359,'SegEnds_NonXtal_BW#'!$A:$Z,3,FALSE)+D359-50</f>
        <v>578</v>
      </c>
      <c r="D359" s="3">
        <v>594</v>
      </c>
      <c r="E359" s="3">
        <f>IF(ISERROR(VLOOKUP($A359,'SegEnds_NonXtal_BW#'!$A:$Z,4,FALSE)+VLOOKUP($A359,A:AL,4,FALSE)-50),"-",(VLOOKUP($A359,'SegEnds_NonXtal_BW#'!$A:$Z,4,FALSE)+VLOOKUP($A359,A:AL,4,FALSE)-50))</f>
        <v>604</v>
      </c>
      <c r="F359" s="3">
        <f>G359-3</f>
        <v>607</v>
      </c>
      <c r="G359" s="3">
        <v>610</v>
      </c>
      <c r="H359" s="3">
        <f>G359+3</f>
        <v>613</v>
      </c>
      <c r="I359" s="3">
        <f>H359+1</f>
        <v>614</v>
      </c>
      <c r="J359" s="3">
        <v>625</v>
      </c>
      <c r="K359" s="3">
        <f>VLOOKUP($A359,'SegEnds_NonXtal_BW#'!$A:$Z,8,FALSE)+VLOOKUP($A359,A:AL,10,FALSE)-50</f>
        <v>636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641</v>
      </c>
      <c r="P359" s="3">
        <v>669</v>
      </c>
      <c r="Q359" s="3">
        <f>VLOOKUP($A359,'SegEnds_NonXtal_BW#'!$A:$Z,12,FALSE)+VLOOKUP($A359,A:AL,16,FALSE)-50</f>
        <v>673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689</v>
      </c>
      <c r="V359" s="3">
        <v>701</v>
      </c>
      <c r="W359" s="3">
        <f>IF(ISERROR(VLOOKUP($A359,'SegEnds_NonXtal_BW#'!$A:$Z,16,FALSE)+VLOOKUP($A359,A:AL,22,FALSE)-50),"-",(VLOOKUP($A359,'SegEnds_NonXtal_BW#'!$A:$Z,16,FALSE)+VLOOKUP($A359,A:AL,22,FALSE)-50))</f>
        <v>715</v>
      </c>
      <c r="X359" s="3">
        <f>IF(ISERROR(VLOOKUP($A359,'SegEnds_NonXtal_BW#'!$A:$Z,17,FALSE)+VLOOKUP($A359,A:AL,25,FALSE)-50),"-",(VLOOKUP($A359,'SegEnds_NonXtal_BW#'!$A:$Z,17,FALSE)+VLOOKUP($A359,A:AL,25,FALSE)-50))</f>
        <v>733</v>
      </c>
      <c r="Y359" s="3">
        <v>733</v>
      </c>
      <c r="Z359" s="3">
        <f>Y359+2</f>
        <v>735</v>
      </c>
      <c r="AA359" s="3">
        <f>IF(ISERROR(VLOOKUP($A359,'SegEnds_NonXtal_BW#'!$A:$Z,19,FALSE)+VLOOKUP($A359,A:AL,28,FALSE)-50),"-",(VLOOKUP($A359,'SegEnds_NonXtal_BW#'!$A:$Z,19,FALSE)+VLOOKUP($A359,A:AL,28,FALSE)-50))</f>
        <v>737</v>
      </c>
      <c r="AB359" s="3">
        <v>750</v>
      </c>
      <c r="AC359" s="3">
        <f>IF(ISERROR((VLOOKUP($A359,'SegEnds_NonXtal_BW#'!$A:$Z,20,FALSE)+VLOOKUP($A359,A:AL,28,FALSE)-50)),"-",(VLOOKUP($A359,'SegEnds_NonXtal_BW#'!$A:$Z,20,FALSE)+VLOOKUP($A359,A:AL,28,FALSE)-50))</f>
        <v>761</v>
      </c>
      <c r="AD359" s="3">
        <f>IF(ISERROR(VLOOKUP($A359,'SegEnds_NonXtal_BW#'!$A:$Z,21,FALSE)+VLOOKUP($A359,A:AL,31,FALSE)-50),"-",(VLOOKUP($A359,'SegEnds_NonXtal_BW#'!$A:$Z,21,FALSE)+VLOOKUP($A359,A:AL,31,FALSE)-50))</f>
        <v>770</v>
      </c>
      <c r="AE359" s="3">
        <v>787</v>
      </c>
      <c r="AF359" s="3">
        <f>IF(ISERROR((VLOOKUP($A359,'SegEnds_NonXtal_BW#'!$A:$Z,22,FALSE)+VLOOKUP($A359,A:AL,31,FALSE)-50)),"-",(VLOOKUP($A359,'SegEnds_NonXtal_BW#'!$A:$Z,22,FALSE)+VLOOKUP($A359,A:AL,31,FALSE)-50))</f>
        <v>794</v>
      </c>
      <c r="AG359" s="3">
        <f>IF(ISERROR(VLOOKUP($A359,'SegEnds_NonXtal_BW#'!$A:$Z,23,FALSE)+VLOOKUP($A359,A:AL,34,FALSE)-50),"-",(VLOOKUP($A359,'SegEnds_NonXtal_BW#'!$A:$Z,23,FALSE)+VLOOKUP($A359,A:AL,34,FALSE)-50))</f>
        <v>798</v>
      </c>
      <c r="AH359" s="3">
        <v>814</v>
      </c>
      <c r="AI359" s="3">
        <f>IF(ISERROR((VLOOKUP($A359,'SegEnds_NonXtal_BW#'!$A:$Z,24,FALSE)+VLOOKUP($A359,A:AL,34,FALSE)-50)),"-",(VLOOKUP($A359,'SegEnds_NonXtal_BW#'!$A:$Z,24,FALSE)+VLOOKUP($A359,A:AL,34,FALSE)-50))</f>
        <v>828</v>
      </c>
      <c r="AJ359" s="3">
        <f>IF(ISERROR(VLOOKUP($A359,'SegEnds_NonXtal_BW#'!$A:$Z,25,FALSE)+VLOOKUP($A359,A:AL,37,FALSE)-50),"-",(VLOOKUP($A359,'SegEnds_NonXtal_BW#'!$A:$Z,25,FALSE)+VLOOKUP($A359,A:AL,37,FALSE)-50))</f>
        <v>829</v>
      </c>
      <c r="AK359" s="3">
        <v>833</v>
      </c>
      <c r="AL359" s="3">
        <f>IF(ISERROR((VLOOKUP($A359,'SegEnds_NonXtal_BW#'!$A:$Z,26,FALSE)+VLOOKUP($A359,A:AL,37,FALSE)-50)),"-",(VLOOKUP($A359,'SegEnds_NonXtal_BW#'!$A:$Z,26,FALSE)+VLOOKUP($A359,A:AL,37,FALSE)-50))</f>
        <v>840</v>
      </c>
      <c r="AM359" s="28" t="str">
        <f>VLOOKUP(A359,Classification!A:B,2,FALSE)</f>
        <v>C</v>
      </c>
      <c r="AN359" s="28" t="b">
        <f>AND(IF(Y359="-",IF(AA359-W359&gt;3,TRUE,FALSE),TRUE),IF(M359="-",IF(O359-K359&gt;3,TRUE,FALSE),TRUE),C359&lt;E359,OR(E359&lt;F359,F359="-"),OR(F359&lt;H359,F359="-"),OR(H359&lt;I359,H359="-"),I359&lt;K359,OR(K359&lt;L359,L359="-"),OR(L359&lt;N359,L359="-"),OR(N359&lt;O359,N359="-"),O359&lt;Q359,OR(Q359&lt;R359,R359="-"),OR(R359&lt;T359,R359="-"),OR(T359&lt;U359,T359="-"),U359&lt;W359,OR(W359&lt;X359,X359="-"),OR(X359&lt;Z359,X359="-"),OR(Z359&lt;AA359,Z359="-"),AA359&lt;AC359,AC359&lt;AD359,AD359&lt;AF359,AF359&lt;AG359,AG359&lt;AI359,OR(AI359&lt;AJ359,AJ359="-"),OR(AJ359&lt;AL359,AJ359="-"))</f>
        <v>1</v>
      </c>
      <c r="AO359" s="3" t="str">
        <f>IF(ISERROR(MATCH(A359,'SegEnds_Xtal_Prot#'!B:B, 0)), "NoXtal", "Xtal")</f>
        <v>Xtal</v>
      </c>
      <c r="AP359" s="3">
        <f>IF(ISERROR(F359-E359),"-",F359-E359)</f>
        <v>3</v>
      </c>
      <c r="AQ359" s="3">
        <f>IF(ISERROR(I359-H359),"-",I359-H359)</f>
        <v>1</v>
      </c>
      <c r="AR359" s="3" t="str">
        <f>IF(ISERROR(L359-K359),"-",L359-K359)</f>
        <v>-</v>
      </c>
      <c r="AS359" s="3" t="str">
        <f>IF(ISERROR(O359-N359),"-",O359-N359)</f>
        <v>-</v>
      </c>
      <c r="AT359" s="3" t="str">
        <f>IF(ISERROR(R359-Q359),"-",R359-Q359)</f>
        <v>-</v>
      </c>
      <c r="AU359" s="3" t="str">
        <f>IF(ISERROR(U359-T359),"-",U359-T359)</f>
        <v>-</v>
      </c>
      <c r="AV359" s="3">
        <f>IF(ISERROR(X359-W359),"-",X359-W359)</f>
        <v>18</v>
      </c>
      <c r="AW359" s="3">
        <f>IF(ISERROR(AA359-Z359),"-",AA359-Z359)</f>
        <v>2</v>
      </c>
      <c r="AX359" s="3">
        <f>IF(ISERROR(AD359-AC359),"-",AD359-AC359)</f>
        <v>9</v>
      </c>
      <c r="AY359" s="3">
        <f>IF(ISERROR(AG359-AF359),"-",AG359-AF359)</f>
        <v>4</v>
      </c>
      <c r="AZ359" s="3">
        <f>IF(ISERROR(AJ359-AI359),"-",AJ359-AI359)</f>
        <v>1</v>
      </c>
      <c r="BA359" s="3">
        <f>IF(ISERROR(LEN(VLOOKUP(A359,Seqs!A:E,2,FALSE))-AL359),"-",LEN(VLOOKUP(A359,Seqs!A:E,2,FALSE))-AL359)</f>
        <v>372</v>
      </c>
      <c r="BB359" s="16">
        <f>J359-D359</f>
        <v>31</v>
      </c>
      <c r="BC359" s="9" t="str">
        <f>IF(ISERROR(V359-S359),"-",V359-S359)</f>
        <v>-</v>
      </c>
      <c r="BD359" s="3">
        <f>J359-D359</f>
        <v>31</v>
      </c>
      <c r="BE359" s="3">
        <f>AE359-AB359</f>
        <v>37</v>
      </c>
    </row>
    <row r="360" spans="1:58" s="3" customFormat="1" x14ac:dyDescent="0.2">
      <c r="A360" s="3" t="s">
        <v>118</v>
      </c>
      <c r="B360" s="3" t="str">
        <f>LOWER(VLOOKUP(A360,Xtal_Templ!A:B,2,FALSE))</f>
        <v>grm5_human</v>
      </c>
      <c r="C360" s="3">
        <f>VLOOKUP($A360,'SegEnds_NonXtal_BW#'!$A:$Z,3,FALSE)+D360-50</f>
        <v>584</v>
      </c>
      <c r="D360" s="3">
        <v>600</v>
      </c>
      <c r="E360" s="3">
        <f>IF(ISERROR(VLOOKUP($A360,'SegEnds_NonXtal_BW#'!$A:$Z,4,FALSE)+VLOOKUP($A360,A:AL,4,FALSE)-50),"-",(VLOOKUP($A360,'SegEnds_NonXtal_BW#'!$A:$Z,4,FALSE)+VLOOKUP($A360,A:AL,4,FALSE)-50))</f>
        <v>610</v>
      </c>
      <c r="F360" s="3">
        <f>G360-3</f>
        <v>613</v>
      </c>
      <c r="G360" s="3">
        <v>616</v>
      </c>
      <c r="H360" s="3">
        <f>G360+3</f>
        <v>619</v>
      </c>
      <c r="I360" s="3">
        <f>H360+1</f>
        <v>620</v>
      </c>
      <c r="J360" s="3">
        <v>631</v>
      </c>
      <c r="K360" s="3">
        <f>VLOOKUP($A360,'SegEnds_NonXtal_BW#'!$A:$Z,8,FALSE)+VLOOKUP($A360,A:AL,10,FALSE)-50</f>
        <v>642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647</v>
      </c>
      <c r="P360" s="3">
        <v>675</v>
      </c>
      <c r="Q360" s="3">
        <f>VLOOKUP($A360,'SegEnds_NonXtal_BW#'!$A:$Z,12,FALSE)+VLOOKUP($A360,A:AL,16,FALSE)-50</f>
        <v>679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693</v>
      </c>
      <c r="V360" s="3">
        <v>705</v>
      </c>
      <c r="W360" s="3">
        <f>IF(ISERROR(VLOOKUP($A360,'SegEnds_NonXtal_BW#'!$A:$Z,16,FALSE)+VLOOKUP($A360,A:AL,22,FALSE)-50),"-",(VLOOKUP($A360,'SegEnds_NonXtal_BW#'!$A:$Z,16,FALSE)+VLOOKUP($A360,A:AL,22,FALSE)-50))</f>
        <v>719</v>
      </c>
      <c r="X360" s="3">
        <f>IF(ISERROR(VLOOKUP($A360,'SegEnds_NonXtal_BW#'!$A:$Z,17,FALSE)+VLOOKUP($A360,A:AL,25,FALSE)-50),"-",(VLOOKUP($A360,'SegEnds_NonXtal_BW#'!$A:$Z,17,FALSE)+VLOOKUP($A360,A:AL,25,FALSE)-50))</f>
        <v>744</v>
      </c>
      <c r="Y360" s="3">
        <v>744</v>
      </c>
      <c r="Z360" s="3">
        <f>Y360+2</f>
        <v>746</v>
      </c>
      <c r="AA360" s="3">
        <f>IF(ISERROR(VLOOKUP($A360,'SegEnds_NonXtal_BW#'!$A:$Z,19,FALSE)+VLOOKUP($A360,A:AL,28,FALSE)-50),"-",(VLOOKUP($A360,'SegEnds_NonXtal_BW#'!$A:$Z,19,FALSE)+VLOOKUP($A360,A:AL,28,FALSE)-50))</f>
        <v>748</v>
      </c>
      <c r="AB360" s="3">
        <v>761</v>
      </c>
      <c r="AC360" s="3">
        <f>IF(ISERROR((VLOOKUP($A360,'SegEnds_NonXtal_BW#'!$A:$Z,20,FALSE)+VLOOKUP($A360,A:AL,28,FALSE)-50)),"-",(VLOOKUP($A360,'SegEnds_NonXtal_BW#'!$A:$Z,20,FALSE)+VLOOKUP($A360,A:AL,28,FALSE)-50))</f>
        <v>772</v>
      </c>
      <c r="AD360" s="3">
        <f>IF(ISERROR(VLOOKUP($A360,'SegEnds_NonXtal_BW#'!$A:$Z,21,FALSE)+VLOOKUP($A360,A:AL,31,FALSE)-50),"-",(VLOOKUP($A360,'SegEnds_NonXtal_BW#'!$A:$Z,21,FALSE)+VLOOKUP($A360,A:AL,31,FALSE)-50))</f>
        <v>781</v>
      </c>
      <c r="AE360" s="3">
        <v>798</v>
      </c>
      <c r="AF360" s="3">
        <f>IF(ISERROR((VLOOKUP($A360,'SegEnds_NonXtal_BW#'!$A:$Z,22,FALSE)+VLOOKUP($A360,A:AL,31,FALSE)-50)),"-",(VLOOKUP($A360,'SegEnds_NonXtal_BW#'!$A:$Z,22,FALSE)+VLOOKUP($A360,A:AL,31,FALSE)-50))</f>
        <v>805</v>
      </c>
      <c r="AG360" s="3">
        <f>IF(ISERROR(VLOOKUP($A360,'SegEnds_NonXtal_BW#'!$A:$Z,23,FALSE)+VLOOKUP($A360,A:AL,34,FALSE)-50),"-",(VLOOKUP($A360,'SegEnds_NonXtal_BW#'!$A:$Z,23,FALSE)+VLOOKUP($A360,A:AL,34,FALSE)-50))</f>
        <v>816</v>
      </c>
      <c r="AH360" s="3">
        <v>832</v>
      </c>
      <c r="AI360" s="3">
        <f>IF(ISERROR((VLOOKUP($A360,'SegEnds_NonXtal_BW#'!$A:$Z,24,FALSE)+VLOOKUP($A360,A:AL,34,FALSE)-50)),"-",(VLOOKUP($A360,'SegEnds_NonXtal_BW#'!$A:$Z,24,FALSE)+VLOOKUP($A360,A:AL,34,FALSE)-50))</f>
        <v>846</v>
      </c>
      <c r="AJ360" s="3">
        <f>IF(ISERROR(VLOOKUP($A360,'SegEnds_NonXtal_BW#'!$A:$Z,25,FALSE)+VLOOKUP($A360,A:AL,37,FALSE)-50),"-",(VLOOKUP($A360,'SegEnds_NonXtal_BW#'!$A:$Z,25,FALSE)+VLOOKUP($A360,A:AL,37,FALSE)-50))</f>
        <v>847</v>
      </c>
      <c r="AK360" s="3">
        <v>851</v>
      </c>
      <c r="AL360" s="3">
        <f>IF(ISERROR((VLOOKUP($A360,'SegEnds_NonXtal_BW#'!$A:$Z,26,FALSE)+VLOOKUP($A360,A:AL,37,FALSE)-50)),"-",(VLOOKUP($A360,'SegEnds_NonXtal_BW#'!$A:$Z,26,FALSE)+VLOOKUP($A360,A:AL,37,FALSE)-50))</f>
        <v>858</v>
      </c>
      <c r="AM360" s="28" t="str">
        <f>VLOOKUP(A360,Classification!A:B,2,FALSE)</f>
        <v>C</v>
      </c>
      <c r="AN360" s="28" t="b">
        <f>AND(IF(Y360="-",IF(AA360-W360&gt;3,TRUE,FALSE),TRUE),IF(M360="-",IF(O360-K360&gt;3,TRUE,FALSE),TRUE),C360&lt;E360,OR(E360&lt;F360,F360="-"),OR(F360&lt;H360,F360="-"),OR(H360&lt;I360,H360="-"),I360&lt;K360,OR(K360&lt;L360,L360="-"),OR(L360&lt;N360,L360="-"),OR(N360&lt;O360,N360="-"),O360&lt;Q360,OR(Q360&lt;R360,R360="-"),OR(R360&lt;T360,R360="-"),OR(T360&lt;U360,T360="-"),U360&lt;W360,OR(W360&lt;X360,X360="-"),OR(X360&lt;Z360,X360="-"),OR(Z360&lt;AA360,Z360="-"),AA360&lt;AC360,AC360&lt;AD360,AD360&lt;AF360,AF360&lt;AG360,AG360&lt;AI360,OR(AI360&lt;AJ360,AJ360="-"),OR(AJ360&lt;AL360,AJ360="-"))</f>
        <v>1</v>
      </c>
      <c r="AO360" s="3" t="str">
        <f>IF(ISERROR(MATCH(A360,'SegEnds_Xtal_Prot#'!B:B, 0)), "NoXtal", "Xtal")</f>
        <v>NoXtal</v>
      </c>
      <c r="AP360" s="3">
        <f>IF(ISERROR(F360-E360),"-",F360-E360)</f>
        <v>3</v>
      </c>
      <c r="AQ360" s="3">
        <f>IF(ISERROR(I360-H360),"-",I360-H360)</f>
        <v>1</v>
      </c>
      <c r="AR360" s="3" t="str">
        <f>IF(ISERROR(L360-K360),"-",L360-K360)</f>
        <v>-</v>
      </c>
      <c r="AS360" s="3" t="str">
        <f>IF(ISERROR(O360-N360),"-",O360-N360)</f>
        <v>-</v>
      </c>
      <c r="AT360" s="3" t="str">
        <f>IF(ISERROR(R360-Q360),"-",R360-Q360)</f>
        <v>-</v>
      </c>
      <c r="AU360" s="3" t="str">
        <f>IF(ISERROR(U360-T360),"-",U360-T360)</f>
        <v>-</v>
      </c>
      <c r="AV360" s="3">
        <f>IF(ISERROR(X360-W360),"-",X360-W360)</f>
        <v>25</v>
      </c>
      <c r="AW360" s="3">
        <f>IF(ISERROR(AA360-Z360),"-",AA360-Z360)</f>
        <v>2</v>
      </c>
      <c r="AX360" s="3">
        <f>IF(ISERROR(AD360-AC360),"-",AD360-AC360)</f>
        <v>9</v>
      </c>
      <c r="AY360" s="3">
        <f>IF(ISERROR(AG360-AF360),"-",AG360-AF360)</f>
        <v>11</v>
      </c>
      <c r="AZ360" s="3">
        <f>IF(ISERROR(AJ360-AI360),"-",AJ360-AI360)</f>
        <v>1</v>
      </c>
      <c r="BA360" s="3">
        <f>IF(ISERROR(LEN(VLOOKUP(A360,Seqs!A:E,2,FALSE))-AL360),"-",LEN(VLOOKUP(A360,Seqs!A:E,2,FALSE))-AL360)</f>
        <v>19</v>
      </c>
      <c r="BB360" s="16">
        <f>J360-D360</f>
        <v>31</v>
      </c>
      <c r="BC360" s="9" t="str">
        <f>IF(ISERROR(V360-S360),"-",V360-S360)</f>
        <v>-</v>
      </c>
      <c r="BD360" s="3">
        <f>J360-D360</f>
        <v>31</v>
      </c>
      <c r="BE360" s="3">
        <f>AE360-AB360</f>
        <v>37</v>
      </c>
      <c r="BF360" s="3">
        <f>AH360-AE360</f>
        <v>34</v>
      </c>
    </row>
    <row r="361" spans="1:58" s="3" customFormat="1" x14ac:dyDescent="0.2">
      <c r="A361" s="3" t="s">
        <v>119</v>
      </c>
      <c r="B361" s="3" t="str">
        <f>LOWER(VLOOKUP(A361,Xtal_Templ!A:B,2,FALSE))</f>
        <v>grm5_human</v>
      </c>
      <c r="C361" s="3">
        <f>VLOOKUP($A361,'SegEnds_NonXtal_BW#'!$A:$Z,3,FALSE)+D361-50</f>
        <v>589</v>
      </c>
      <c r="D361" s="3">
        <v>605</v>
      </c>
      <c r="E361" s="3">
        <f>IF(ISERROR(VLOOKUP($A361,'SegEnds_NonXtal_BW#'!$A:$Z,4,FALSE)+VLOOKUP($A361,A:AL,4,FALSE)-50),"-",(VLOOKUP($A361,'SegEnds_NonXtal_BW#'!$A:$Z,4,FALSE)+VLOOKUP($A361,A:AL,4,FALSE)-50))</f>
        <v>615</v>
      </c>
      <c r="F361" s="3">
        <f>G361-3</f>
        <v>618</v>
      </c>
      <c r="G361" s="3">
        <v>621</v>
      </c>
      <c r="H361" s="3">
        <f>G361+3</f>
        <v>624</v>
      </c>
      <c r="I361" s="3">
        <f>H361+1</f>
        <v>625</v>
      </c>
      <c r="J361" s="3">
        <v>636</v>
      </c>
      <c r="K361" s="3">
        <f>VLOOKUP($A361,'SegEnds_NonXtal_BW#'!$A:$Z,8,FALSE)+VLOOKUP($A361,A:AL,10,FALSE)-50</f>
        <v>647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652</v>
      </c>
      <c r="P361" s="3">
        <v>680</v>
      </c>
      <c r="Q361" s="3">
        <f>VLOOKUP($A361,'SegEnds_NonXtal_BW#'!$A:$Z,12,FALSE)+VLOOKUP($A361,A:AL,16,FALSE)-50</f>
        <v>684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698</v>
      </c>
      <c r="V361" s="3">
        <v>710</v>
      </c>
      <c r="W361" s="3">
        <f>IF(ISERROR(VLOOKUP($A361,'SegEnds_NonXtal_BW#'!$A:$Z,16,FALSE)+VLOOKUP($A361,A:AL,22,FALSE)-50),"-",(VLOOKUP($A361,'SegEnds_NonXtal_BW#'!$A:$Z,16,FALSE)+VLOOKUP($A361,A:AL,22,FALSE)-50))</f>
        <v>724</v>
      </c>
      <c r="X361" s="3">
        <f>IF(ISERROR(VLOOKUP($A361,'SegEnds_NonXtal_BW#'!$A:$Z,17,FALSE)+VLOOKUP($A361,A:AL,25,FALSE)-50),"-",(VLOOKUP($A361,'SegEnds_NonXtal_BW#'!$A:$Z,17,FALSE)+VLOOKUP($A361,A:AL,25,FALSE)-50))</f>
        <v>749</v>
      </c>
      <c r="Y361" s="3">
        <v>749</v>
      </c>
      <c r="Z361" s="3">
        <f>Y361+2</f>
        <v>751</v>
      </c>
      <c r="AA361" s="3">
        <f>IF(ISERROR(VLOOKUP($A361,'SegEnds_NonXtal_BW#'!$A:$Z,19,FALSE)+VLOOKUP($A361,A:AL,28,FALSE)-50),"-",(VLOOKUP($A361,'SegEnds_NonXtal_BW#'!$A:$Z,19,FALSE)+VLOOKUP($A361,A:AL,28,FALSE)-50))</f>
        <v>753</v>
      </c>
      <c r="AB361" s="3">
        <v>766</v>
      </c>
      <c r="AC361" s="3">
        <f>IF(ISERROR((VLOOKUP($A361,'SegEnds_NonXtal_BW#'!$A:$Z,20,FALSE)+VLOOKUP($A361,A:AL,28,FALSE)-50)),"-",(VLOOKUP($A361,'SegEnds_NonXtal_BW#'!$A:$Z,20,FALSE)+VLOOKUP($A361,A:AL,28,FALSE)-50))</f>
        <v>777</v>
      </c>
      <c r="AD361" s="3">
        <f>IF(ISERROR(VLOOKUP($A361,'SegEnds_NonXtal_BW#'!$A:$Z,21,FALSE)+VLOOKUP($A361,A:AL,31,FALSE)-50),"-",(VLOOKUP($A361,'SegEnds_NonXtal_BW#'!$A:$Z,21,FALSE)+VLOOKUP($A361,A:AL,31,FALSE)-50))</f>
        <v>786</v>
      </c>
      <c r="AE361" s="3">
        <v>803</v>
      </c>
      <c r="AF361" s="3">
        <f>IF(ISERROR((VLOOKUP($A361,'SegEnds_NonXtal_BW#'!$A:$Z,22,FALSE)+VLOOKUP($A361,A:AL,31,FALSE)-50)),"-",(VLOOKUP($A361,'SegEnds_NonXtal_BW#'!$A:$Z,22,FALSE)+VLOOKUP($A361,A:AL,31,FALSE)-50))</f>
        <v>810</v>
      </c>
      <c r="AG361" s="3">
        <f>IF(ISERROR(VLOOKUP($A361,'SegEnds_NonXtal_BW#'!$A:$Z,23,FALSE)+VLOOKUP($A361,A:AL,34,FALSE)-50),"-",(VLOOKUP($A361,'SegEnds_NonXtal_BW#'!$A:$Z,23,FALSE)+VLOOKUP($A361,A:AL,34,FALSE)-50))</f>
        <v>821</v>
      </c>
      <c r="AH361" s="3">
        <v>837</v>
      </c>
      <c r="AI361" s="3">
        <f>IF(ISERROR((VLOOKUP($A361,'SegEnds_NonXtal_BW#'!$A:$Z,24,FALSE)+VLOOKUP($A361,A:AL,34,FALSE)-50)),"-",(VLOOKUP($A361,'SegEnds_NonXtal_BW#'!$A:$Z,24,FALSE)+VLOOKUP($A361,A:AL,34,FALSE)-50))</f>
        <v>851</v>
      </c>
      <c r="AJ361" s="3">
        <f>IF(ISERROR(VLOOKUP($A361,'SegEnds_NonXtal_BW#'!$A:$Z,25,FALSE)+VLOOKUP($A361,A:AL,37,FALSE)-50),"-",(VLOOKUP($A361,'SegEnds_NonXtal_BW#'!$A:$Z,25,FALSE)+VLOOKUP($A361,A:AL,37,FALSE)-50))</f>
        <v>852</v>
      </c>
      <c r="AK361" s="3">
        <v>856</v>
      </c>
      <c r="AL361" s="3">
        <f>IF(ISERROR((VLOOKUP($A361,'SegEnds_NonXtal_BW#'!$A:$Z,26,FALSE)+VLOOKUP($A361,A:AL,37,FALSE)-50)),"-",(VLOOKUP($A361,'SegEnds_NonXtal_BW#'!$A:$Z,26,FALSE)+VLOOKUP($A361,A:AL,37,FALSE)-50))</f>
        <v>863</v>
      </c>
      <c r="AM361" s="28" t="str">
        <f>VLOOKUP(A361,Classification!A:B,2,FALSE)</f>
        <v>C</v>
      </c>
      <c r="AN361" s="28" t="b">
        <f>AND(IF(Y361="-",IF(AA361-W361&gt;3,TRUE,FALSE),TRUE),IF(M361="-",IF(O361-K361&gt;3,TRUE,FALSE),TRUE),C361&lt;E361,OR(E361&lt;F361,F361="-"),OR(F361&lt;H361,F361="-"),OR(H361&lt;I361,H361="-"),I361&lt;K361,OR(K361&lt;L361,L361="-"),OR(L361&lt;N361,L361="-"),OR(N361&lt;O361,N361="-"),O361&lt;Q361,OR(Q361&lt;R361,R361="-"),OR(R361&lt;T361,R361="-"),OR(T361&lt;U361,T361="-"),U361&lt;W361,OR(W361&lt;X361,X361="-"),OR(X361&lt;Z361,X361="-"),OR(Z361&lt;AA361,Z361="-"),AA361&lt;AC361,AC361&lt;AD361,AD361&lt;AF361,AF361&lt;AG361,AG361&lt;AI361,OR(AI361&lt;AJ361,AJ361="-"),OR(AJ361&lt;AL361,AJ361="-"))</f>
        <v>1</v>
      </c>
      <c r="AO361" s="3" t="str">
        <f>IF(ISERROR(MATCH(A361,'SegEnds_Xtal_Prot#'!B:B, 0)), "NoXtal", "Xtal")</f>
        <v>NoXtal</v>
      </c>
      <c r="AP361" s="3">
        <f>IF(ISERROR(F361-E361),"-",F361-E361)</f>
        <v>3</v>
      </c>
      <c r="AQ361" s="3">
        <f>IF(ISERROR(I361-H361),"-",I361-H361)</f>
        <v>1</v>
      </c>
      <c r="AR361" s="3" t="str">
        <f>IF(ISERROR(L361-K361),"-",L361-K361)</f>
        <v>-</v>
      </c>
      <c r="AS361" s="3" t="str">
        <f>IF(ISERROR(O361-N361),"-",O361-N361)</f>
        <v>-</v>
      </c>
      <c r="AT361" s="3" t="str">
        <f>IF(ISERROR(R361-Q361),"-",R361-Q361)</f>
        <v>-</v>
      </c>
      <c r="AU361" s="3" t="str">
        <f>IF(ISERROR(U361-T361),"-",U361-T361)</f>
        <v>-</v>
      </c>
      <c r="AV361" s="3">
        <f>IF(ISERROR(X361-W361),"-",X361-W361)</f>
        <v>25</v>
      </c>
      <c r="AW361" s="3">
        <f>IF(ISERROR(AA361-Z361),"-",AA361-Z361)</f>
        <v>2</v>
      </c>
      <c r="AX361" s="3">
        <f>IF(ISERROR(AD361-AC361),"-",AD361-AC361)</f>
        <v>9</v>
      </c>
      <c r="AY361" s="3">
        <f>IF(ISERROR(AG361-AF361),"-",AG361-AF361)</f>
        <v>11</v>
      </c>
      <c r="AZ361" s="3">
        <f>IF(ISERROR(AJ361-AI361),"-",AJ361-AI361)</f>
        <v>1</v>
      </c>
      <c r="BA361" s="3">
        <f>IF(ISERROR(LEN(VLOOKUP(A361,Seqs!A:E,2,FALSE))-AL361),"-",LEN(VLOOKUP(A361,Seqs!A:E,2,FALSE))-AL361)</f>
        <v>52</v>
      </c>
      <c r="BB361" s="16">
        <f>J361-D361</f>
        <v>31</v>
      </c>
      <c r="BC361" s="9" t="str">
        <f>IF(ISERROR(V361-S361),"-",V361-S361)</f>
        <v>-</v>
      </c>
      <c r="BD361" s="3">
        <f>J361-D361</f>
        <v>31</v>
      </c>
      <c r="BE361" s="3">
        <f>AE361-AB361</f>
        <v>37</v>
      </c>
    </row>
    <row r="362" spans="1:58" s="3" customFormat="1" x14ac:dyDescent="0.2">
      <c r="A362" s="3" t="s">
        <v>120</v>
      </c>
      <c r="B362" s="3" t="str">
        <f>LOWER(VLOOKUP(A362,Xtal_Templ!A:B,2,FALSE))</f>
        <v>grm5_human</v>
      </c>
      <c r="C362" s="3">
        <f>VLOOKUP($A362,'SegEnds_NonXtal_BW#'!$A:$Z,3,FALSE)+D362-50</f>
        <v>582</v>
      </c>
      <c r="D362" s="3">
        <v>598</v>
      </c>
      <c r="E362" s="3">
        <f>IF(ISERROR(VLOOKUP($A362,'SegEnds_NonXtal_BW#'!$A:$Z,4,FALSE)+VLOOKUP($A362,A:AL,4,FALSE)-50),"-",(VLOOKUP($A362,'SegEnds_NonXtal_BW#'!$A:$Z,4,FALSE)+VLOOKUP($A362,A:AL,4,FALSE)-50))</f>
        <v>608</v>
      </c>
      <c r="F362" s="3">
        <f>G362-3</f>
        <v>611</v>
      </c>
      <c r="G362" s="3">
        <v>614</v>
      </c>
      <c r="H362" s="3">
        <f>G362+3</f>
        <v>617</v>
      </c>
      <c r="I362" s="3">
        <f>H362+1</f>
        <v>618</v>
      </c>
      <c r="J362" s="3">
        <v>629</v>
      </c>
      <c r="K362" s="3">
        <f>VLOOKUP($A362,'SegEnds_NonXtal_BW#'!$A:$Z,8,FALSE)+VLOOKUP($A362,A:AL,10,FALSE)-50</f>
        <v>640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645</v>
      </c>
      <c r="P362" s="3">
        <v>673</v>
      </c>
      <c r="Q362" s="3">
        <f>VLOOKUP($A362,'SegEnds_NonXtal_BW#'!$A:$Z,12,FALSE)+VLOOKUP($A362,A:AL,16,FALSE)-50</f>
        <v>677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691</v>
      </c>
      <c r="V362" s="3">
        <v>703</v>
      </c>
      <c r="W362" s="3">
        <f>IF(ISERROR(VLOOKUP($A362,'SegEnds_NonXtal_BW#'!$A:$Z,16,FALSE)+VLOOKUP($A362,A:AL,22,FALSE)-50),"-",(VLOOKUP($A362,'SegEnds_NonXtal_BW#'!$A:$Z,16,FALSE)+VLOOKUP($A362,A:AL,22,FALSE)-50))</f>
        <v>717</v>
      </c>
      <c r="X362" s="3">
        <f>IF(ISERROR(VLOOKUP($A362,'SegEnds_NonXtal_BW#'!$A:$Z,17,FALSE)+VLOOKUP($A362,A:AL,25,FALSE)-50),"-",(VLOOKUP($A362,'SegEnds_NonXtal_BW#'!$A:$Z,17,FALSE)+VLOOKUP($A362,A:AL,25,FALSE)-50))</f>
        <v>742</v>
      </c>
      <c r="Y362" s="3">
        <v>742</v>
      </c>
      <c r="Z362" s="3">
        <f>Y362+2</f>
        <v>744</v>
      </c>
      <c r="AA362" s="3">
        <f>IF(ISERROR(VLOOKUP($A362,'SegEnds_NonXtal_BW#'!$A:$Z,19,FALSE)+VLOOKUP($A362,A:AL,28,FALSE)-50),"-",(VLOOKUP($A362,'SegEnds_NonXtal_BW#'!$A:$Z,19,FALSE)+VLOOKUP($A362,A:AL,28,FALSE)-50))</f>
        <v>746</v>
      </c>
      <c r="AB362" s="3">
        <v>759</v>
      </c>
      <c r="AC362" s="3">
        <f>IF(ISERROR((VLOOKUP($A362,'SegEnds_NonXtal_BW#'!$A:$Z,20,FALSE)+VLOOKUP($A362,A:AL,28,FALSE)-50)),"-",(VLOOKUP($A362,'SegEnds_NonXtal_BW#'!$A:$Z,20,FALSE)+VLOOKUP($A362,A:AL,28,FALSE)-50))</f>
        <v>770</v>
      </c>
      <c r="AD362" s="3">
        <f>IF(ISERROR(VLOOKUP($A362,'SegEnds_NonXtal_BW#'!$A:$Z,21,FALSE)+VLOOKUP($A362,A:AL,31,FALSE)-50),"-",(VLOOKUP($A362,'SegEnds_NonXtal_BW#'!$A:$Z,21,FALSE)+VLOOKUP($A362,A:AL,31,FALSE)-50))</f>
        <v>779</v>
      </c>
      <c r="AE362" s="3">
        <v>796</v>
      </c>
      <c r="AF362" s="3">
        <f>IF(ISERROR((VLOOKUP($A362,'SegEnds_NonXtal_BW#'!$A:$Z,22,FALSE)+VLOOKUP($A362,A:AL,31,FALSE)-50)),"-",(VLOOKUP($A362,'SegEnds_NonXtal_BW#'!$A:$Z,22,FALSE)+VLOOKUP($A362,A:AL,31,FALSE)-50))</f>
        <v>803</v>
      </c>
      <c r="AG362" s="3">
        <f>IF(ISERROR(VLOOKUP($A362,'SegEnds_NonXtal_BW#'!$A:$Z,23,FALSE)+VLOOKUP($A362,A:AL,34,FALSE)-50),"-",(VLOOKUP($A362,'SegEnds_NonXtal_BW#'!$A:$Z,23,FALSE)+VLOOKUP($A362,A:AL,34,FALSE)-50))</f>
        <v>814</v>
      </c>
      <c r="AH362" s="3">
        <v>830</v>
      </c>
      <c r="AI362" s="3">
        <f>IF(ISERROR((VLOOKUP($A362,'SegEnds_NonXtal_BW#'!$A:$Z,24,FALSE)+VLOOKUP($A362,A:AL,34,FALSE)-50)),"-",(VLOOKUP($A362,'SegEnds_NonXtal_BW#'!$A:$Z,24,FALSE)+VLOOKUP($A362,A:AL,34,FALSE)-50))</f>
        <v>844</v>
      </c>
      <c r="AJ362" s="3">
        <f>IF(ISERROR(VLOOKUP($A362,'SegEnds_NonXtal_BW#'!$A:$Z,25,FALSE)+VLOOKUP($A362,A:AL,37,FALSE)-50),"-",(VLOOKUP($A362,'SegEnds_NonXtal_BW#'!$A:$Z,25,FALSE)+VLOOKUP($A362,A:AL,37,FALSE)-50))</f>
        <v>845</v>
      </c>
      <c r="AK362" s="3">
        <v>849</v>
      </c>
      <c r="AL362" s="3">
        <f>IF(ISERROR((VLOOKUP($A362,'SegEnds_NonXtal_BW#'!$A:$Z,26,FALSE)+VLOOKUP($A362,A:AL,37,FALSE)-50)),"-",(VLOOKUP($A362,'SegEnds_NonXtal_BW#'!$A:$Z,26,FALSE)+VLOOKUP($A362,A:AL,37,FALSE)-50))</f>
        <v>856</v>
      </c>
      <c r="AM362" s="28" t="str">
        <f>VLOOKUP(A362,Classification!A:B,2,FALSE)</f>
        <v>C</v>
      </c>
      <c r="AN362" s="28" t="b">
        <f>AND(IF(Y362="-",IF(AA362-W362&gt;3,TRUE,FALSE),TRUE),IF(M362="-",IF(O362-K362&gt;3,TRUE,FALSE),TRUE),C362&lt;E362,OR(E362&lt;F362,F362="-"),OR(F362&lt;H362,F362="-"),OR(H362&lt;I362,H362="-"),I362&lt;K362,OR(K362&lt;L362,L362="-"),OR(L362&lt;N362,L362="-"),OR(N362&lt;O362,N362="-"),O362&lt;Q362,OR(Q362&lt;R362,R362="-"),OR(R362&lt;T362,R362="-"),OR(T362&lt;U362,T362="-"),U362&lt;W362,OR(W362&lt;X362,X362="-"),OR(X362&lt;Z362,X362="-"),OR(Z362&lt;AA362,Z362="-"),AA362&lt;AC362,AC362&lt;AD362,AD362&lt;AF362,AF362&lt;AG362,AG362&lt;AI362,OR(AI362&lt;AJ362,AJ362="-"),OR(AJ362&lt;AL362,AJ362="-"))</f>
        <v>1</v>
      </c>
      <c r="AO362" s="3" t="str">
        <f>IF(ISERROR(MATCH(A362,'SegEnds_Xtal_Prot#'!B:B, 0)), "NoXtal", "Xtal")</f>
        <v>NoXtal</v>
      </c>
      <c r="AP362" s="3">
        <f>IF(ISERROR(F362-E362),"-",F362-E362)</f>
        <v>3</v>
      </c>
      <c r="AQ362" s="3">
        <f>IF(ISERROR(I362-H362),"-",I362-H362)</f>
        <v>1</v>
      </c>
      <c r="AR362" s="3" t="str">
        <f>IF(ISERROR(L362-K362),"-",L362-K362)</f>
        <v>-</v>
      </c>
      <c r="AS362" s="3" t="str">
        <f>IF(ISERROR(O362-N362),"-",O362-N362)</f>
        <v>-</v>
      </c>
      <c r="AT362" s="3" t="str">
        <f>IF(ISERROR(R362-Q362),"-",R362-Q362)</f>
        <v>-</v>
      </c>
      <c r="AU362" s="3" t="str">
        <f>IF(ISERROR(U362-T362),"-",U362-T362)</f>
        <v>-</v>
      </c>
      <c r="AV362" s="3">
        <f>IF(ISERROR(X362-W362),"-",X362-W362)</f>
        <v>25</v>
      </c>
      <c r="AW362" s="3">
        <f>IF(ISERROR(AA362-Z362),"-",AA362-Z362)</f>
        <v>2</v>
      </c>
      <c r="AX362" s="3">
        <f>IF(ISERROR(AD362-AC362),"-",AD362-AC362)</f>
        <v>9</v>
      </c>
      <c r="AY362" s="3">
        <f>IF(ISERROR(AG362-AF362),"-",AG362-AF362)</f>
        <v>11</v>
      </c>
      <c r="AZ362" s="3">
        <f>IF(ISERROR(AJ362-AI362),"-",AJ362-AI362)</f>
        <v>1</v>
      </c>
      <c r="BA362" s="3">
        <f>IF(ISERROR(LEN(VLOOKUP(A362,Seqs!A:E,2,FALSE))-AL362),"-",LEN(VLOOKUP(A362,Seqs!A:E,2,FALSE))-AL362)</f>
        <v>52</v>
      </c>
      <c r="BB362" s="16">
        <f>J362-D362</f>
        <v>31</v>
      </c>
      <c r="BC362" s="9" t="str">
        <f>IF(ISERROR(V362-S362),"-",V362-S362)</f>
        <v>-</v>
      </c>
      <c r="BD362" s="3">
        <f>J362-D362</f>
        <v>31</v>
      </c>
      <c r="BE362" s="3">
        <f>AE362-AB362</f>
        <v>37</v>
      </c>
    </row>
    <row r="363" spans="1:58" s="3" customFormat="1" x14ac:dyDescent="0.2">
      <c r="A363" s="3" t="s">
        <v>121</v>
      </c>
      <c r="B363" s="3" t="str">
        <f>LOWER(VLOOKUP(A363,Xtal_Templ!A:B,2,FALSE))</f>
        <v>grm1_human</v>
      </c>
      <c r="C363" s="3">
        <f>VLOOKUP($A363,'SegEnds_NonXtal_BW#'!$A:$Z,3,FALSE)+D363-50</f>
        <v>26</v>
      </c>
      <c r="D363" s="3">
        <v>42</v>
      </c>
      <c r="E363" s="3">
        <f>IF(ISERROR(VLOOKUP($A363,'SegEnds_NonXtal_BW#'!$A:$Z,4,FALSE)+VLOOKUP($A363,A:AL,4,FALSE)-50),"-",(VLOOKUP($A363,'SegEnds_NonXtal_BW#'!$A:$Z,4,FALSE)+VLOOKUP($A363,A:AL,4,FALSE)-50))</f>
        <v>52</v>
      </c>
      <c r="F363" s="3">
        <f>G363-3</f>
        <v>53</v>
      </c>
      <c r="G363" s="3">
        <v>56</v>
      </c>
      <c r="H363" s="3">
        <f>G363+3</f>
        <v>59</v>
      </c>
      <c r="I363" s="3">
        <f>H363+1</f>
        <v>60</v>
      </c>
      <c r="J363" s="3">
        <v>75</v>
      </c>
      <c r="K363" s="3">
        <f>VLOOKUP($A363,'SegEnds_NonXtal_BW#'!$A:$Z,8,FALSE)+VLOOKUP($A363,A:AL,10,FALSE)-50</f>
        <v>86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91</v>
      </c>
      <c r="P363" s="3">
        <v>119</v>
      </c>
      <c r="Q363" s="3">
        <f>VLOOKUP($A363,'SegEnds_NonXtal_BW#'!$A:$Z,12,FALSE)+VLOOKUP($A363,A:AL,16,FALSE)-50</f>
        <v>123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130</v>
      </c>
      <c r="V363" s="3">
        <v>142</v>
      </c>
      <c r="W363" s="3">
        <f>IF(ISERROR(VLOOKUP($A363,'SegEnds_NonXtal_BW#'!$A:$Z,16,FALSE)+VLOOKUP($A363,A:AL,22,FALSE)-50),"-",(VLOOKUP($A363,'SegEnds_NonXtal_BW#'!$A:$Z,16,FALSE)+VLOOKUP($A363,A:AL,22,FALSE)-50))</f>
        <v>156</v>
      </c>
      <c r="X363" s="3" t="str">
        <f>IF(ISERROR(VLOOKUP($A363,'SegEnds_NonXtal_BW#'!$A:$Z,17,FALSE)+VLOOKUP($A363,A:AL,25,FALSE)-50),"-",(VLOOKUP($A363,'SegEnds_NonXtal_BW#'!$A:$Z,17,FALSE)+VLOOKUP($A363,A:AL,25,FALSE)-50))</f>
        <v>-</v>
      </c>
      <c r="Y363" s="3" t="s">
        <v>23</v>
      </c>
      <c r="Z363" s="3" t="str">
        <f>IF(ISERROR(VLOOKUP($A363,'SegEnds_NonXtal_BW#'!$A:$Z,18,FALSE)+VLOOKUP($A363,A:AL,25,FALSE)-50),"-",(VLOOKUP($A363,'SegEnds_NonXtal_BW#'!$A:$Z,18,FALSE)+VLOOKUP($A363,A:AL,25,FALSE)-50))</f>
        <v>-</v>
      </c>
      <c r="AA363" s="3">
        <f>IF(ISERROR(VLOOKUP($A363,'SegEnds_NonXtal_BW#'!$A:$Z,19,FALSE)+VLOOKUP($A363,A:AL,28,FALSE)-50),"-",(VLOOKUP($A363,'SegEnds_NonXtal_BW#'!$A:$Z,19,FALSE)+VLOOKUP($A363,A:AL,28,FALSE)-50))</f>
        <v>174</v>
      </c>
      <c r="AB363" s="3">
        <v>187</v>
      </c>
      <c r="AC363" s="3">
        <f>IF(ISERROR((VLOOKUP($A363,'SegEnds_NonXtal_BW#'!$A:$Z,20,FALSE)+VLOOKUP($A363,A:AL,28,FALSE)-50)),"-",(VLOOKUP($A363,'SegEnds_NonXtal_BW#'!$A:$Z,20,FALSE)+VLOOKUP($A363,A:AL,28,FALSE)-50))</f>
        <v>198</v>
      </c>
      <c r="AD363" s="3">
        <f>IF(ISERROR(VLOOKUP($A363,'SegEnds_NonXtal_BW#'!$A:$Z,21,FALSE)+VLOOKUP($A363,A:AL,31,FALSE)-50),"-",(VLOOKUP($A363,'SegEnds_NonXtal_BW#'!$A:$Z,21,FALSE)+VLOOKUP($A363,A:AL,31,FALSE)-50))</f>
        <v>209</v>
      </c>
      <c r="AE363" s="3">
        <v>226</v>
      </c>
      <c r="AF363" s="3">
        <f>IF(ISERROR((VLOOKUP($A363,'SegEnds_NonXtal_BW#'!$A:$Z,22,FALSE)+VLOOKUP($A363,A:AL,31,FALSE)-50)),"-",(VLOOKUP($A363,'SegEnds_NonXtal_BW#'!$A:$Z,22,FALSE)+VLOOKUP($A363,A:AL,31,FALSE)-50))</f>
        <v>233</v>
      </c>
      <c r="AG363" s="3">
        <f>IF(ISERROR(VLOOKUP($A363,'SegEnds_NonXtal_BW#'!$A:$Z,23,FALSE)+VLOOKUP($A363,A:AL,34,FALSE)-50),"-",(VLOOKUP($A363,'SegEnds_NonXtal_BW#'!$A:$Z,23,FALSE)+VLOOKUP($A363,A:AL,34,FALSE)-50))</f>
        <v>241</v>
      </c>
      <c r="AH363" s="3">
        <v>257</v>
      </c>
      <c r="AI363" s="3">
        <f>IF(ISERROR((VLOOKUP($A363,'SegEnds_NonXtal_BW#'!$A:$Z,24,FALSE)+VLOOKUP($A363,A:AL,34,FALSE)-50)),"-",(VLOOKUP($A363,'SegEnds_NonXtal_BW#'!$A:$Z,24,FALSE)+VLOOKUP($A363,A:AL,34,FALSE)-50))</f>
        <v>271</v>
      </c>
      <c r="AJ363" s="3">
        <v>273</v>
      </c>
      <c r="AK363" s="3">
        <v>278</v>
      </c>
      <c r="AL363" s="3">
        <v>285</v>
      </c>
      <c r="AM363" s="28" t="str">
        <f>VLOOKUP(A363,Classification!A:B,2,FALSE)</f>
        <v>C</v>
      </c>
      <c r="AN363" s="28" t="b">
        <f>AND(IF(Y363="-",IF(AA363-W363&gt;3,TRUE,FALSE),TRUE),IF(M363="-",IF(O363-K363&gt;3,TRUE,FALSE),TRUE),C363&lt;E363,OR(E363&lt;F363,F363="-"),OR(F363&lt;H363,F363="-"),OR(H363&lt;I363,H363="-"),I363&lt;K363,OR(K363&lt;L363,L363="-"),OR(L363&lt;N363,L363="-"),OR(N363&lt;O363,N363="-"),O363&lt;Q363,OR(Q363&lt;R363,R363="-"),OR(R363&lt;T363,R363="-"),OR(T363&lt;U363,T363="-"),U363&lt;W363,OR(W363&lt;X363,X363="-"),OR(X363&lt;Z363,X363="-"),OR(Z363&lt;AA363,Z363="-"),AA363&lt;AC363,AC363&lt;AD363,AD363&lt;AF363,AF363&lt;AG363,AG363&lt;AI363,OR(AI363&lt;AJ363,AJ363="-"),OR(AJ363&lt;AL363,AJ363="-"))</f>
        <v>1</v>
      </c>
      <c r="AO363" s="3" t="str">
        <f>IF(ISERROR(MATCH(A363,'SegEnds_Xtal_Prot#'!B:B, 0)), "NoXtal", "Xtal")</f>
        <v>NoXtal</v>
      </c>
      <c r="AP363" s="3">
        <f>IF(ISERROR(F363-E363),"-",F363-E363)</f>
        <v>1</v>
      </c>
      <c r="AQ363" s="3">
        <f>IF(ISERROR(I363-H363),"-",I363-H363)</f>
        <v>1</v>
      </c>
      <c r="AR363" s="3" t="str">
        <f>IF(ISERROR(L363-K363),"-",L363-K363)</f>
        <v>-</v>
      </c>
      <c r="AS363" s="3" t="str">
        <f>IF(ISERROR(O363-N363),"-",O363-N363)</f>
        <v>-</v>
      </c>
      <c r="AT363" s="3" t="str">
        <f>IF(ISERROR(R363-Q363),"-",R363-Q363)</f>
        <v>-</v>
      </c>
      <c r="AU363" s="3" t="str">
        <f>IF(ISERROR(U363-T363),"-",U363-T363)</f>
        <v>-</v>
      </c>
      <c r="AV363" s="3" t="str">
        <f>IF(ISERROR(X363-W363),"-",X363-W363)</f>
        <v>-</v>
      </c>
      <c r="AW363" s="3" t="str">
        <f>IF(ISERROR(AA363-Z363),"-",AA363-Z363)</f>
        <v>-</v>
      </c>
      <c r="AX363" s="3">
        <f>IF(ISERROR(AD363-AC363),"-",AD363-AC363)</f>
        <v>11</v>
      </c>
      <c r="AY363" s="3">
        <f>IF(ISERROR(AG363-AF363),"-",AG363-AF363)</f>
        <v>8</v>
      </c>
      <c r="AZ363" s="3">
        <f>IF(ISERROR(AJ363-AI363),"-",AJ363-AI363)</f>
        <v>2</v>
      </c>
      <c r="BA363" s="3">
        <f>IF(ISERROR(LEN(VLOOKUP(A363,Seqs!A:E,2,FALSE))-AL363),"-",LEN(VLOOKUP(A363,Seqs!A:E,2,FALSE))-AL363)</f>
        <v>72</v>
      </c>
      <c r="BB363" s="16">
        <f>J363-D363</f>
        <v>33</v>
      </c>
      <c r="BC363" s="9" t="str">
        <f>IF(ISERROR(V363-S363),"-",V363-S363)</f>
        <v>-</v>
      </c>
      <c r="BD363" s="3">
        <f>J363-D363</f>
        <v>33</v>
      </c>
      <c r="BE363" s="3">
        <f>AE363-AB363</f>
        <v>39</v>
      </c>
    </row>
    <row r="364" spans="1:58" s="3" customFormat="1" ht="17" customHeight="1" x14ac:dyDescent="0.2">
      <c r="A364" s="3" t="s">
        <v>122</v>
      </c>
      <c r="B364" s="3" t="str">
        <f>LOWER(VLOOKUP(A364,Xtal_Templ!A:B,2,FALSE))</f>
        <v>grm1_human</v>
      </c>
      <c r="C364" s="3">
        <f>VLOOKUP($A364,'SegEnds_NonXtal_BW#'!$A:$Z,3,FALSE)+D364-50</f>
        <v>565</v>
      </c>
      <c r="D364" s="3">
        <v>581</v>
      </c>
      <c r="E364" s="3">
        <f>IF(ISERROR(VLOOKUP($A364,'SegEnds_NonXtal_BW#'!$A:$Z,4,FALSE)+VLOOKUP($A364,A:AL,4,FALSE)-50),"-",(VLOOKUP($A364,'SegEnds_NonXtal_BW#'!$A:$Z,4,FALSE)+VLOOKUP($A364,A:AL,4,FALSE)-50))</f>
        <v>591</v>
      </c>
      <c r="F364" s="3">
        <f>G364-3</f>
        <v>594</v>
      </c>
      <c r="G364" s="3">
        <v>597</v>
      </c>
      <c r="H364" s="3">
        <f>G364+3</f>
        <v>600</v>
      </c>
      <c r="I364" s="3">
        <f>H364+1</f>
        <v>601</v>
      </c>
      <c r="J364" s="3">
        <v>612</v>
      </c>
      <c r="K364" s="3">
        <f>VLOOKUP($A364,'SegEnds_NonXtal_BW#'!$A:$Z,8,FALSE)+VLOOKUP($A364,A:AL,10,FALSE)-50</f>
        <v>623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628</v>
      </c>
      <c r="P364" s="3">
        <v>656</v>
      </c>
      <c r="Q364" s="3">
        <f>VLOOKUP($A364,'SegEnds_NonXtal_BW#'!$A:$Z,12,FALSE)+VLOOKUP($A364,A:AL,16,FALSE)-50</f>
        <v>660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720</v>
      </c>
      <c r="Y364" s="3">
        <v>720</v>
      </c>
      <c r="Z364" s="3">
        <f>Y364+2</f>
        <v>722</v>
      </c>
      <c r="AA364" s="3">
        <f>IF(ISERROR(VLOOKUP($A364,'SegEnds_NonXtal_BW#'!$A:$Z,19,FALSE)+VLOOKUP($A364,A:AL,28,FALSE)-50),"-",(VLOOKUP($A364,'SegEnds_NonXtal_BW#'!$A:$Z,19,FALSE)+VLOOKUP($A364,A:AL,28,FALSE)-50))</f>
        <v>725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788</v>
      </c>
      <c r="AH364" s="3">
        <v>804</v>
      </c>
      <c r="AI364" s="3">
        <f>IF(ISERROR((VLOOKUP($A364,'SegEnds_NonXtal_BW#'!$A:$Z,24,FALSE)+VLOOKUP($A364,A:AL,34,FALSE)-50)),"-",(VLOOKUP($A364,'SegEnds_NonXtal_BW#'!$A:$Z,24,FALSE)+VLOOKUP($A364,A:AL,34,FALSE)-50))</f>
        <v>818</v>
      </c>
      <c r="AJ364" s="3">
        <f>IF(ISERROR(VLOOKUP($A364,'SegEnds_NonXtal_BW#'!$A:$Z,25,FALSE)+VLOOKUP($A364,A:AL,37,FALSE)-50),"-",(VLOOKUP($A364,'SegEnds_NonXtal_BW#'!$A:$Z,25,FALSE)+VLOOKUP($A364,A:AL,37,FALSE)-50))</f>
        <v>819</v>
      </c>
      <c r="AK364" s="3">
        <v>823</v>
      </c>
      <c r="AL364" s="3">
        <f>IF(ISERROR((VLOOKUP($A364,'SegEnds_NonXtal_BW#'!$A:$Z,26,FALSE)+VLOOKUP($A364,A:AL,37,FALSE)-50)),"-",(VLOOKUP($A364,'SegEnds_NonXtal_BW#'!$A:$Z,26,FALSE)+VLOOKUP($A364,A:AL,37,FALSE)-50))</f>
        <v>830</v>
      </c>
      <c r="AM364" s="28" t="str">
        <f>VLOOKUP(A364,Classification!A:B,2,FALSE)</f>
        <v>C</v>
      </c>
      <c r="AN364" s="28" t="b">
        <f>AND(IF(Y364="-",IF(AA364-W364&gt;3,TRUE,FALSE),TRUE),IF(M364="-",IF(O364-K364&gt;3,TRUE,FALSE),TRUE),C364&lt;E364,OR(E364&lt;F364,F364="-"),OR(F364&lt;H364,F364="-"),OR(H364&lt;I364,H364="-"),I364&lt;K364,OR(K364&lt;L364,L364="-"),OR(L364&lt;N364,L364="-"),OR(N364&lt;O364,N364="-"),O364&lt;Q364,OR(Q364&lt;R364,R364="-"),OR(R364&lt;T364,R364="-"),OR(T364&lt;U364,T364="-"),U364&lt;W364,OR(W364&lt;X364,X364="-"),OR(X364&lt;Z364,X364="-"),OR(Z364&lt;AA364,Z364="-"),AA364&lt;AC364,AC364&lt;AD364,AD364&lt;AF364,AF364&lt;AG364,AG364&lt;AI364,OR(AI364&lt;AJ364,AJ364="-"),OR(AJ364&lt;AL364,AJ364="-"))</f>
        <v>1</v>
      </c>
      <c r="AO364" s="3" t="str">
        <f>IF(ISERROR(MATCH(A364,'SegEnds_Xtal_Prot#'!B:B, 0)), "NoXtal", "Xtal")</f>
        <v>NoXtal</v>
      </c>
      <c r="AP364" s="3">
        <f>IF(ISERROR(F364-E364),"-",F364-E364)</f>
        <v>3</v>
      </c>
      <c r="AQ364" s="3">
        <f>IF(ISERROR(I364-H364),"-",I364-H364)</f>
        <v>1</v>
      </c>
      <c r="AR364" s="3" t="str">
        <f>IF(ISERROR(L364-K364),"-",L364-K364)</f>
        <v>-</v>
      </c>
      <c r="AS364" s="3" t="str">
        <f>IF(ISERROR(O364-N364),"-",O364-N364)</f>
        <v>-</v>
      </c>
      <c r="AT364" s="3" t="str">
        <f>IF(ISERROR(R364-Q364),"-",R364-Q364)</f>
        <v>-</v>
      </c>
      <c r="AU364" s="3" t="str">
        <f>IF(ISERROR(U364-T364),"-",U364-T364)</f>
        <v>-</v>
      </c>
      <c r="AV364" s="3">
        <f>IF(ISERROR(X364-W364),"-",X364-W364)</f>
        <v>19</v>
      </c>
      <c r="AW364" s="3">
        <f>IF(ISERROR(AA364-Z364),"-",AA364-Z364)</f>
        <v>3</v>
      </c>
      <c r="AX364" s="3">
        <f>IF(ISERROR(AD364-AC364),"-",AD364-AC364)</f>
        <v>9</v>
      </c>
      <c r="AY364" s="3">
        <f>IF(ISERROR(AG364-AF364),"-",AG364-AF364)</f>
        <v>6</v>
      </c>
      <c r="AZ364" s="3">
        <f>IF(ISERROR(AJ364-AI364),"-",AJ364-AI364)</f>
        <v>1</v>
      </c>
      <c r="BA364" s="3">
        <f>IF(ISERROR(LEN(VLOOKUP(A364,Seqs!A:E,2,FALSE))-AL364),"-",LEN(VLOOKUP(A364,Seqs!A:E,2,FALSE))-AL364)</f>
        <v>11</v>
      </c>
      <c r="BB364" s="16">
        <f>J364-D364</f>
        <v>31</v>
      </c>
      <c r="BC364" s="9" t="str">
        <f>IF(ISERROR(V364-S364),"-",V364-S364)</f>
        <v>-</v>
      </c>
      <c r="BD364" s="3">
        <f>J364-D364</f>
        <v>31</v>
      </c>
      <c r="BE364" s="3">
        <f>AE364-AB364</f>
        <v>37</v>
      </c>
      <c r="BF364" s="3">
        <f>AH364-AE364</f>
        <v>29</v>
      </c>
    </row>
    <row r="365" spans="1:58" s="3" customFormat="1" x14ac:dyDescent="0.2">
      <c r="A365" s="3" t="s">
        <v>123</v>
      </c>
      <c r="B365" s="3" t="str">
        <f>LOWER(VLOOKUP(A365,Xtal_Templ!A:B,2,FALSE))</f>
        <v>grm1_human</v>
      </c>
      <c r="C365" s="3">
        <f>VLOOKUP($A365,'SegEnds_NonXtal_BW#'!$A:$Z,3,FALSE)+D365-50</f>
        <v>564</v>
      </c>
      <c r="D365" s="3">
        <v>580</v>
      </c>
      <c r="E365" s="3">
        <f>IF(ISERROR(VLOOKUP($A365,'SegEnds_NonXtal_BW#'!$A:$Z,4,FALSE)+VLOOKUP($A365,A:AL,4,FALSE)-50),"-",(VLOOKUP($A365,'SegEnds_NonXtal_BW#'!$A:$Z,4,FALSE)+VLOOKUP($A365,A:AL,4,FALSE)-50))</f>
        <v>590</v>
      </c>
      <c r="F365" s="3">
        <f>G365-3</f>
        <v>593</v>
      </c>
      <c r="G365" s="3">
        <v>596</v>
      </c>
      <c r="H365" s="3">
        <f>G365+3</f>
        <v>599</v>
      </c>
      <c r="I365" s="3">
        <f>H365+1</f>
        <v>600</v>
      </c>
      <c r="J365" s="3">
        <v>611</v>
      </c>
      <c r="K365" s="3">
        <f>VLOOKUP($A365,'SegEnds_NonXtal_BW#'!$A:$Z,8,FALSE)+VLOOKUP($A365,A:AL,10,FALSE)-50</f>
        <v>622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627</v>
      </c>
      <c r="P365" s="3">
        <v>655</v>
      </c>
      <c r="Q365" s="3">
        <f>VLOOKUP($A365,'SegEnds_NonXtal_BW#'!$A:$Z,12,FALSE)+VLOOKUP($A365,A:AL,16,FALSE)-50</f>
        <v>659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674</v>
      </c>
      <c r="V365" s="3">
        <v>686</v>
      </c>
      <c r="W365" s="3">
        <f>IF(ISERROR(VLOOKUP($A365,'SegEnds_NonXtal_BW#'!$A:$Z,16,FALSE)+VLOOKUP($A365,A:AL,22,FALSE)-50),"-",(VLOOKUP($A365,'SegEnds_NonXtal_BW#'!$A:$Z,16,FALSE)+VLOOKUP($A365,A:AL,22,FALSE)-50))</f>
        <v>700</v>
      </c>
      <c r="X365" s="3">
        <f>IF(ISERROR(VLOOKUP($A365,'SegEnds_NonXtal_BW#'!$A:$Z,17,FALSE)+VLOOKUP($A365,A:AL,25,FALSE)-50),"-",(VLOOKUP($A365,'SegEnds_NonXtal_BW#'!$A:$Z,17,FALSE)+VLOOKUP($A365,A:AL,25,FALSE)-50))</f>
        <v>720</v>
      </c>
      <c r="Y365" s="3">
        <v>720</v>
      </c>
      <c r="Z365" s="3">
        <f>Y365+2</f>
        <v>722</v>
      </c>
      <c r="AA365" s="3">
        <f>IF(ISERROR(VLOOKUP($A365,'SegEnds_NonXtal_BW#'!$A:$Z,19,FALSE)+VLOOKUP($A365,A:AL,28,FALSE)-50),"-",(VLOOKUP($A365,'SegEnds_NonXtal_BW#'!$A:$Z,19,FALSE)+VLOOKUP($A365,A:AL,28,FALSE)-50))</f>
        <v>725</v>
      </c>
      <c r="AB365" s="3">
        <v>738</v>
      </c>
      <c r="AC365" s="3">
        <f>IF(ISERROR((VLOOKUP($A365,'SegEnds_NonXtal_BW#'!$A:$Z,20,FALSE)+VLOOKUP($A365,A:AL,28,FALSE)-50)),"-",(VLOOKUP($A365,'SegEnds_NonXtal_BW#'!$A:$Z,20,FALSE)+VLOOKUP($A365,A:AL,28,FALSE)-50))</f>
        <v>749</v>
      </c>
      <c r="AD365" s="3">
        <f>IF(ISERROR(VLOOKUP($A365,'SegEnds_NonXtal_BW#'!$A:$Z,21,FALSE)+VLOOKUP($A365,A:AL,31,FALSE)-50),"-",(VLOOKUP($A365,'SegEnds_NonXtal_BW#'!$A:$Z,21,FALSE)+VLOOKUP($A365,A:AL,31,FALSE)-50))</f>
        <v>758</v>
      </c>
      <c r="AE365" s="3">
        <v>775</v>
      </c>
      <c r="AF365" s="3">
        <f>IF(ISERROR((VLOOKUP($A365,'SegEnds_NonXtal_BW#'!$A:$Z,22,FALSE)+VLOOKUP($A365,A:AL,31,FALSE)-50)),"-",(VLOOKUP($A365,'SegEnds_NonXtal_BW#'!$A:$Z,22,FALSE)+VLOOKUP($A365,A:AL,31,FALSE)-50))</f>
        <v>782</v>
      </c>
      <c r="AG365" s="3">
        <f>IF(ISERROR(VLOOKUP($A365,'SegEnds_NonXtal_BW#'!$A:$Z,23,FALSE)+VLOOKUP($A365,A:AL,34,FALSE)-50),"-",(VLOOKUP($A365,'SegEnds_NonXtal_BW#'!$A:$Z,23,FALSE)+VLOOKUP($A365,A:AL,34,FALSE)-50))</f>
        <v>788</v>
      </c>
      <c r="AH365" s="3">
        <v>804</v>
      </c>
      <c r="AI365" s="3">
        <f>IF(ISERROR((VLOOKUP($A365,'SegEnds_NonXtal_BW#'!$A:$Z,24,FALSE)+VLOOKUP($A365,A:AL,34,FALSE)-50)),"-",(VLOOKUP($A365,'SegEnds_NonXtal_BW#'!$A:$Z,24,FALSE)+VLOOKUP($A365,A:AL,34,FALSE)-50))</f>
        <v>818</v>
      </c>
      <c r="AJ365" s="3">
        <f>IF(ISERROR(VLOOKUP($A365,'SegEnds_NonXtal_BW#'!$A:$Z,25,FALSE)+VLOOKUP($A365,A:AL,37,FALSE)-50),"-",(VLOOKUP($A365,'SegEnds_NonXtal_BW#'!$A:$Z,25,FALSE)+VLOOKUP($A365,A:AL,37,FALSE)-50))</f>
        <v>819</v>
      </c>
      <c r="AK365" s="3">
        <v>823</v>
      </c>
      <c r="AL365" s="3">
        <f>IF(ISERROR((VLOOKUP($A365,'SegEnds_NonXtal_BW#'!$A:$Z,26,FALSE)+VLOOKUP($A365,A:AL,37,FALSE)-50)),"-",(VLOOKUP($A365,'SegEnds_NonXtal_BW#'!$A:$Z,26,FALSE)+VLOOKUP($A365,A:AL,37,FALSE)-50))</f>
        <v>830</v>
      </c>
      <c r="AM365" s="28" t="str">
        <f>VLOOKUP(A365,Classification!A:B,2,FALSE)</f>
        <v>C</v>
      </c>
      <c r="AN365" s="28" t="b">
        <f>AND(IF(Y365="-",IF(AA365-W365&gt;3,TRUE,FALSE),TRUE),IF(M365="-",IF(O365-K365&gt;3,TRUE,FALSE),TRUE),C365&lt;E365,OR(E365&lt;F365,F365="-"),OR(F365&lt;H365,F365="-"),OR(H365&lt;I365,H365="-"),I365&lt;K365,OR(K365&lt;L365,L365="-"),OR(L365&lt;N365,L365="-"),OR(N365&lt;O365,N365="-"),O365&lt;Q365,OR(Q365&lt;R365,R365="-"),OR(R365&lt;T365,R365="-"),OR(T365&lt;U365,T365="-"),U365&lt;W365,OR(W365&lt;X365,X365="-"),OR(X365&lt;Z365,X365="-"),OR(Z365&lt;AA365,Z365="-"),AA365&lt;AC365,AC365&lt;AD365,AD365&lt;AF365,AF365&lt;AG365,AG365&lt;AI365,OR(AI365&lt;AJ365,AJ365="-"),OR(AJ365&lt;AL365,AJ365="-"))</f>
        <v>1</v>
      </c>
      <c r="AO365" s="3" t="str">
        <f>IF(ISERROR(MATCH(A365,'SegEnds_Xtal_Prot#'!B:B, 0)), "NoXtal", "Xtal")</f>
        <v>NoXtal</v>
      </c>
      <c r="AP365" s="3">
        <f>IF(ISERROR(F365-E365),"-",F365-E365)</f>
        <v>3</v>
      </c>
      <c r="AQ365" s="3">
        <f>IF(ISERROR(I365-H365),"-",I365-H365)</f>
        <v>1</v>
      </c>
      <c r="AR365" s="3" t="str">
        <f>IF(ISERROR(L365-K365),"-",L365-K365)</f>
        <v>-</v>
      </c>
      <c r="AS365" s="3" t="str">
        <f>IF(ISERROR(O365-N365),"-",O365-N365)</f>
        <v>-</v>
      </c>
      <c r="AT365" s="3" t="str">
        <f>IF(ISERROR(R365-Q365),"-",R365-Q365)</f>
        <v>-</v>
      </c>
      <c r="AU365" s="3" t="str">
        <f>IF(ISERROR(U365-T365),"-",U365-T365)</f>
        <v>-</v>
      </c>
      <c r="AV365" s="3">
        <f>IF(ISERROR(X365-W365),"-",X365-W365)</f>
        <v>20</v>
      </c>
      <c r="AW365" s="3">
        <f>IF(ISERROR(AA365-Z365),"-",AA365-Z365)</f>
        <v>3</v>
      </c>
      <c r="AX365" s="3">
        <f>IF(ISERROR(AD365-AC365),"-",AD365-AC365)</f>
        <v>9</v>
      </c>
      <c r="AY365" s="3">
        <f>IF(ISERROR(AG365-AF365),"-",AG365-AF365)</f>
        <v>6</v>
      </c>
      <c r="AZ365" s="3">
        <f>IF(ISERROR(AJ365-AI365),"-",AJ365-AI365)</f>
        <v>1</v>
      </c>
      <c r="BA365" s="3">
        <f>IF(ISERROR(LEN(VLOOKUP(A365,Seqs!A:E,2,FALSE))-AL365),"-",LEN(VLOOKUP(A365,Seqs!A:E,2,FALSE))-AL365)</f>
        <v>9</v>
      </c>
      <c r="BB365" s="16">
        <f>J365-D365</f>
        <v>31</v>
      </c>
      <c r="BC365" s="9" t="str">
        <f>IF(ISERROR(V365-S365),"-",V365-S365)</f>
        <v>-</v>
      </c>
      <c r="BD365" s="3">
        <f>J365-D365</f>
        <v>31</v>
      </c>
      <c r="BE365" s="3">
        <f>AE365-AB365</f>
        <v>37</v>
      </c>
      <c r="BF365" s="3">
        <f>AH365-AE365</f>
        <v>29</v>
      </c>
    </row>
    <row r="366" spans="1:58" s="3" customFormat="1" x14ac:dyDescent="0.2">
      <c r="A366" s="3" t="s">
        <v>124</v>
      </c>
      <c r="B366" s="3" t="str">
        <f>LOWER(VLOOKUP(A366,Xtal_Templ!A:B,2,FALSE))</f>
        <v>grm1_human</v>
      </c>
      <c r="C366" s="3">
        <f>VLOOKUP($A366,'SegEnds_NonXtal_BW#'!$A:$Z,3,FALSE)+D366-50</f>
        <v>567</v>
      </c>
      <c r="D366" s="3">
        <v>583</v>
      </c>
      <c r="E366" s="3">
        <f>IF(ISERROR(VLOOKUP($A366,'SegEnds_NonXtal_BW#'!$A:$Z,4,FALSE)+VLOOKUP($A366,A:AL,4,FALSE)-50),"-",(VLOOKUP($A366,'SegEnds_NonXtal_BW#'!$A:$Z,4,FALSE)+VLOOKUP($A366,A:AL,4,FALSE)-50))</f>
        <v>593</v>
      </c>
      <c r="F366" s="3">
        <f>G366-3</f>
        <v>596</v>
      </c>
      <c r="G366" s="3">
        <v>599</v>
      </c>
      <c r="H366" s="3">
        <f>G366+3</f>
        <v>602</v>
      </c>
      <c r="I366" s="3">
        <f>H366+1</f>
        <v>603</v>
      </c>
      <c r="J366" s="3">
        <v>614</v>
      </c>
      <c r="K366" s="3">
        <f>VLOOKUP($A366,'SegEnds_NonXtal_BW#'!$A:$Z,8,FALSE)+VLOOKUP($A366,A:AL,10,FALSE)-50</f>
        <v>625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630</v>
      </c>
      <c r="P366" s="3">
        <v>658</v>
      </c>
      <c r="Q366" s="3">
        <f>VLOOKUP($A366,'SegEnds_NonXtal_BW#'!$A:$Z,12,FALSE)+VLOOKUP($A366,A:AL,16,FALSE)-50</f>
        <v>662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677</v>
      </c>
      <c r="V366" s="3">
        <v>689</v>
      </c>
      <c r="W366" s="3">
        <f>IF(ISERROR(VLOOKUP($A366,'SegEnds_NonXtal_BW#'!$A:$Z,16,FALSE)+VLOOKUP($A366,A:AL,22,FALSE)-50),"-",(VLOOKUP($A366,'SegEnds_NonXtal_BW#'!$A:$Z,16,FALSE)+VLOOKUP($A366,A:AL,22,FALSE)-50))</f>
        <v>703</v>
      </c>
      <c r="X366" s="3">
        <f>IF(ISERROR(VLOOKUP($A366,'SegEnds_NonXtal_BW#'!$A:$Z,17,FALSE)+VLOOKUP($A366,A:AL,25,FALSE)-50),"-",(VLOOKUP($A366,'SegEnds_NonXtal_BW#'!$A:$Z,17,FALSE)+VLOOKUP($A366,A:AL,25,FALSE)-50))</f>
        <v>722</v>
      </c>
      <c r="Y366" s="3">
        <v>722</v>
      </c>
      <c r="Z366" s="3">
        <f>Y366+2</f>
        <v>724</v>
      </c>
      <c r="AA366" s="3">
        <f>IF(ISERROR(VLOOKUP($A366,'SegEnds_NonXtal_BW#'!$A:$Z,19,FALSE)+VLOOKUP($A366,A:AL,28,FALSE)-50),"-",(VLOOKUP($A366,'SegEnds_NonXtal_BW#'!$A:$Z,19,FALSE)+VLOOKUP($A366,A:AL,28,FALSE)-50))</f>
        <v>727</v>
      </c>
      <c r="AB366" s="3">
        <v>740</v>
      </c>
      <c r="AC366" s="3">
        <f>IF(ISERROR((VLOOKUP($A366,'SegEnds_NonXtal_BW#'!$A:$Z,20,FALSE)+VLOOKUP($A366,A:AL,28,FALSE)-50)),"-",(VLOOKUP($A366,'SegEnds_NonXtal_BW#'!$A:$Z,20,FALSE)+VLOOKUP($A366,A:AL,28,FALSE)-50))</f>
        <v>751</v>
      </c>
      <c r="AD366" s="3">
        <f>IF(ISERROR(VLOOKUP($A366,'SegEnds_NonXtal_BW#'!$A:$Z,21,FALSE)+VLOOKUP($A366,A:AL,31,FALSE)-50),"-",(VLOOKUP($A366,'SegEnds_NonXtal_BW#'!$A:$Z,21,FALSE)+VLOOKUP($A366,A:AL,31,FALSE)-50))</f>
        <v>760</v>
      </c>
      <c r="AE366" s="3">
        <v>777</v>
      </c>
      <c r="AF366" s="3">
        <f>IF(ISERROR((VLOOKUP($A366,'SegEnds_NonXtal_BW#'!$A:$Z,22,FALSE)+VLOOKUP($A366,A:AL,31,FALSE)-50)),"-",(VLOOKUP($A366,'SegEnds_NonXtal_BW#'!$A:$Z,22,FALSE)+VLOOKUP($A366,A:AL,31,FALSE)-50))</f>
        <v>784</v>
      </c>
      <c r="AG366" s="3">
        <f>IF(ISERROR(VLOOKUP($A366,'SegEnds_NonXtal_BW#'!$A:$Z,23,FALSE)+VLOOKUP($A366,A:AL,34,FALSE)-50),"-",(VLOOKUP($A366,'SegEnds_NonXtal_BW#'!$A:$Z,23,FALSE)+VLOOKUP($A366,A:AL,34,FALSE)-50))</f>
        <v>790</v>
      </c>
      <c r="AH366" s="3">
        <v>806</v>
      </c>
      <c r="AI366" s="3">
        <f>IF(ISERROR((VLOOKUP($A366,'SegEnds_NonXtal_BW#'!$A:$Z,24,FALSE)+VLOOKUP($A366,A:AL,34,FALSE)-50)),"-",(VLOOKUP($A366,'SegEnds_NonXtal_BW#'!$A:$Z,24,FALSE)+VLOOKUP($A366,A:AL,34,FALSE)-50))</f>
        <v>820</v>
      </c>
      <c r="AJ366" s="3">
        <f>IF(ISERROR(VLOOKUP($A366,'SegEnds_NonXtal_BW#'!$A:$Z,25,FALSE)+VLOOKUP($A366,A:AL,37,FALSE)-50),"-",(VLOOKUP($A366,'SegEnds_NonXtal_BW#'!$A:$Z,25,FALSE)+VLOOKUP($A366,A:AL,37,FALSE)-50))</f>
        <v>821</v>
      </c>
      <c r="AK366" s="3">
        <v>825</v>
      </c>
      <c r="AL366" s="3">
        <f>IF(ISERROR((VLOOKUP($A366,'SegEnds_NonXtal_BW#'!$A:$Z,26,FALSE)+VLOOKUP($A366,A:AL,37,FALSE)-50)),"-",(VLOOKUP($A366,'SegEnds_NonXtal_BW#'!$A:$Z,26,FALSE)+VLOOKUP($A366,A:AL,37,FALSE)-50))</f>
        <v>832</v>
      </c>
      <c r="AM366" s="28" t="str">
        <f>VLOOKUP(A366,Classification!A:B,2,FALSE)</f>
        <v>C</v>
      </c>
      <c r="AN366" s="28" t="b">
        <f>AND(IF(Y366="-",IF(AA366-W366&gt;3,TRUE,FALSE),TRUE),IF(M366="-",IF(O366-K366&gt;3,TRUE,FALSE),TRUE),C366&lt;E366,OR(E366&lt;F366,F366="-"),OR(F366&lt;H366,F366="-"),OR(H366&lt;I366,H366="-"),I366&lt;K366,OR(K366&lt;L366,L366="-"),OR(L366&lt;N366,L366="-"),OR(N366&lt;O366,N366="-"),O366&lt;Q366,OR(Q366&lt;R366,R366="-"),OR(R366&lt;T366,R366="-"),OR(T366&lt;U366,T366="-"),U366&lt;W366,OR(W366&lt;X366,X366="-"),OR(X366&lt;Z366,X366="-"),OR(Z366&lt;AA366,Z366="-"),AA366&lt;AC366,AC366&lt;AD366,AD366&lt;AF366,AF366&lt;AG366,AG366&lt;AI366,OR(AI366&lt;AJ366,AJ366="-"),OR(AJ366&lt;AL366,AJ366="-"))</f>
        <v>1</v>
      </c>
      <c r="AO366" s="3" t="str">
        <f>IF(ISERROR(MATCH(A366,'SegEnds_Xtal_Prot#'!B:B, 0)), "NoXtal", "Xtal")</f>
        <v>NoXtal</v>
      </c>
      <c r="AP366" s="3">
        <f>IF(ISERROR(F366-E366),"-",F366-E366)</f>
        <v>3</v>
      </c>
      <c r="AQ366" s="3">
        <f>IF(ISERROR(I366-H366),"-",I366-H366)</f>
        <v>1</v>
      </c>
      <c r="AR366" s="3" t="str">
        <f>IF(ISERROR(L366-K366),"-",L366-K366)</f>
        <v>-</v>
      </c>
      <c r="AS366" s="3" t="str">
        <f>IF(ISERROR(O366-N366),"-",O366-N366)</f>
        <v>-</v>
      </c>
      <c r="AT366" s="3" t="str">
        <f>IF(ISERROR(R366-Q366),"-",R366-Q366)</f>
        <v>-</v>
      </c>
      <c r="AU366" s="3" t="str">
        <f>IF(ISERROR(U366-T366),"-",U366-T366)</f>
        <v>-</v>
      </c>
      <c r="AV366" s="3">
        <f>IF(ISERROR(X366-W366),"-",X366-W366)</f>
        <v>19</v>
      </c>
      <c r="AW366" s="3">
        <f>IF(ISERROR(AA366-Z366),"-",AA366-Z366)</f>
        <v>3</v>
      </c>
      <c r="AX366" s="3">
        <f>IF(ISERROR(AD366-AC366),"-",AD366-AC366)</f>
        <v>9</v>
      </c>
      <c r="AY366" s="3">
        <f>IF(ISERROR(AG366-AF366),"-",AG366-AF366)</f>
        <v>6</v>
      </c>
      <c r="AZ366" s="3">
        <f>IF(ISERROR(AJ366-AI366),"-",AJ366-AI366)</f>
        <v>1</v>
      </c>
      <c r="BA366" s="3">
        <f>IF(ISERROR(LEN(VLOOKUP(A366,Seqs!A:E,2,FALSE))-AL366),"-",LEN(VLOOKUP(A366,Seqs!A:E,2,FALSE))-AL366)</f>
        <v>20</v>
      </c>
      <c r="BB366" s="16">
        <f>J366-D366</f>
        <v>31</v>
      </c>
      <c r="BC366" s="9" t="str">
        <f>IF(ISERROR(V366-S366),"-",V366-S366)</f>
        <v>-</v>
      </c>
      <c r="BD366" s="3">
        <f>J366-D366</f>
        <v>31</v>
      </c>
      <c r="BE366" s="3">
        <f>AE366-AB366</f>
        <v>37</v>
      </c>
      <c r="BF366" s="3">
        <f>AH366-AE366</f>
        <v>29</v>
      </c>
    </row>
    <row r="367" spans="1:58" s="3" customFormat="1" x14ac:dyDescent="0.2">
      <c r="A367" s="3" t="s">
        <v>446</v>
      </c>
      <c r="B367" s="3" t="str">
        <f>LOWER(VLOOKUP(A367,Xtal_Templ!A:B,2,FALSE))</f>
        <v>smo_human</v>
      </c>
      <c r="C367" s="3">
        <f>VLOOKUP($A367,'SegEnds_NonXtal_BW#'!$A:$Z,3,FALSE)+D367-50</f>
        <v>313</v>
      </c>
      <c r="D367" s="3">
        <v>334</v>
      </c>
      <c r="E367" s="3">
        <f>IF(ISERROR(VLOOKUP($A367,'SegEnds_NonXtal_BW#'!$A:$Z,4,FALSE)+VLOOKUP($A367,A:AL,4,FALSE)-50),"-",(VLOOKUP($A367,'SegEnds_NonXtal_BW#'!$A:$Z,4,FALSE)+VLOOKUP($A367,A:AL,4,FALSE)-50))</f>
        <v>344</v>
      </c>
      <c r="F367" s="3">
        <f>G367-3</f>
        <v>345</v>
      </c>
      <c r="G367" s="3">
        <v>348</v>
      </c>
      <c r="H367" s="3">
        <f>G367+1</f>
        <v>349</v>
      </c>
      <c r="I367" s="3">
        <f>H367+1</f>
        <v>350</v>
      </c>
      <c r="J367" s="3">
        <v>360</v>
      </c>
      <c r="K367" s="3">
        <f>VLOOKUP($A367,'SegEnds_NonXtal_BW#'!$A:$Z,8,FALSE)+VLOOKUP($A367,A:AL,10,FALSE)-50</f>
        <v>373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400</v>
      </c>
      <c r="P367" s="3">
        <v>427</v>
      </c>
      <c r="Q367" s="3">
        <f>VLOOKUP($A367,'SegEnds_NonXtal_BW#'!$A:$Z,12,FALSE)+VLOOKUP($A367,A:AL,16,FALSE)-50</f>
        <v>436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440</v>
      </c>
      <c r="V367" s="3">
        <v>452</v>
      </c>
      <c r="W367" s="3">
        <f>IF(ISERROR(VLOOKUP($A367,'SegEnds_NonXtal_BW#'!$A:$Z,16,FALSE)+VLOOKUP($A367,A:AL,22,FALSE)-50),"-",(VLOOKUP($A367,'SegEnds_NonXtal_BW#'!$A:$Z,16,FALSE)+VLOOKUP($A367,A:AL,22,FALSE)-50))</f>
        <v>465</v>
      </c>
      <c r="X367" s="3">
        <f>IF(ISERROR(VLOOKUP($A367,'SegEnds_NonXtal_BW#'!$A:$Z,17,FALSE)+VLOOKUP($A367,A:AL,25,FALSE)-50),"-",(VLOOKUP($A367,'SegEnds_NonXtal_BW#'!$A:$Z,17,FALSE)+VLOOKUP($A367,A:AL,25,FALSE)-50))</f>
        <v>477</v>
      </c>
      <c r="Y367" s="3">
        <v>477</v>
      </c>
      <c r="Z367" s="3">
        <f>Y367+2</f>
        <v>479</v>
      </c>
      <c r="AA367" s="3">
        <f>IF(ISERROR(VLOOKUP($A367,'SegEnds_NonXtal_BW#'!$A:$Z,19,FALSE)+VLOOKUP($A367,A:AL,28,FALSE)-50),"-",(VLOOKUP($A367,'SegEnds_NonXtal_BW#'!$A:$Z,19,FALSE)+VLOOKUP($A367,A:AL,28,FALSE)-50))</f>
        <v>484</v>
      </c>
      <c r="AB367" s="3">
        <v>498</v>
      </c>
      <c r="AC367" s="3">
        <f>IF(ISERROR((VLOOKUP($A367,'SegEnds_NonXtal_BW#'!$A:$Z,20,FALSE)+VLOOKUP($A367,A:AL,28,FALSE)-50)),"-",(VLOOKUP($A367,'SegEnds_NonXtal_BW#'!$A:$Z,20,FALSE)+VLOOKUP($A367,A:AL,28,FALSE)-50))</f>
        <v>520</v>
      </c>
      <c r="AD367" s="3">
        <f>IF(ISERROR(VLOOKUP($A367,'SegEnds_NonXtal_BW#'!$A:$Z,21,FALSE)+VLOOKUP($A367,A:AL,31,FALSE)-50),"-",(VLOOKUP($A367,'SegEnds_NonXtal_BW#'!$A:$Z,21,FALSE)+VLOOKUP($A367,A:AL,31,FALSE)-50))</f>
        <v>527</v>
      </c>
      <c r="AE367" s="3">
        <v>553</v>
      </c>
      <c r="AF367" s="3">
        <f>IF(ISERROR((VLOOKUP($A367,'SegEnds_NonXtal_BW#'!$A:$Z,22,FALSE)+VLOOKUP($A367,A:AL,31,FALSE)-50)),"-",(VLOOKUP($A367,'SegEnds_NonXtal_BW#'!$A:$Z,22,FALSE)+VLOOKUP($A367,A:AL,31,FALSE)-50))</f>
        <v>581</v>
      </c>
      <c r="AG367" s="3">
        <f>IF(ISERROR(VLOOKUP($A367,'SegEnds_NonXtal_BW#'!$A:$Z,23,FALSE)+VLOOKUP($A367,A:AL,34,FALSE)-50),"-",(VLOOKUP($A367,'SegEnds_NonXtal_BW#'!$A:$Z,23,FALSE)+VLOOKUP($A367,A:AL,34,FALSE)-50))</f>
        <v>600</v>
      </c>
      <c r="AH367" s="3">
        <v>615</v>
      </c>
      <c r="AI367" s="3">
        <f>IF(ISERROR((VLOOKUP($A367,'SegEnds_NonXtal_BW#'!$A:$Z,24,FALSE)+VLOOKUP($A367,A:AL,34,FALSE)-50)),"-",(VLOOKUP($A367,'SegEnds_NonXtal_BW#'!$A:$Z,24,FALSE)+VLOOKUP($A367,A:AL,34,FALSE)-50))</f>
        <v>622</v>
      </c>
      <c r="AJ367" s="3">
        <f>IF(ISERROR(VLOOKUP($A367,'SegEnds_NonXtal_BW#'!$A:$Z,25,FALSE)+VLOOKUP($A367,A:AL,37,FALSE)-50),"-",(VLOOKUP($A367,'SegEnds_NonXtal_BW#'!$A:$Z,25,FALSE)+VLOOKUP($A367,A:AL,37,FALSE)-50))</f>
        <v>623</v>
      </c>
      <c r="AK367" s="3">
        <v>626</v>
      </c>
      <c r="AL367" s="3">
        <f>IF(ISERROR((VLOOKUP($A367,'SegEnds_NonXtal_BW#'!$A:$Z,26,FALSE)+VLOOKUP($A367,A:AL,37,FALSE)-50)),"-",(VLOOKUP($A367,'SegEnds_NonXtal_BW#'!$A:$Z,26,FALSE)+VLOOKUP($A367,A:AL,37,FALSE)-50))</f>
        <v>638</v>
      </c>
      <c r="AM367" s="28" t="str">
        <f>VLOOKUP(A367,Classification!A:B,2,FALSE)</f>
        <v>F</v>
      </c>
      <c r="AN367" s="28" t="b">
        <f>AND(IF(Y367="-",IF(AA367-W367&gt;3,TRUE,FALSE),TRUE),IF(M367="-",IF(O367-K367&gt;3,TRUE,FALSE),TRUE),C367&lt;E367,OR(E367&lt;F367,F367="-"),OR(F367&lt;H367,F367="-"),OR(H367&lt;I367,H367="-"),I367&lt;K367,OR(K367&lt;L367,L367="-"),OR(L367&lt;N367,L367="-"),OR(N367&lt;O367,N367="-"),O367&lt;Q367,OR(Q367&lt;R367,R367="-"),OR(R367&lt;T367,R367="-"),OR(T367&lt;U367,T367="-"),U367&lt;W367,OR(W367&lt;X367,X367="-"),OR(X367&lt;Z367,X367="-"),OR(Z367&lt;AA367,Z367="-"),AA367&lt;AC367,AC367&lt;AD367,AD367&lt;AF367,AF367&lt;AG367,AG367&lt;AI367,OR(AI367&lt;AJ367,AJ367="-"),OR(AJ367&lt;AL367,AJ367="-"))</f>
        <v>1</v>
      </c>
      <c r="AO367" s="3" t="str">
        <f>IF(ISERROR(MATCH(A367,'SegEnds_Xtal_Prot#'!B:B, 0)), "NoXtal", "Xtal")</f>
        <v>NoXtal</v>
      </c>
      <c r="AP367" s="3">
        <f>IF(ISERROR(F367-E367),"-",F367-E367)</f>
        <v>1</v>
      </c>
      <c r="AQ367" s="3">
        <f>IF(ISERROR(I367-H367),"-",I367-H367)</f>
        <v>1</v>
      </c>
      <c r="AR367" s="3" t="str">
        <f>IF(ISERROR(L367-K367),"-",L367-K367)</f>
        <v>-</v>
      </c>
      <c r="AS367" s="3" t="str">
        <f>IF(ISERROR(O367-N367),"-",O367-N367)</f>
        <v>-</v>
      </c>
      <c r="AT367" s="3" t="str">
        <f>IF(ISERROR(R367-Q367),"-",R367-Q367)</f>
        <v>-</v>
      </c>
      <c r="AU367" s="3" t="str">
        <f>IF(ISERROR(U367-T367),"-",U367-T367)</f>
        <v>-</v>
      </c>
      <c r="AV367" s="3">
        <f>IF(ISERROR(X367-W367),"-",X367-W367)</f>
        <v>12</v>
      </c>
      <c r="AW367" s="3">
        <f>IF(ISERROR(AA367-Z367),"-",AA367-Z367)</f>
        <v>5</v>
      </c>
      <c r="AX367" s="3">
        <f>IF(ISERROR(AD367-AC367),"-",AD367-AC367)</f>
        <v>7</v>
      </c>
      <c r="AY367" s="3">
        <f>IF(ISERROR(AG367-AF367),"-",AG367-AF367)</f>
        <v>19</v>
      </c>
      <c r="AZ367" s="3">
        <f>IF(ISERROR(AJ367-AI367),"-",AJ367-AI367)</f>
        <v>1</v>
      </c>
      <c r="BA367" s="3">
        <f>IF(ISERROR(LEN(VLOOKUP(A367,Seqs!A:E,2,FALSE))-AL367),"-",LEN(VLOOKUP(A367,Seqs!A:E,2,FALSE))-AL367)</f>
        <v>9</v>
      </c>
      <c r="BB367" s="16">
        <f>J367-D367</f>
        <v>26</v>
      </c>
      <c r="BC367" s="9" t="str">
        <f>IF(ISERROR(V367-S367),"-",V367-S367)</f>
        <v>-</v>
      </c>
      <c r="BD367" s="3">
        <f>J367-D367</f>
        <v>26</v>
      </c>
      <c r="BE367" s="3">
        <f>AE367-AB367</f>
        <v>55</v>
      </c>
      <c r="BF367" s="3">
        <f>AH367-AE367</f>
        <v>62</v>
      </c>
    </row>
    <row r="368" spans="1:58" s="3" customFormat="1" x14ac:dyDescent="0.2">
      <c r="A368" s="3" t="s">
        <v>447</v>
      </c>
      <c r="B368" s="3" t="str">
        <f>LOWER(VLOOKUP(A368,Xtal_Templ!A:B,2,FALSE))</f>
        <v>smo_human</v>
      </c>
      <c r="C368" s="3">
        <f>VLOOKUP($A368,'SegEnds_NonXtal_BW#'!$A:$Z,3,FALSE)+D368-50</f>
        <v>221</v>
      </c>
      <c r="D368" s="3">
        <v>242</v>
      </c>
      <c r="E368" s="3">
        <f>IF(ISERROR(VLOOKUP($A368,'SegEnds_NonXtal_BW#'!$A:$Z,4,FALSE)+VLOOKUP($A368,A:AL,4,FALSE)-50),"-",(VLOOKUP($A368,'SegEnds_NonXtal_BW#'!$A:$Z,4,FALSE)+VLOOKUP($A368,A:AL,4,FALSE)-50))</f>
        <v>252</v>
      </c>
      <c r="F368" s="3">
        <f>G368-3</f>
        <v>253</v>
      </c>
      <c r="G368" s="3">
        <v>256</v>
      </c>
      <c r="H368" s="3">
        <f>G368+1</f>
        <v>257</v>
      </c>
      <c r="I368" s="3">
        <f>H368+1</f>
        <v>258</v>
      </c>
      <c r="J368" s="3">
        <v>268</v>
      </c>
      <c r="K368" s="3">
        <f>VLOOKUP($A368,'SegEnds_NonXtal_BW#'!$A:$Z,8,FALSE)+VLOOKUP($A368,A:AL,10,FALSE)-50</f>
        <v>281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307</v>
      </c>
      <c r="P368" s="3">
        <v>334</v>
      </c>
      <c r="Q368" s="3">
        <f>VLOOKUP($A368,'SegEnds_NonXtal_BW#'!$A:$Z,12,FALSE)+VLOOKUP($A368,A:AL,16,FALSE)-50</f>
        <v>343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347</v>
      </c>
      <c r="V368" s="3">
        <v>359</v>
      </c>
      <c r="W368" s="3">
        <f>IF(ISERROR(VLOOKUP($A368,'SegEnds_NonXtal_BW#'!$A:$Z,16,FALSE)+VLOOKUP($A368,A:AL,22,FALSE)-50),"-",(VLOOKUP($A368,'SegEnds_NonXtal_BW#'!$A:$Z,16,FALSE)+VLOOKUP($A368,A:AL,22,FALSE)-50))</f>
        <v>372</v>
      </c>
      <c r="X368" s="3">
        <f>IF(ISERROR(VLOOKUP($A368,'SegEnds_NonXtal_BW#'!$A:$Z,17,FALSE)+VLOOKUP($A368,A:AL,25,FALSE)-50),"-",(VLOOKUP($A368,'SegEnds_NonXtal_BW#'!$A:$Z,17,FALSE)+VLOOKUP($A368,A:AL,25,FALSE)-50))</f>
        <v>384</v>
      </c>
      <c r="Y368" s="3">
        <v>384</v>
      </c>
      <c r="Z368" s="3">
        <f>Y368+2</f>
        <v>386</v>
      </c>
      <c r="AA368" s="3">
        <f>IF(ISERROR(VLOOKUP($A368,'SegEnds_NonXtal_BW#'!$A:$Z,19,FALSE)+VLOOKUP($A368,A:AL,28,FALSE)-50),"-",(VLOOKUP($A368,'SegEnds_NonXtal_BW#'!$A:$Z,19,FALSE)+VLOOKUP($A368,A:AL,28,FALSE)-50))</f>
        <v>391</v>
      </c>
      <c r="AB368" s="3">
        <v>405</v>
      </c>
      <c r="AC368" s="3">
        <f>IF(ISERROR((VLOOKUP($A368,'SegEnds_NonXtal_BW#'!$A:$Z,20,FALSE)+VLOOKUP($A368,A:AL,28,FALSE)-50)),"-",(VLOOKUP($A368,'SegEnds_NonXtal_BW#'!$A:$Z,20,FALSE)+VLOOKUP($A368,A:AL,28,FALSE)-50))</f>
        <v>427</v>
      </c>
      <c r="AD368" s="3">
        <f>IF(ISERROR(VLOOKUP($A368,'SegEnds_NonXtal_BW#'!$A:$Z,21,FALSE)+VLOOKUP($A368,A:AL,31,FALSE)-50),"-",(VLOOKUP($A368,'SegEnds_NonXtal_BW#'!$A:$Z,21,FALSE)+VLOOKUP($A368,A:AL,31,FALSE)-50))</f>
        <v>434</v>
      </c>
      <c r="AE368" s="3">
        <v>460</v>
      </c>
      <c r="AF368" s="3">
        <f>IF(ISERROR((VLOOKUP($A368,'SegEnds_NonXtal_BW#'!$A:$Z,22,FALSE)+VLOOKUP($A368,A:AL,31,FALSE)-50)),"-",(VLOOKUP($A368,'SegEnds_NonXtal_BW#'!$A:$Z,22,FALSE)+VLOOKUP($A368,A:AL,31,FALSE)-50))</f>
        <v>488</v>
      </c>
      <c r="AG368" s="3">
        <f>IF(ISERROR(VLOOKUP($A368,'SegEnds_NonXtal_BW#'!$A:$Z,23,FALSE)+VLOOKUP($A368,A:AL,34,FALSE)-50),"-",(VLOOKUP($A368,'SegEnds_NonXtal_BW#'!$A:$Z,23,FALSE)+VLOOKUP($A368,A:AL,34,FALSE)-50))</f>
        <v>501</v>
      </c>
      <c r="AH368" s="3">
        <v>516</v>
      </c>
      <c r="AI368" s="3">
        <f>IF(ISERROR((VLOOKUP($A368,'SegEnds_NonXtal_BW#'!$A:$Z,24,FALSE)+VLOOKUP($A368,A:AL,34,FALSE)-50)),"-",(VLOOKUP($A368,'SegEnds_NonXtal_BW#'!$A:$Z,24,FALSE)+VLOOKUP($A368,A:AL,34,FALSE)-50))</f>
        <v>523</v>
      </c>
      <c r="AJ368" s="3">
        <f>IF(ISERROR(VLOOKUP($A368,'SegEnds_NonXtal_BW#'!$A:$Z,25,FALSE)+VLOOKUP($A368,A:AL,37,FALSE)-50),"-",(VLOOKUP($A368,'SegEnds_NonXtal_BW#'!$A:$Z,25,FALSE)+VLOOKUP($A368,A:AL,37,FALSE)-50))</f>
        <v>524</v>
      </c>
      <c r="AK368" s="3">
        <v>527</v>
      </c>
      <c r="AL368" s="3">
        <f>IF(ISERROR((VLOOKUP($A368,'SegEnds_NonXtal_BW#'!$A:$Z,26,FALSE)+VLOOKUP($A368,A:AL,37,FALSE)-50)),"-",(VLOOKUP($A368,'SegEnds_NonXtal_BW#'!$A:$Z,26,FALSE)+VLOOKUP($A368,A:AL,37,FALSE)-50))</f>
        <v>539</v>
      </c>
      <c r="AM368" s="28" t="str">
        <f>VLOOKUP(A368,Classification!A:B,2,FALSE)</f>
        <v>F</v>
      </c>
      <c r="AN368" s="28" t="b">
        <f>AND(IF(Y368="-",IF(AA368-W368&gt;3,TRUE,FALSE),TRUE),IF(M368="-",IF(O368-K368&gt;3,TRUE,FALSE),TRUE),C368&lt;E368,OR(E368&lt;F368,F368="-"),OR(F368&lt;H368,F368="-"),OR(H368&lt;I368,H368="-"),I368&lt;K368,OR(K368&lt;L368,L368="-"),OR(L368&lt;N368,L368="-"),OR(N368&lt;O368,N368="-"),O368&lt;Q368,OR(Q368&lt;R368,R368="-"),OR(R368&lt;T368,R368="-"),OR(T368&lt;U368,T368="-"),U368&lt;W368,OR(W368&lt;X368,X368="-"),OR(X368&lt;Z368,X368="-"),OR(Z368&lt;AA368,Z368="-"),AA368&lt;AC368,AC368&lt;AD368,AD368&lt;AF368,AF368&lt;AG368,AG368&lt;AI368,OR(AI368&lt;AJ368,AJ368="-"),OR(AJ368&lt;AL368,AJ368="-"))</f>
        <v>1</v>
      </c>
      <c r="AO368" s="3" t="str">
        <f>IF(ISERROR(MATCH(A368,'SegEnds_Xtal_Prot#'!B:B, 0)), "NoXtal", "Xtal")</f>
        <v>NoXtal</v>
      </c>
      <c r="AP368" s="3">
        <f>IF(ISERROR(F368-E368),"-",F368-E368)</f>
        <v>1</v>
      </c>
      <c r="AQ368" s="3">
        <f>IF(ISERROR(I368-H368),"-",I368-H368)</f>
        <v>1</v>
      </c>
      <c r="AR368" s="3" t="str">
        <f>IF(ISERROR(L368-K368),"-",L368-K368)</f>
        <v>-</v>
      </c>
      <c r="AS368" s="3" t="str">
        <f>IF(ISERROR(O368-N368),"-",O368-N368)</f>
        <v>-</v>
      </c>
      <c r="AT368" s="3" t="str">
        <f>IF(ISERROR(R368-Q368),"-",R368-Q368)</f>
        <v>-</v>
      </c>
      <c r="AU368" s="3" t="str">
        <f>IF(ISERROR(U368-T368),"-",U368-T368)</f>
        <v>-</v>
      </c>
      <c r="AV368" s="3">
        <f>IF(ISERROR(X368-W368),"-",X368-W368)</f>
        <v>12</v>
      </c>
      <c r="AW368" s="3">
        <f>IF(ISERROR(AA368-Z368),"-",AA368-Z368)</f>
        <v>5</v>
      </c>
      <c r="AX368" s="3">
        <f>IF(ISERROR(AD368-AC368),"-",AD368-AC368)</f>
        <v>7</v>
      </c>
      <c r="AY368" s="3">
        <f>IF(ISERROR(AG368-AF368),"-",AG368-AF368)</f>
        <v>13</v>
      </c>
      <c r="AZ368" s="3">
        <f>IF(ISERROR(AJ368-AI368),"-",AJ368-AI368)</f>
        <v>1</v>
      </c>
      <c r="BA368" s="3">
        <f>IF(ISERROR(LEN(VLOOKUP(A368,Seqs!A:E,2,FALSE))-AL368),"-",LEN(VLOOKUP(A368,Seqs!A:E,2,FALSE))-AL368)</f>
        <v>42</v>
      </c>
      <c r="BB368" s="16">
        <f>J368-D368</f>
        <v>26</v>
      </c>
      <c r="BC368" s="9" t="str">
        <f>IF(ISERROR(V368-S368),"-",V368-S368)</f>
        <v>-</v>
      </c>
      <c r="BD368" s="3">
        <f>J368-D368</f>
        <v>26</v>
      </c>
      <c r="BE368" s="3">
        <f>AE368-AB368</f>
        <v>55</v>
      </c>
    </row>
    <row r="369" spans="1:58" s="3" customFormat="1" x14ac:dyDescent="0.2">
      <c r="A369" s="3" t="s">
        <v>448</v>
      </c>
      <c r="B369" s="3" t="str">
        <f>LOWER(VLOOKUP(A369,Xtal_Templ!A:B,2,FALSE))</f>
        <v>smo_human</v>
      </c>
      <c r="C369" s="3">
        <f>VLOOKUP($A369,'SegEnds_NonXtal_BW#'!$A:$Z,3,FALSE)+D369-50</f>
        <v>238</v>
      </c>
      <c r="D369" s="3">
        <v>259</v>
      </c>
      <c r="E369" s="3">
        <f>IF(ISERROR(VLOOKUP($A369,'SegEnds_NonXtal_BW#'!$A:$Z,4,FALSE)+VLOOKUP($A369,A:AL,4,FALSE)-50),"-",(VLOOKUP($A369,'SegEnds_NonXtal_BW#'!$A:$Z,4,FALSE)+VLOOKUP($A369,A:AL,4,FALSE)-50))</f>
        <v>269</v>
      </c>
      <c r="F369" s="3">
        <f>G369-3</f>
        <v>270</v>
      </c>
      <c r="G369" s="3">
        <v>273</v>
      </c>
      <c r="H369" s="3">
        <f>G369+1</f>
        <v>274</v>
      </c>
      <c r="I369" s="3">
        <f>H369+1</f>
        <v>275</v>
      </c>
      <c r="J369" s="3">
        <v>285</v>
      </c>
      <c r="K369" s="3">
        <f>VLOOKUP($A369,'SegEnds_NonXtal_BW#'!$A:$Z,8,FALSE)+VLOOKUP($A369,A:AL,10,FALSE)-50</f>
        <v>298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325</v>
      </c>
      <c r="P369" s="3">
        <v>352</v>
      </c>
      <c r="Q369" s="3">
        <f>VLOOKUP($A369,'SegEnds_NonXtal_BW#'!$A:$Z,12,FALSE)+VLOOKUP($A369,A:AL,16,FALSE)-50</f>
        <v>361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365</v>
      </c>
      <c r="V369" s="3">
        <v>377</v>
      </c>
      <c r="W369" s="3">
        <f>IF(ISERROR(VLOOKUP($A369,'SegEnds_NonXtal_BW#'!$A:$Z,16,FALSE)+VLOOKUP($A369,A:AL,22,FALSE)-50),"-",(VLOOKUP($A369,'SegEnds_NonXtal_BW#'!$A:$Z,16,FALSE)+VLOOKUP($A369,A:AL,22,FALSE)-50))</f>
        <v>390</v>
      </c>
      <c r="X369" s="3">
        <f>IF(ISERROR(VLOOKUP($A369,'SegEnds_NonXtal_BW#'!$A:$Z,17,FALSE)+VLOOKUP($A369,A:AL,25,FALSE)-50),"-",(VLOOKUP($A369,'SegEnds_NonXtal_BW#'!$A:$Z,17,FALSE)+VLOOKUP($A369,A:AL,25,FALSE)-50))</f>
        <v>402</v>
      </c>
      <c r="Y369" s="3">
        <v>402</v>
      </c>
      <c r="Z369" s="3">
        <f>Y369+2</f>
        <v>404</v>
      </c>
      <c r="AA369" s="3">
        <f>IF(ISERROR(VLOOKUP($A369,'SegEnds_NonXtal_BW#'!$A:$Z,19,FALSE)+VLOOKUP($A369,A:AL,28,FALSE)-50),"-",(VLOOKUP($A369,'SegEnds_NonXtal_BW#'!$A:$Z,19,FALSE)+VLOOKUP($A369,A:AL,28,FALSE)-50))</f>
        <v>409</v>
      </c>
      <c r="AB369" s="3">
        <v>423</v>
      </c>
      <c r="AC369" s="3">
        <f>IF(ISERROR((VLOOKUP($A369,'SegEnds_NonXtal_BW#'!$A:$Z,20,FALSE)+VLOOKUP($A369,A:AL,28,FALSE)-50)),"-",(VLOOKUP($A369,'SegEnds_NonXtal_BW#'!$A:$Z,20,FALSE)+VLOOKUP($A369,A:AL,28,FALSE)-50))</f>
        <v>445</v>
      </c>
      <c r="AD369" s="3">
        <f>IF(ISERROR(VLOOKUP($A369,'SegEnds_NonXtal_BW#'!$A:$Z,21,FALSE)+VLOOKUP($A369,A:AL,31,FALSE)-50),"-",(VLOOKUP($A369,'SegEnds_NonXtal_BW#'!$A:$Z,21,FALSE)+VLOOKUP($A369,A:AL,31,FALSE)-50))</f>
        <v>452</v>
      </c>
      <c r="AE369" s="3">
        <v>478</v>
      </c>
      <c r="AF369" s="3">
        <f>IF(ISERROR((VLOOKUP($A369,'SegEnds_NonXtal_BW#'!$A:$Z,22,FALSE)+VLOOKUP($A369,A:AL,31,FALSE)-50)),"-",(VLOOKUP($A369,'SegEnds_NonXtal_BW#'!$A:$Z,22,FALSE)+VLOOKUP($A369,A:AL,31,FALSE)-50))</f>
        <v>506</v>
      </c>
      <c r="AG369" s="3">
        <f>IF(ISERROR(VLOOKUP($A369,'SegEnds_NonXtal_BW#'!$A:$Z,23,FALSE)+VLOOKUP($A369,A:AL,34,FALSE)-50),"-",(VLOOKUP($A369,'SegEnds_NonXtal_BW#'!$A:$Z,23,FALSE)+VLOOKUP($A369,A:AL,34,FALSE)-50))</f>
        <v>518</v>
      </c>
      <c r="AH369" s="3">
        <v>533</v>
      </c>
      <c r="AI369" s="3">
        <f>IF(ISERROR((VLOOKUP($A369,'SegEnds_NonXtal_BW#'!$A:$Z,24,FALSE)+VLOOKUP($A369,A:AL,34,FALSE)-50)),"-",(VLOOKUP($A369,'SegEnds_NonXtal_BW#'!$A:$Z,24,FALSE)+VLOOKUP($A369,A:AL,34,FALSE)-50))</f>
        <v>540</v>
      </c>
      <c r="AJ369" s="3">
        <f>IF(ISERROR(VLOOKUP($A369,'SegEnds_NonXtal_BW#'!$A:$Z,25,FALSE)+VLOOKUP($A369,A:AL,37,FALSE)-50),"-",(VLOOKUP($A369,'SegEnds_NonXtal_BW#'!$A:$Z,25,FALSE)+VLOOKUP($A369,A:AL,37,FALSE)-50))</f>
        <v>541</v>
      </c>
      <c r="AK369" s="3">
        <v>544</v>
      </c>
      <c r="AL369" s="3">
        <f>IF(ISERROR((VLOOKUP($A369,'SegEnds_NonXtal_BW#'!$A:$Z,26,FALSE)+VLOOKUP($A369,A:AL,37,FALSE)-50)),"-",(VLOOKUP($A369,'SegEnds_NonXtal_BW#'!$A:$Z,26,FALSE)+VLOOKUP($A369,A:AL,37,FALSE)-50))</f>
        <v>556</v>
      </c>
      <c r="AM369" s="28" t="str">
        <f>VLOOKUP(A369,Classification!A:B,2,FALSE)</f>
        <v>F</v>
      </c>
      <c r="AN369" s="28" t="b">
        <f>AND(IF(Y369="-",IF(AA369-W369&gt;3,TRUE,FALSE),TRUE),IF(M369="-",IF(O369-K369&gt;3,TRUE,FALSE),TRUE),C369&lt;E369,OR(E369&lt;F369,F369="-"),OR(F369&lt;H369,F369="-"),OR(H369&lt;I369,H369="-"),I369&lt;K369,OR(K369&lt;L369,L369="-"),OR(L369&lt;N369,L369="-"),OR(N369&lt;O369,N369="-"),O369&lt;Q369,OR(Q369&lt;R369,R369="-"),OR(R369&lt;T369,R369="-"),OR(T369&lt;U369,T369="-"),U369&lt;W369,OR(W369&lt;X369,X369="-"),OR(X369&lt;Z369,X369="-"),OR(Z369&lt;AA369,Z369="-"),AA369&lt;AC369,AC369&lt;AD369,AD369&lt;AF369,AF369&lt;AG369,AG369&lt;AI369,OR(AI369&lt;AJ369,AJ369="-"),OR(AJ369&lt;AL369,AJ369="-"))</f>
        <v>1</v>
      </c>
      <c r="AO369" s="3" t="str">
        <f>IF(ISERROR(MATCH(A369,'SegEnds_Xtal_Prot#'!B:B, 0)), "NoXtal", "Xtal")</f>
        <v>NoXtal</v>
      </c>
      <c r="AP369" s="3">
        <f>IF(ISERROR(F369-E369),"-",F369-E369)</f>
        <v>1</v>
      </c>
      <c r="AQ369" s="3">
        <f>IF(ISERROR(I369-H369),"-",I369-H369)</f>
        <v>1</v>
      </c>
      <c r="AR369" s="3" t="str">
        <f>IF(ISERROR(L369-K369),"-",L369-K369)</f>
        <v>-</v>
      </c>
      <c r="AS369" s="3" t="str">
        <f>IF(ISERROR(O369-N369),"-",O369-N369)</f>
        <v>-</v>
      </c>
      <c r="AT369" s="3" t="str">
        <f>IF(ISERROR(R369-Q369),"-",R369-Q369)</f>
        <v>-</v>
      </c>
      <c r="AU369" s="3" t="str">
        <f>IF(ISERROR(U369-T369),"-",U369-T369)</f>
        <v>-</v>
      </c>
      <c r="AV369" s="3">
        <f>IF(ISERROR(X369-W369),"-",X369-W369)</f>
        <v>12</v>
      </c>
      <c r="AW369" s="3">
        <f>IF(ISERROR(AA369-Z369),"-",AA369-Z369)</f>
        <v>5</v>
      </c>
      <c r="AX369" s="3">
        <f>IF(ISERROR(AD369-AC369),"-",AD369-AC369)</f>
        <v>7</v>
      </c>
      <c r="AY369" s="3">
        <f>IF(ISERROR(AG369-AF369),"-",AG369-AF369)</f>
        <v>12</v>
      </c>
      <c r="AZ369" s="3">
        <f>IF(ISERROR(AJ369-AI369),"-",AJ369-AI369)</f>
        <v>1</v>
      </c>
      <c r="BA369" s="3">
        <f>IF(ISERROR(LEN(VLOOKUP(A369,Seqs!A:E,2,FALSE))-AL369),"-",LEN(VLOOKUP(A369,Seqs!A:E,2,FALSE))-AL369)</f>
        <v>9</v>
      </c>
      <c r="BB369" s="16">
        <f>J369-D369</f>
        <v>26</v>
      </c>
      <c r="BC369" s="9" t="str">
        <f>IF(ISERROR(V369-S369),"-",V369-S369)</f>
        <v>-</v>
      </c>
      <c r="BD369" s="3">
        <f>J369-D369</f>
        <v>26</v>
      </c>
      <c r="BE369" s="3">
        <f>AE369-AB369</f>
        <v>55</v>
      </c>
      <c r="BF369" s="3">
        <f>AH369-AE369</f>
        <v>55</v>
      </c>
    </row>
    <row r="370" spans="1:58" s="3" customFormat="1" x14ac:dyDescent="0.2">
      <c r="A370" s="3" t="s">
        <v>449</v>
      </c>
      <c r="B370" s="3" t="str">
        <f>LOWER(VLOOKUP(A370,Xtal_Templ!A:B,2,FALSE))</f>
        <v>smo_human</v>
      </c>
      <c r="C370" s="3">
        <f>VLOOKUP($A370,'SegEnds_NonXtal_BW#'!$A:$Z,3,FALSE)+D370-50</f>
        <v>196</v>
      </c>
      <c r="D370" s="3">
        <v>217</v>
      </c>
      <c r="E370" s="3">
        <f>IF(ISERROR(VLOOKUP($A370,'SegEnds_NonXtal_BW#'!$A:$Z,4,FALSE)+VLOOKUP($A370,A:AL,4,FALSE)-50),"-",(VLOOKUP($A370,'SegEnds_NonXtal_BW#'!$A:$Z,4,FALSE)+VLOOKUP($A370,A:AL,4,FALSE)-50))</f>
        <v>227</v>
      </c>
      <c r="F370" s="3">
        <f>G370-3</f>
        <v>228</v>
      </c>
      <c r="G370" s="3">
        <v>231</v>
      </c>
      <c r="H370" s="3">
        <f>G370+1</f>
        <v>232</v>
      </c>
      <c r="I370" s="3">
        <f>H370+1</f>
        <v>233</v>
      </c>
      <c r="J370" s="3">
        <v>243</v>
      </c>
      <c r="K370" s="3">
        <f>VLOOKUP($A370,'SegEnds_NonXtal_BW#'!$A:$Z,8,FALSE)+VLOOKUP($A370,A:AL,10,FALSE)-50</f>
        <v>256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284</v>
      </c>
      <c r="P370" s="3">
        <v>311</v>
      </c>
      <c r="Q370" s="3">
        <f>VLOOKUP($A370,'SegEnds_NonXtal_BW#'!$A:$Z,12,FALSE)+VLOOKUP($A370,A:AL,16,FALSE)-50</f>
        <v>320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324</v>
      </c>
      <c r="V370" s="3">
        <v>336</v>
      </c>
      <c r="W370" s="3">
        <f>IF(ISERROR(VLOOKUP($A370,'SegEnds_NonXtal_BW#'!$A:$Z,16,FALSE)+VLOOKUP($A370,A:AL,22,FALSE)-50),"-",(VLOOKUP($A370,'SegEnds_NonXtal_BW#'!$A:$Z,16,FALSE)+VLOOKUP($A370,A:AL,22,FALSE)-50))</f>
        <v>349</v>
      </c>
      <c r="X370" s="3">
        <f>IF(ISERROR(VLOOKUP($A370,'SegEnds_NonXtal_BW#'!$A:$Z,17,FALSE)+VLOOKUP($A370,A:AL,25,FALSE)-50),"-",(VLOOKUP($A370,'SegEnds_NonXtal_BW#'!$A:$Z,17,FALSE)+VLOOKUP($A370,A:AL,25,FALSE)-50))</f>
        <v>361</v>
      </c>
      <c r="Y370" s="3">
        <v>361</v>
      </c>
      <c r="Z370" s="3">
        <f>Y370+2</f>
        <v>363</v>
      </c>
      <c r="AA370" s="3">
        <f>IF(ISERROR(VLOOKUP($A370,'SegEnds_NonXtal_BW#'!$A:$Z,19,FALSE)+VLOOKUP($A370,A:AL,28,FALSE)-50),"-",(VLOOKUP($A370,'SegEnds_NonXtal_BW#'!$A:$Z,19,FALSE)+VLOOKUP($A370,A:AL,28,FALSE)-50))</f>
        <v>368</v>
      </c>
      <c r="AB370" s="3">
        <v>382</v>
      </c>
      <c r="AC370" s="3">
        <f>IF(ISERROR((VLOOKUP($A370,'SegEnds_NonXtal_BW#'!$A:$Z,20,FALSE)+VLOOKUP($A370,A:AL,28,FALSE)-50)),"-",(VLOOKUP($A370,'SegEnds_NonXtal_BW#'!$A:$Z,20,FALSE)+VLOOKUP($A370,A:AL,28,FALSE)-50))</f>
        <v>404</v>
      </c>
      <c r="AD370" s="3">
        <f>IF(ISERROR(VLOOKUP($A370,'SegEnds_NonXtal_BW#'!$A:$Z,21,FALSE)+VLOOKUP($A370,A:AL,31,FALSE)-50),"-",(VLOOKUP($A370,'SegEnds_NonXtal_BW#'!$A:$Z,21,FALSE)+VLOOKUP($A370,A:AL,31,FALSE)-50))</f>
        <v>411</v>
      </c>
      <c r="AE370" s="3">
        <v>437</v>
      </c>
      <c r="AF370" s="3">
        <f>IF(ISERROR((VLOOKUP($A370,'SegEnds_NonXtal_BW#'!$A:$Z,22,FALSE)+VLOOKUP($A370,A:AL,31,FALSE)-50)),"-",(VLOOKUP($A370,'SegEnds_NonXtal_BW#'!$A:$Z,22,FALSE)+VLOOKUP($A370,A:AL,31,FALSE)-50))</f>
        <v>465</v>
      </c>
      <c r="AG370" s="3">
        <f>IF(ISERROR(VLOOKUP($A370,'SegEnds_NonXtal_BW#'!$A:$Z,23,FALSE)+VLOOKUP($A370,A:AL,34,FALSE)-50),"-",(VLOOKUP($A370,'SegEnds_NonXtal_BW#'!$A:$Z,23,FALSE)+VLOOKUP($A370,A:AL,34,FALSE)-50))</f>
        <v>477</v>
      </c>
      <c r="AH370" s="3">
        <v>492</v>
      </c>
      <c r="AI370" s="3">
        <f>IF(ISERROR((VLOOKUP($A370,'SegEnds_NonXtal_BW#'!$A:$Z,24,FALSE)+VLOOKUP($A370,A:AL,34,FALSE)-50)),"-",(VLOOKUP($A370,'SegEnds_NonXtal_BW#'!$A:$Z,24,FALSE)+VLOOKUP($A370,A:AL,34,FALSE)-50))</f>
        <v>499</v>
      </c>
      <c r="AJ370" s="3">
        <f>IF(ISERROR(VLOOKUP($A370,'SegEnds_NonXtal_BW#'!$A:$Z,25,FALSE)+VLOOKUP($A370,A:AL,37,FALSE)-50),"-",(VLOOKUP($A370,'SegEnds_NonXtal_BW#'!$A:$Z,25,FALSE)+VLOOKUP($A370,A:AL,37,FALSE)-50))</f>
        <v>500</v>
      </c>
      <c r="AK370" s="3">
        <v>503</v>
      </c>
      <c r="AL370" s="3">
        <f>IF(ISERROR((VLOOKUP($A370,'SegEnds_NonXtal_BW#'!$A:$Z,26,FALSE)+VLOOKUP($A370,A:AL,37,FALSE)-50)),"-",(VLOOKUP($A370,'SegEnds_NonXtal_BW#'!$A:$Z,26,FALSE)+VLOOKUP($A370,A:AL,37,FALSE)-50))</f>
        <v>515</v>
      </c>
      <c r="AM370" s="28" t="str">
        <f>VLOOKUP(A370,Classification!A:B,2,FALSE)</f>
        <v>F</v>
      </c>
      <c r="AN370" s="28" t="b">
        <f>AND(IF(Y370="-",IF(AA370-W370&gt;3,TRUE,FALSE),TRUE),IF(M370="-",IF(O370-K370&gt;3,TRUE,FALSE),TRUE),C370&lt;E370,OR(E370&lt;F370,F370="-"),OR(F370&lt;H370,F370="-"),OR(H370&lt;I370,H370="-"),I370&lt;K370,OR(K370&lt;L370,L370="-"),OR(L370&lt;N370,L370="-"),OR(N370&lt;O370,N370="-"),O370&lt;Q370,OR(Q370&lt;R370,R370="-"),OR(R370&lt;T370,R370="-"),OR(T370&lt;U370,T370="-"),U370&lt;W370,OR(W370&lt;X370,X370="-"),OR(X370&lt;Z370,X370="-"),OR(Z370&lt;AA370,Z370="-"),AA370&lt;AC370,AC370&lt;AD370,AD370&lt;AF370,AF370&lt;AG370,AG370&lt;AI370,OR(AI370&lt;AJ370,AJ370="-"),OR(AJ370&lt;AL370,AJ370="-"))</f>
        <v>1</v>
      </c>
      <c r="AO370" s="3" t="str">
        <f>IF(ISERROR(MATCH(A370,'SegEnds_Xtal_Prot#'!B:B, 0)), "NoXtal", "Xtal")</f>
        <v>NoXtal</v>
      </c>
      <c r="AP370" s="3">
        <f>IF(ISERROR(F370-E370),"-",F370-E370)</f>
        <v>1</v>
      </c>
      <c r="AQ370" s="3">
        <f>IF(ISERROR(I370-H370),"-",I370-H370)</f>
        <v>1</v>
      </c>
      <c r="AR370" s="3" t="str">
        <f>IF(ISERROR(L370-K370),"-",L370-K370)</f>
        <v>-</v>
      </c>
      <c r="AS370" s="3" t="str">
        <f>IF(ISERROR(O370-N370),"-",O370-N370)</f>
        <v>-</v>
      </c>
      <c r="AT370" s="3" t="str">
        <f>IF(ISERROR(R370-Q370),"-",R370-Q370)</f>
        <v>-</v>
      </c>
      <c r="AU370" s="3" t="str">
        <f>IF(ISERROR(U370-T370),"-",U370-T370)</f>
        <v>-</v>
      </c>
      <c r="AV370" s="3">
        <f>IF(ISERROR(X370-W370),"-",X370-W370)</f>
        <v>12</v>
      </c>
      <c r="AW370" s="3">
        <f>IF(ISERROR(AA370-Z370),"-",AA370-Z370)</f>
        <v>5</v>
      </c>
      <c r="AX370" s="3">
        <f>IF(ISERROR(AD370-AC370),"-",AD370-AC370)</f>
        <v>7</v>
      </c>
      <c r="AY370" s="3">
        <f>IF(ISERROR(AG370-AF370),"-",AG370-AF370)</f>
        <v>12</v>
      </c>
      <c r="AZ370" s="3">
        <f>IF(ISERROR(AJ370-AI370),"-",AJ370-AI370)</f>
        <v>1</v>
      </c>
      <c r="BA370" s="3">
        <f>IF(ISERROR(LEN(VLOOKUP(A370,Seqs!A:E,2,FALSE))-AL370),"-",LEN(VLOOKUP(A370,Seqs!A:E,2,FALSE))-AL370)</f>
        <v>151</v>
      </c>
      <c r="BB370" s="16">
        <f>J370-D370</f>
        <v>26</v>
      </c>
      <c r="BC370" s="9" t="str">
        <f>IF(ISERROR(V370-S370),"-",V370-S370)</f>
        <v>-</v>
      </c>
      <c r="BD370" s="3">
        <f>J370-D370</f>
        <v>26</v>
      </c>
      <c r="BE370" s="3">
        <f>AE370-AB370</f>
        <v>55</v>
      </c>
    </row>
    <row r="371" spans="1:58" s="3" customFormat="1" x14ac:dyDescent="0.2">
      <c r="A371" s="3" t="s">
        <v>450</v>
      </c>
      <c r="B371" s="3" t="str">
        <f>LOWER(VLOOKUP(A371,Xtal_Templ!A:B,2,FALSE))</f>
        <v>smo_human</v>
      </c>
      <c r="C371" s="3">
        <f>VLOOKUP($A371,'SegEnds_NonXtal_BW#'!$A:$Z,3,FALSE)+D371-50</f>
        <v>213</v>
      </c>
      <c r="D371" s="3">
        <v>234</v>
      </c>
      <c r="E371" s="3">
        <f>IF(ISERROR(VLOOKUP($A371,'SegEnds_NonXtal_BW#'!$A:$Z,4,FALSE)+VLOOKUP($A371,A:AL,4,FALSE)-50),"-",(VLOOKUP($A371,'SegEnds_NonXtal_BW#'!$A:$Z,4,FALSE)+VLOOKUP($A371,A:AL,4,FALSE)-50))</f>
        <v>244</v>
      </c>
      <c r="F371" s="3">
        <f>G371-3</f>
        <v>245</v>
      </c>
      <c r="G371" s="3">
        <v>248</v>
      </c>
      <c r="H371" s="3">
        <f>G371+1</f>
        <v>249</v>
      </c>
      <c r="I371" s="3">
        <f>H371+1</f>
        <v>250</v>
      </c>
      <c r="J371" s="3">
        <v>260</v>
      </c>
      <c r="K371" s="3">
        <f>VLOOKUP($A371,'SegEnds_NonXtal_BW#'!$A:$Z,8,FALSE)+VLOOKUP($A371,A:AL,10,FALSE)-50</f>
        <v>273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300</v>
      </c>
      <c r="P371" s="3">
        <v>327</v>
      </c>
      <c r="Q371" s="3">
        <f>VLOOKUP($A371,'SegEnds_NonXtal_BW#'!$A:$Z,12,FALSE)+VLOOKUP($A371,A:AL,16,FALSE)-50</f>
        <v>336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340</v>
      </c>
      <c r="V371" s="3">
        <v>352</v>
      </c>
      <c r="W371" s="3">
        <f>IF(ISERROR(VLOOKUP($A371,'SegEnds_NonXtal_BW#'!$A:$Z,16,FALSE)+VLOOKUP($A371,A:AL,22,FALSE)-50),"-",(VLOOKUP($A371,'SegEnds_NonXtal_BW#'!$A:$Z,16,FALSE)+VLOOKUP($A371,A:AL,22,FALSE)-50))</f>
        <v>365</v>
      </c>
      <c r="X371" s="3">
        <f>IF(ISERROR(VLOOKUP($A371,'SegEnds_NonXtal_BW#'!$A:$Z,17,FALSE)+VLOOKUP($A371,A:AL,25,FALSE)-50),"-",(VLOOKUP($A371,'SegEnds_NonXtal_BW#'!$A:$Z,17,FALSE)+VLOOKUP($A371,A:AL,25,FALSE)-50))</f>
        <v>377</v>
      </c>
      <c r="Y371" s="3">
        <v>377</v>
      </c>
      <c r="Z371" s="3">
        <f>Y371+2</f>
        <v>379</v>
      </c>
      <c r="AA371" s="3">
        <f>IF(ISERROR(VLOOKUP($A371,'SegEnds_NonXtal_BW#'!$A:$Z,19,FALSE)+VLOOKUP($A371,A:AL,28,FALSE)-50),"-",(VLOOKUP($A371,'SegEnds_NonXtal_BW#'!$A:$Z,19,FALSE)+VLOOKUP($A371,A:AL,28,FALSE)-50))</f>
        <v>384</v>
      </c>
      <c r="AB371" s="3">
        <v>398</v>
      </c>
      <c r="AC371" s="3">
        <f>IF(ISERROR((VLOOKUP($A371,'SegEnds_NonXtal_BW#'!$A:$Z,20,FALSE)+VLOOKUP($A371,A:AL,28,FALSE)-50)),"-",(VLOOKUP($A371,'SegEnds_NonXtal_BW#'!$A:$Z,20,FALSE)+VLOOKUP($A371,A:AL,28,FALSE)-50))</f>
        <v>420</v>
      </c>
      <c r="AD371" s="3">
        <f>IF(ISERROR(VLOOKUP($A371,'SegEnds_NonXtal_BW#'!$A:$Z,21,FALSE)+VLOOKUP($A371,A:AL,31,FALSE)-50),"-",(VLOOKUP($A371,'SegEnds_NonXtal_BW#'!$A:$Z,21,FALSE)+VLOOKUP($A371,A:AL,31,FALSE)-50))</f>
        <v>427</v>
      </c>
      <c r="AE371" s="3">
        <v>453</v>
      </c>
      <c r="AF371" s="3">
        <f>IF(ISERROR((VLOOKUP($A371,'SegEnds_NonXtal_BW#'!$A:$Z,22,FALSE)+VLOOKUP($A371,A:AL,31,FALSE)-50)),"-",(VLOOKUP($A371,'SegEnds_NonXtal_BW#'!$A:$Z,22,FALSE)+VLOOKUP($A371,A:AL,31,FALSE)-50))</f>
        <v>469</v>
      </c>
      <c r="AG371" s="3">
        <f>IF(ISERROR(VLOOKUP($A371,'SegEnds_NonXtal_BW#'!$A:$Z,23,FALSE)+VLOOKUP($A371,A:AL,34,FALSE)-50),"-",(VLOOKUP($A371,'SegEnds_NonXtal_BW#'!$A:$Z,23,FALSE)+VLOOKUP($A371,A:AL,34,FALSE)-50))</f>
        <v>474</v>
      </c>
      <c r="AH371" s="3">
        <v>489</v>
      </c>
      <c r="AI371" s="3">
        <f>IF(ISERROR((VLOOKUP($A371,'SegEnds_NonXtal_BW#'!$A:$Z,24,FALSE)+VLOOKUP($A371,A:AL,34,FALSE)-50)),"-",(VLOOKUP($A371,'SegEnds_NonXtal_BW#'!$A:$Z,24,FALSE)+VLOOKUP($A371,A:AL,34,FALSE)-50))</f>
        <v>496</v>
      </c>
      <c r="AJ371" s="3">
        <f>IF(ISERROR(VLOOKUP($A371,'SegEnds_NonXtal_BW#'!$A:$Z,25,FALSE)+VLOOKUP($A371,A:AL,37,FALSE)-50),"-",(VLOOKUP($A371,'SegEnds_NonXtal_BW#'!$A:$Z,25,FALSE)+VLOOKUP($A371,A:AL,37,FALSE)-50))</f>
        <v>497</v>
      </c>
      <c r="AK371" s="3">
        <v>500</v>
      </c>
      <c r="AL371" s="3">
        <f>IF(ISERROR((VLOOKUP($A371,'SegEnds_NonXtal_BW#'!$A:$Z,26,FALSE)+VLOOKUP($A371,A:AL,37,FALSE)-50)),"-",(VLOOKUP($A371,'SegEnds_NonXtal_BW#'!$A:$Z,26,FALSE)+VLOOKUP($A371,A:AL,37,FALSE)-50))</f>
        <v>512</v>
      </c>
      <c r="AM371" s="28" t="str">
        <f>VLOOKUP(A371,Classification!A:B,2,FALSE)</f>
        <v>F</v>
      </c>
      <c r="AN371" s="28" t="b">
        <f>AND(IF(Y371="-",IF(AA371-W371&gt;3,TRUE,FALSE),TRUE),IF(M371="-",IF(O371-K371&gt;3,TRUE,FALSE),TRUE),C371&lt;E371,OR(E371&lt;F371,F371="-"),OR(F371&lt;H371,F371="-"),OR(H371&lt;I371,H371="-"),I371&lt;K371,OR(K371&lt;L371,L371="-"),OR(L371&lt;N371,L371="-"),OR(N371&lt;O371,N371="-"),O371&lt;Q371,OR(Q371&lt;R371,R371="-"),OR(R371&lt;T371,R371="-"),OR(T371&lt;U371,T371="-"),U371&lt;W371,OR(W371&lt;X371,X371="-"),OR(X371&lt;Z371,X371="-"),OR(Z371&lt;AA371,Z371="-"),AA371&lt;AC371,AC371&lt;AD371,AD371&lt;AF371,AF371&lt;AG371,AG371&lt;AI371,OR(AI371&lt;AJ371,AJ371="-"),OR(AJ371&lt;AL371,AJ371="-"))</f>
        <v>1</v>
      </c>
      <c r="AO371" s="3" t="str">
        <f>IF(ISERROR(MATCH(A371,'SegEnds_Xtal_Prot#'!B:B, 0)), "NoXtal", "Xtal")</f>
        <v>NoXtal</v>
      </c>
      <c r="AP371" s="3">
        <f>IF(ISERROR(F371-E371),"-",F371-E371)</f>
        <v>1</v>
      </c>
      <c r="AQ371" s="3">
        <f>IF(ISERROR(I371-H371),"-",I371-H371)</f>
        <v>1</v>
      </c>
      <c r="AR371" s="3" t="str">
        <f>IF(ISERROR(L371-K371),"-",L371-K371)</f>
        <v>-</v>
      </c>
      <c r="AS371" s="3" t="str">
        <f>IF(ISERROR(O371-N371),"-",O371-N371)</f>
        <v>-</v>
      </c>
      <c r="AT371" s="3" t="str">
        <f>IF(ISERROR(R371-Q371),"-",R371-Q371)</f>
        <v>-</v>
      </c>
      <c r="AU371" s="3" t="str">
        <f>IF(ISERROR(U371-T371),"-",U371-T371)</f>
        <v>-</v>
      </c>
      <c r="AV371" s="3">
        <f>IF(ISERROR(X371-W371),"-",X371-W371)</f>
        <v>12</v>
      </c>
      <c r="AW371" s="3">
        <f>IF(ISERROR(AA371-Z371),"-",AA371-Z371)</f>
        <v>5</v>
      </c>
      <c r="AX371" s="3">
        <f>IF(ISERROR(AD371-AC371),"-",AD371-AC371)</f>
        <v>7</v>
      </c>
      <c r="AY371" s="3">
        <f>IF(ISERROR(AG371-AF371),"-",AG371-AF371)</f>
        <v>5</v>
      </c>
      <c r="AZ371" s="3">
        <f>IF(ISERROR(AJ371-AI371),"-",AJ371-AI371)</f>
        <v>1</v>
      </c>
      <c r="BA371" s="3">
        <f>IF(ISERROR(LEN(VLOOKUP(A371,Seqs!A:E,2,FALSE))-AL371),"-",LEN(VLOOKUP(A371,Seqs!A:E,2,FALSE))-AL371)</f>
        <v>25</v>
      </c>
      <c r="BB371" s="16">
        <f>J371-D371</f>
        <v>26</v>
      </c>
      <c r="BC371" s="9" t="str">
        <f>IF(ISERROR(V371-S371),"-",V371-S371)</f>
        <v>-</v>
      </c>
      <c r="BD371" s="3">
        <f>J371-D371</f>
        <v>26</v>
      </c>
      <c r="BE371" s="3">
        <f>AE371-AB371</f>
        <v>55</v>
      </c>
      <c r="BF371" s="3">
        <f>AH371-AE371</f>
        <v>36</v>
      </c>
    </row>
    <row r="372" spans="1:58" s="3" customFormat="1" x14ac:dyDescent="0.2">
      <c r="A372" s="3" t="s">
        <v>451</v>
      </c>
      <c r="B372" s="3" t="str">
        <f>LOWER(VLOOKUP(A372,Xtal_Templ!A:B,2,FALSE))</f>
        <v>smo_human</v>
      </c>
      <c r="C372" s="3">
        <f>VLOOKUP($A372,'SegEnds_NonXtal_BW#'!$A:$Z,3,FALSE)+D372-50</f>
        <v>229</v>
      </c>
      <c r="D372" s="3">
        <v>250</v>
      </c>
      <c r="E372" s="3">
        <f>IF(ISERROR(VLOOKUP($A372,'SegEnds_NonXtal_BW#'!$A:$Z,4,FALSE)+VLOOKUP($A372,A:AL,4,FALSE)-50),"-",(VLOOKUP($A372,'SegEnds_NonXtal_BW#'!$A:$Z,4,FALSE)+VLOOKUP($A372,A:AL,4,FALSE)-50))</f>
        <v>260</v>
      </c>
      <c r="F372" s="3">
        <f>G372-3</f>
        <v>261</v>
      </c>
      <c r="G372" s="3">
        <v>264</v>
      </c>
      <c r="H372" s="3">
        <f>G372+1</f>
        <v>265</v>
      </c>
      <c r="I372" s="3">
        <f>H372+1</f>
        <v>266</v>
      </c>
      <c r="J372" s="3">
        <v>276</v>
      </c>
      <c r="K372" s="3">
        <f>VLOOKUP($A372,'SegEnds_NonXtal_BW#'!$A:$Z,8,FALSE)+VLOOKUP($A372,A:AL,10,FALSE)-50</f>
        <v>289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313</v>
      </c>
      <c r="P372" s="3">
        <v>340</v>
      </c>
      <c r="Q372" s="3">
        <f>VLOOKUP($A372,'SegEnds_NonXtal_BW#'!$A:$Z,12,FALSE)+VLOOKUP($A372,A:AL,16,FALSE)-50</f>
        <v>349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353</v>
      </c>
      <c r="V372" s="3">
        <v>365</v>
      </c>
      <c r="W372" s="3">
        <f>IF(ISERROR(VLOOKUP($A372,'SegEnds_NonXtal_BW#'!$A:$Z,16,FALSE)+VLOOKUP($A372,A:AL,22,FALSE)-50),"-",(VLOOKUP($A372,'SegEnds_NonXtal_BW#'!$A:$Z,16,FALSE)+VLOOKUP($A372,A:AL,22,FALSE)-50))</f>
        <v>378</v>
      </c>
      <c r="X372" s="3">
        <f>IF(ISERROR(VLOOKUP($A372,'SegEnds_NonXtal_BW#'!$A:$Z,17,FALSE)+VLOOKUP($A372,A:AL,25,FALSE)-50),"-",(VLOOKUP($A372,'SegEnds_NonXtal_BW#'!$A:$Z,17,FALSE)+VLOOKUP($A372,A:AL,25,FALSE)-50))</f>
        <v>390</v>
      </c>
      <c r="Y372" s="3">
        <v>390</v>
      </c>
      <c r="Z372" s="3">
        <f>Y372+2</f>
        <v>392</v>
      </c>
      <c r="AA372" s="3">
        <f>IF(ISERROR(VLOOKUP($A372,'SegEnds_NonXtal_BW#'!$A:$Z,19,FALSE)+VLOOKUP($A372,A:AL,28,FALSE)-50),"-",(VLOOKUP($A372,'SegEnds_NonXtal_BW#'!$A:$Z,19,FALSE)+VLOOKUP($A372,A:AL,28,FALSE)-50))</f>
        <v>397</v>
      </c>
      <c r="AB372" s="3">
        <v>411</v>
      </c>
      <c r="AC372" s="3">
        <f>IF(ISERROR((VLOOKUP($A372,'SegEnds_NonXtal_BW#'!$A:$Z,20,FALSE)+VLOOKUP($A372,A:AL,28,FALSE)-50)),"-",(VLOOKUP($A372,'SegEnds_NonXtal_BW#'!$A:$Z,20,FALSE)+VLOOKUP($A372,A:AL,28,FALSE)-50))</f>
        <v>433</v>
      </c>
      <c r="AD372" s="3">
        <f>IF(ISERROR(VLOOKUP($A372,'SegEnds_NonXtal_BW#'!$A:$Z,21,FALSE)+VLOOKUP($A372,A:AL,31,FALSE)-50),"-",(VLOOKUP($A372,'SegEnds_NonXtal_BW#'!$A:$Z,21,FALSE)+VLOOKUP($A372,A:AL,31,FALSE)-50))</f>
        <v>440</v>
      </c>
      <c r="AE372" s="3">
        <v>466</v>
      </c>
      <c r="AF372" s="3">
        <f>IF(ISERROR((VLOOKUP($A372,'SegEnds_NonXtal_BW#'!$A:$Z,22,FALSE)+VLOOKUP($A372,A:AL,31,FALSE)-50)),"-",(VLOOKUP($A372,'SegEnds_NonXtal_BW#'!$A:$Z,22,FALSE)+VLOOKUP($A372,A:AL,31,FALSE)-50))</f>
        <v>494</v>
      </c>
      <c r="AG372" s="3">
        <f>IF(ISERROR(VLOOKUP($A372,'SegEnds_NonXtal_BW#'!$A:$Z,23,FALSE)+VLOOKUP($A372,A:AL,34,FALSE)-50),"-",(VLOOKUP($A372,'SegEnds_NonXtal_BW#'!$A:$Z,23,FALSE)+VLOOKUP($A372,A:AL,34,FALSE)-50))</f>
        <v>500</v>
      </c>
      <c r="AH372" s="3">
        <v>515</v>
      </c>
      <c r="AI372" s="3">
        <f>IF(ISERROR((VLOOKUP($A372,'SegEnds_NonXtal_BW#'!$A:$Z,24,FALSE)+VLOOKUP($A372,A:AL,34,FALSE)-50)),"-",(VLOOKUP($A372,'SegEnds_NonXtal_BW#'!$A:$Z,24,FALSE)+VLOOKUP($A372,A:AL,34,FALSE)-50))</f>
        <v>522</v>
      </c>
      <c r="AJ372" s="3">
        <f>IF(ISERROR(VLOOKUP($A372,'SegEnds_NonXtal_BW#'!$A:$Z,25,FALSE)+VLOOKUP($A372,A:AL,37,FALSE)-50),"-",(VLOOKUP($A372,'SegEnds_NonXtal_BW#'!$A:$Z,25,FALSE)+VLOOKUP($A372,A:AL,37,FALSE)-50))</f>
        <v>523</v>
      </c>
      <c r="AK372" s="3">
        <v>526</v>
      </c>
      <c r="AL372" s="3">
        <f>IF(ISERROR((VLOOKUP($A372,'SegEnds_NonXtal_BW#'!$A:$Z,26,FALSE)+VLOOKUP($A372,A:AL,37,FALSE)-50)),"-",(VLOOKUP($A372,'SegEnds_NonXtal_BW#'!$A:$Z,26,FALSE)+VLOOKUP($A372,A:AL,37,FALSE)-50))</f>
        <v>538</v>
      </c>
      <c r="AM372" s="28" t="str">
        <f>VLOOKUP(A372,Classification!A:B,2,FALSE)</f>
        <v>F</v>
      </c>
      <c r="AN372" s="28" t="b">
        <f>AND(IF(Y372="-",IF(AA372-W372&gt;3,TRUE,FALSE),TRUE),IF(M372="-",IF(O372-K372&gt;3,TRUE,FALSE),TRUE),C372&lt;E372,OR(E372&lt;F372,F372="-"),OR(F372&lt;H372,F372="-"),OR(H372&lt;I372,H372="-"),I372&lt;K372,OR(K372&lt;L372,L372="-"),OR(L372&lt;N372,L372="-"),OR(N372&lt;O372,N372="-"),O372&lt;Q372,OR(Q372&lt;R372,R372="-"),OR(R372&lt;T372,R372="-"),OR(T372&lt;U372,T372="-"),U372&lt;W372,OR(W372&lt;X372,X372="-"),OR(X372&lt;Z372,X372="-"),OR(Z372&lt;AA372,Z372="-"),AA372&lt;AC372,AC372&lt;AD372,AD372&lt;AF372,AF372&lt;AG372,AG372&lt;AI372,OR(AI372&lt;AJ372,AJ372="-"),OR(AJ372&lt;AL372,AJ372="-"))</f>
        <v>1</v>
      </c>
      <c r="AO372" s="3" t="str">
        <f>IF(ISERROR(MATCH(A372,'SegEnds_Xtal_Prot#'!B:B, 0)), "NoXtal", "Xtal")</f>
        <v>NoXtal</v>
      </c>
      <c r="AP372" s="3">
        <f>IF(ISERROR(F372-E372),"-",F372-E372)</f>
        <v>1</v>
      </c>
      <c r="AQ372" s="3">
        <f>IF(ISERROR(I372-H372),"-",I372-H372)</f>
        <v>1</v>
      </c>
      <c r="AR372" s="3" t="str">
        <f>IF(ISERROR(L372-K372),"-",L372-K372)</f>
        <v>-</v>
      </c>
      <c r="AS372" s="3" t="str">
        <f>IF(ISERROR(O372-N372),"-",O372-N372)</f>
        <v>-</v>
      </c>
      <c r="AT372" s="3" t="str">
        <f>IF(ISERROR(R372-Q372),"-",R372-Q372)</f>
        <v>-</v>
      </c>
      <c r="AU372" s="3" t="str">
        <f>IF(ISERROR(U372-T372),"-",U372-T372)</f>
        <v>-</v>
      </c>
      <c r="AV372" s="3">
        <f>IF(ISERROR(X372-W372),"-",X372-W372)</f>
        <v>12</v>
      </c>
      <c r="AW372" s="3">
        <f>IF(ISERROR(AA372-Z372),"-",AA372-Z372)</f>
        <v>5</v>
      </c>
      <c r="AX372" s="3">
        <f>IF(ISERROR(AD372-AC372),"-",AD372-AC372)</f>
        <v>7</v>
      </c>
      <c r="AY372" s="3">
        <f>IF(ISERROR(AG372-AF372),"-",AG372-AF372)</f>
        <v>6</v>
      </c>
      <c r="AZ372" s="3">
        <f>IF(ISERROR(AJ372-AI372),"-",AJ372-AI372)</f>
        <v>1</v>
      </c>
      <c r="BA372" s="3">
        <f>IF(ISERROR(LEN(VLOOKUP(A372,Seqs!A:E,2,FALSE))-AL372),"-",LEN(VLOOKUP(A372,Seqs!A:E,2,FALSE))-AL372)</f>
        <v>47</v>
      </c>
      <c r="BB372" s="16">
        <f>J372-D372</f>
        <v>26</v>
      </c>
      <c r="BC372" s="9" t="str">
        <f>IF(ISERROR(V372-S372),"-",V372-S372)</f>
        <v>-</v>
      </c>
      <c r="BD372" s="3">
        <f>J372-D372</f>
        <v>26</v>
      </c>
      <c r="BE372" s="3">
        <f>AE372-AB372</f>
        <v>55</v>
      </c>
    </row>
    <row r="373" spans="1:58" s="3" customFormat="1" x14ac:dyDescent="0.2">
      <c r="A373" s="3" t="s">
        <v>452</v>
      </c>
      <c r="B373" s="3" t="str">
        <f>LOWER(VLOOKUP(A373,Xtal_Templ!A:B,2,FALSE))</f>
        <v>smo_human</v>
      </c>
      <c r="C373" s="3">
        <f>VLOOKUP($A373,'SegEnds_NonXtal_BW#'!$A:$Z,3,FALSE)+D373-50</f>
        <v>192</v>
      </c>
      <c r="D373" s="3">
        <v>213</v>
      </c>
      <c r="E373" s="3">
        <f>IF(ISERROR(VLOOKUP($A373,'SegEnds_NonXtal_BW#'!$A:$Z,4,FALSE)+VLOOKUP($A373,A:AL,4,FALSE)-50),"-",(VLOOKUP($A373,'SegEnds_NonXtal_BW#'!$A:$Z,4,FALSE)+VLOOKUP($A373,A:AL,4,FALSE)-50))</f>
        <v>223</v>
      </c>
      <c r="F373" s="3">
        <f>G373-3</f>
        <v>224</v>
      </c>
      <c r="G373" s="3">
        <v>227</v>
      </c>
      <c r="H373" s="3">
        <f>G373+1</f>
        <v>228</v>
      </c>
      <c r="I373" s="3">
        <f>H373+1</f>
        <v>229</v>
      </c>
      <c r="J373" s="3">
        <v>239</v>
      </c>
      <c r="K373" s="3">
        <f>VLOOKUP($A373,'SegEnds_NonXtal_BW#'!$A:$Z,8,FALSE)+VLOOKUP($A373,A:AL,10,FALSE)-50</f>
        <v>252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280</v>
      </c>
      <c r="P373" s="3">
        <v>307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320</v>
      </c>
      <c r="V373" s="3">
        <v>332</v>
      </c>
      <c r="W373" s="3">
        <f>IF(ISERROR(VLOOKUP($A373,'SegEnds_NonXtal_BW#'!$A:$Z,16,FALSE)+VLOOKUP($A373,A:AL,22,FALSE)-50),"-",(VLOOKUP($A373,'SegEnds_NonXtal_BW#'!$A:$Z,16,FALSE)+VLOOKUP($A373,A:AL,22,FALSE)-50))</f>
        <v>345</v>
      </c>
      <c r="X373" s="3">
        <f>IF(ISERROR(VLOOKUP($A373,'SegEnds_NonXtal_BW#'!$A:$Z,17,FALSE)+VLOOKUP($A373,A:AL,25,FALSE)-50),"-",(VLOOKUP($A373,'SegEnds_NonXtal_BW#'!$A:$Z,17,FALSE)+VLOOKUP($A373,A:AL,25,FALSE)-50))</f>
        <v>357</v>
      </c>
      <c r="Y373" s="3">
        <v>357</v>
      </c>
      <c r="Z373" s="3">
        <f>Y373+2</f>
        <v>359</v>
      </c>
      <c r="AA373" s="3">
        <f>IF(ISERROR(VLOOKUP($A373,'SegEnds_NonXtal_BW#'!$A:$Z,19,FALSE)+VLOOKUP($A373,A:AL,28,FALSE)-50),"-",(VLOOKUP($A373,'SegEnds_NonXtal_BW#'!$A:$Z,19,FALSE)+VLOOKUP($A373,A:AL,28,FALSE)-50))</f>
        <v>364</v>
      </c>
      <c r="AB373" s="3">
        <v>378</v>
      </c>
      <c r="AC373" s="3">
        <f>IF(ISERROR((VLOOKUP($A373,'SegEnds_NonXtal_BW#'!$A:$Z,20,FALSE)+VLOOKUP($A373,A:AL,28,FALSE)-50)),"-",(VLOOKUP($A373,'SegEnds_NonXtal_BW#'!$A:$Z,20,FALSE)+VLOOKUP($A373,A:AL,28,FALSE)-50))</f>
        <v>400</v>
      </c>
      <c r="AD373" s="3">
        <f>IF(ISERROR(VLOOKUP($A373,'SegEnds_NonXtal_BW#'!$A:$Z,21,FALSE)+VLOOKUP($A373,A:AL,31,FALSE)-50),"-",(VLOOKUP($A373,'SegEnds_NonXtal_BW#'!$A:$Z,21,FALSE)+VLOOKUP($A373,A:AL,31,FALSE)-50))</f>
        <v>407</v>
      </c>
      <c r="AE373" s="3">
        <v>433</v>
      </c>
      <c r="AF373" s="3">
        <f>IF(ISERROR((VLOOKUP($A373,'SegEnds_NonXtal_BW#'!$A:$Z,22,FALSE)+VLOOKUP($A373,A:AL,31,FALSE)-50)),"-",(VLOOKUP($A373,'SegEnds_NonXtal_BW#'!$A:$Z,22,FALSE)+VLOOKUP($A373,A:AL,31,FALSE)-50))</f>
        <v>461</v>
      </c>
      <c r="AG373" s="3">
        <f>IF(ISERROR(VLOOKUP($A373,'SegEnds_NonXtal_BW#'!$A:$Z,23,FALSE)+VLOOKUP($A373,A:AL,34,FALSE)-50),"-",(VLOOKUP($A373,'SegEnds_NonXtal_BW#'!$A:$Z,23,FALSE)+VLOOKUP($A373,A:AL,34,FALSE)-50))</f>
        <v>473</v>
      </c>
      <c r="AH373" s="3">
        <v>488</v>
      </c>
      <c r="AI373" s="3">
        <f>IF(ISERROR((VLOOKUP($A373,'SegEnds_NonXtal_BW#'!$A:$Z,24,FALSE)+VLOOKUP($A373,A:AL,34,FALSE)-50)),"-",(VLOOKUP($A373,'SegEnds_NonXtal_BW#'!$A:$Z,24,FALSE)+VLOOKUP($A373,A:AL,34,FALSE)-50))</f>
        <v>495</v>
      </c>
      <c r="AJ373" s="3">
        <f>IF(ISERROR(VLOOKUP($A373,'SegEnds_NonXtal_BW#'!$A:$Z,25,FALSE)+VLOOKUP($A373,A:AL,37,FALSE)-50),"-",(VLOOKUP($A373,'SegEnds_NonXtal_BW#'!$A:$Z,25,FALSE)+VLOOKUP($A373,A:AL,37,FALSE)-50))</f>
        <v>496</v>
      </c>
      <c r="AK373" s="3">
        <v>499</v>
      </c>
      <c r="AL373" s="3">
        <f>IF(ISERROR((VLOOKUP($A373,'SegEnds_NonXtal_BW#'!$A:$Z,26,FALSE)+VLOOKUP($A373,A:AL,37,FALSE)-50)),"-",(VLOOKUP($A373,'SegEnds_NonXtal_BW#'!$A:$Z,26,FALSE)+VLOOKUP($A373,A:AL,37,FALSE)-50))</f>
        <v>511</v>
      </c>
      <c r="AM373" s="28" t="str">
        <f>VLOOKUP(A373,Classification!A:B,2,FALSE)</f>
        <v>F</v>
      </c>
      <c r="AN373" s="28" t="b">
        <f>AND(IF(Y373="-",IF(AA373-W373&gt;3,TRUE,FALSE),TRUE),IF(M373="-",IF(O373-K373&gt;3,TRUE,FALSE),TRUE),C373&lt;E373,OR(E373&lt;F373,F373="-"),OR(F373&lt;H373,F373="-"),OR(H373&lt;I373,H373="-"),I373&lt;K373,OR(K373&lt;L373,L373="-"),OR(L373&lt;N373,L373="-"),OR(N373&lt;O373,N373="-"),O373&lt;Q373,OR(Q373&lt;R373,R373="-"),OR(R373&lt;T373,R373="-"),OR(T373&lt;U373,T373="-"),U373&lt;W373,OR(W373&lt;X373,X373="-"),OR(X373&lt;Z373,X373="-"),OR(Z373&lt;AA373,Z373="-"),AA373&lt;AC373,AC373&lt;AD373,AD373&lt;AF373,AF373&lt;AG373,AG373&lt;AI373,OR(AI373&lt;AJ373,AJ373="-"),OR(AJ373&lt;AL373,AJ373="-"))</f>
        <v>1</v>
      </c>
      <c r="AO373" s="3" t="str">
        <f>IF(ISERROR(MATCH(A373,'SegEnds_Xtal_Prot#'!B:B, 0)), "NoXtal", "Xtal")</f>
        <v>NoXtal</v>
      </c>
      <c r="AP373" s="3">
        <f>IF(ISERROR(F373-E373),"-",F373-E373)</f>
        <v>1</v>
      </c>
      <c r="AQ373" s="3">
        <f>IF(ISERROR(I373-H373),"-",I373-H373)</f>
        <v>1</v>
      </c>
      <c r="AR373" s="3" t="str">
        <f>IF(ISERROR(L373-K373),"-",L373-K373)</f>
        <v>-</v>
      </c>
      <c r="AS373" s="3" t="str">
        <f>IF(ISERROR(O373-N373),"-",O373-N373)</f>
        <v>-</v>
      </c>
      <c r="AT373" s="3" t="str">
        <f>IF(ISERROR(R373-Q373),"-",R373-Q373)</f>
        <v>-</v>
      </c>
      <c r="AU373" s="3" t="str">
        <f>IF(ISERROR(U373-T373),"-",U373-T373)</f>
        <v>-</v>
      </c>
      <c r="AV373" s="3">
        <f>IF(ISERROR(X373-W373),"-",X373-W373)</f>
        <v>12</v>
      </c>
      <c r="AW373" s="3">
        <f>IF(ISERROR(AA373-Z373),"-",AA373-Z373)</f>
        <v>5</v>
      </c>
      <c r="AX373" s="3">
        <f>IF(ISERROR(AD373-AC373),"-",AD373-AC373)</f>
        <v>7</v>
      </c>
      <c r="AY373" s="3">
        <f>IF(ISERROR(AG373-AF373),"-",AG373-AF373)</f>
        <v>12</v>
      </c>
      <c r="AZ373" s="3">
        <f>IF(ISERROR(AJ373-AI373),"-",AJ373-AI373)</f>
        <v>1</v>
      </c>
      <c r="BA373" s="3">
        <f>IF(ISERROR(LEN(VLOOKUP(A373,Seqs!A:E,2,FALSE))-AL373),"-",LEN(VLOOKUP(A373,Seqs!A:E,2,FALSE))-AL373)</f>
        <v>195</v>
      </c>
      <c r="BB373" s="16">
        <f>J373-D373</f>
        <v>26</v>
      </c>
      <c r="BC373" s="9" t="str">
        <f>IF(ISERROR(V373-S373),"-",V373-S373)</f>
        <v>-</v>
      </c>
      <c r="BD373" s="3">
        <f>J373-D373</f>
        <v>26</v>
      </c>
      <c r="BE373" s="3">
        <f>AE373-AB373</f>
        <v>55</v>
      </c>
    </row>
    <row r="374" spans="1:58" s="3" customFormat="1" x14ac:dyDescent="0.2">
      <c r="A374" s="3" t="s">
        <v>453</v>
      </c>
      <c r="B374" s="3" t="str">
        <f>LOWER(VLOOKUP(A374,Xtal_Templ!A:B,2,FALSE))</f>
        <v>smo_human</v>
      </c>
      <c r="C374" s="3">
        <f>VLOOKUP($A374,'SegEnds_NonXtal_BW#'!$A:$Z,3,FALSE)+D374-50</f>
        <v>247</v>
      </c>
      <c r="D374" s="3">
        <v>268</v>
      </c>
      <c r="E374" s="3">
        <f>IF(ISERROR(VLOOKUP($A374,'SegEnds_NonXtal_BW#'!$A:$Z,4,FALSE)+VLOOKUP($A374,A:AL,4,FALSE)-50),"-",(VLOOKUP($A374,'SegEnds_NonXtal_BW#'!$A:$Z,4,FALSE)+VLOOKUP($A374,A:AL,4,FALSE)-50))</f>
        <v>278</v>
      </c>
      <c r="F374" s="3">
        <f>G374-3</f>
        <v>279</v>
      </c>
      <c r="G374" s="3">
        <v>282</v>
      </c>
      <c r="H374" s="3">
        <f>G374+1</f>
        <v>283</v>
      </c>
      <c r="I374" s="3">
        <f>H374+1</f>
        <v>284</v>
      </c>
      <c r="J374" s="3">
        <v>294</v>
      </c>
      <c r="K374" s="3">
        <f>VLOOKUP($A374,'SegEnds_NonXtal_BW#'!$A:$Z,8,FALSE)+VLOOKUP($A374,A:AL,10,FALSE)-50</f>
        <v>307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334</v>
      </c>
      <c r="P374" s="3">
        <v>361</v>
      </c>
      <c r="Q374" s="3">
        <f>VLOOKUP($A374,'SegEnds_NonXtal_BW#'!$A:$Z,12,FALSE)+VLOOKUP($A374,A:AL,16,FALSE)-50</f>
        <v>370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374</v>
      </c>
      <c r="V374" s="3">
        <v>386</v>
      </c>
      <c r="W374" s="3">
        <f>IF(ISERROR(VLOOKUP($A374,'SegEnds_NonXtal_BW#'!$A:$Z,16,FALSE)+VLOOKUP($A374,A:AL,22,FALSE)-50),"-",(VLOOKUP($A374,'SegEnds_NonXtal_BW#'!$A:$Z,16,FALSE)+VLOOKUP($A374,A:AL,22,FALSE)-50))</f>
        <v>399</v>
      </c>
      <c r="X374" s="3">
        <f>IF(ISERROR(VLOOKUP($A374,'SegEnds_NonXtal_BW#'!$A:$Z,17,FALSE)+VLOOKUP($A374,A:AL,25,FALSE)-50),"-",(VLOOKUP($A374,'SegEnds_NonXtal_BW#'!$A:$Z,17,FALSE)+VLOOKUP($A374,A:AL,25,FALSE)-50))</f>
        <v>411</v>
      </c>
      <c r="Y374" s="3">
        <v>411</v>
      </c>
      <c r="Z374" s="3">
        <f>Y374+2</f>
        <v>413</v>
      </c>
      <c r="AA374" s="3">
        <f>IF(ISERROR(VLOOKUP($A374,'SegEnds_NonXtal_BW#'!$A:$Z,19,FALSE)+VLOOKUP($A374,A:AL,28,FALSE)-50),"-",(VLOOKUP($A374,'SegEnds_NonXtal_BW#'!$A:$Z,19,FALSE)+VLOOKUP($A374,A:AL,28,FALSE)-50))</f>
        <v>418</v>
      </c>
      <c r="AB374" s="3">
        <v>432</v>
      </c>
      <c r="AC374" s="3">
        <f>IF(ISERROR((VLOOKUP($A374,'SegEnds_NonXtal_BW#'!$A:$Z,20,FALSE)+VLOOKUP($A374,A:AL,28,FALSE)-50)),"-",(VLOOKUP($A374,'SegEnds_NonXtal_BW#'!$A:$Z,20,FALSE)+VLOOKUP($A374,A:AL,28,FALSE)-50))</f>
        <v>454</v>
      </c>
      <c r="AD374" s="3">
        <f>IF(ISERROR(VLOOKUP($A374,'SegEnds_NonXtal_BW#'!$A:$Z,21,FALSE)+VLOOKUP($A374,A:AL,31,FALSE)-50),"-",(VLOOKUP($A374,'SegEnds_NonXtal_BW#'!$A:$Z,21,FALSE)+VLOOKUP($A374,A:AL,31,FALSE)-50))</f>
        <v>461</v>
      </c>
      <c r="AE374" s="3">
        <v>487</v>
      </c>
      <c r="AF374" s="3">
        <f>IF(ISERROR((VLOOKUP($A374,'SegEnds_NonXtal_BW#'!$A:$Z,22,FALSE)+VLOOKUP($A374,A:AL,31,FALSE)-50)),"-",(VLOOKUP($A374,'SegEnds_NonXtal_BW#'!$A:$Z,22,FALSE)+VLOOKUP($A374,A:AL,31,FALSE)-50))</f>
        <v>515</v>
      </c>
      <c r="AG374" s="3">
        <f>IF(ISERROR(VLOOKUP($A374,'SegEnds_NonXtal_BW#'!$A:$Z,23,FALSE)+VLOOKUP($A374,A:AL,34,FALSE)-50),"-",(VLOOKUP($A374,'SegEnds_NonXtal_BW#'!$A:$Z,23,FALSE)+VLOOKUP($A374,A:AL,34,FALSE)-50))</f>
        <v>527</v>
      </c>
      <c r="AH374" s="3">
        <v>542</v>
      </c>
      <c r="AI374" s="3">
        <f>IF(ISERROR((VLOOKUP($A374,'SegEnds_NonXtal_BW#'!$A:$Z,24,FALSE)+VLOOKUP($A374,A:AL,34,FALSE)-50)),"-",(VLOOKUP($A374,'SegEnds_NonXtal_BW#'!$A:$Z,24,FALSE)+VLOOKUP($A374,A:AL,34,FALSE)-50))</f>
        <v>549</v>
      </c>
      <c r="AJ374" s="3">
        <f>IF(ISERROR(VLOOKUP($A374,'SegEnds_NonXtal_BW#'!$A:$Z,25,FALSE)+VLOOKUP($A374,A:AL,37,FALSE)-50),"-",(VLOOKUP($A374,'SegEnds_NonXtal_BW#'!$A:$Z,25,FALSE)+VLOOKUP($A374,A:AL,37,FALSE)-50))</f>
        <v>550</v>
      </c>
      <c r="AK374" s="3">
        <v>553</v>
      </c>
      <c r="AL374" s="3">
        <f>IF(ISERROR((VLOOKUP($A374,'SegEnds_NonXtal_BW#'!$A:$Z,26,FALSE)+VLOOKUP($A374,A:AL,37,FALSE)-50)),"-",(VLOOKUP($A374,'SegEnds_NonXtal_BW#'!$A:$Z,26,FALSE)+VLOOKUP($A374,A:AL,37,FALSE)-50))</f>
        <v>565</v>
      </c>
      <c r="AM374" s="28" t="str">
        <f>VLOOKUP(A374,Classification!A:B,2,FALSE)</f>
        <v>F</v>
      </c>
      <c r="AN374" s="28" t="b">
        <f>AND(IF(Y374="-",IF(AA374-W374&gt;3,TRUE,FALSE),TRUE),IF(M374="-",IF(O374-K374&gt;3,TRUE,FALSE),TRUE),C374&lt;E374,OR(E374&lt;F374,F374="-"),OR(F374&lt;H374,F374="-"),OR(H374&lt;I374,H374="-"),I374&lt;K374,OR(K374&lt;L374,L374="-"),OR(L374&lt;N374,L374="-"),OR(N374&lt;O374,N374="-"),O374&lt;Q374,OR(Q374&lt;R374,R374="-"),OR(R374&lt;T374,R374="-"),OR(T374&lt;U374,T374="-"),U374&lt;W374,OR(W374&lt;X374,X374="-"),OR(X374&lt;Z374,X374="-"),OR(Z374&lt;AA374,Z374="-"),AA374&lt;AC374,AC374&lt;AD374,AD374&lt;AF374,AF374&lt;AG374,AG374&lt;AI374,OR(AI374&lt;AJ374,AJ374="-"),OR(AJ374&lt;AL374,AJ374="-"))</f>
        <v>1</v>
      </c>
      <c r="AO374" s="3" t="str">
        <f>IF(ISERROR(MATCH(A374,'SegEnds_Xtal_Prot#'!B:B, 0)), "NoXtal", "Xtal")</f>
        <v>NoXtal</v>
      </c>
      <c r="AP374" s="3">
        <f>IF(ISERROR(F374-E374),"-",F374-E374)</f>
        <v>1</v>
      </c>
      <c r="AQ374" s="3">
        <f>IF(ISERROR(I374-H374),"-",I374-H374)</f>
        <v>1</v>
      </c>
      <c r="AR374" s="3" t="str">
        <f>IF(ISERROR(L374-K374),"-",L374-K374)</f>
        <v>-</v>
      </c>
      <c r="AS374" s="3" t="str">
        <f>IF(ISERROR(O374-N374),"-",O374-N374)</f>
        <v>-</v>
      </c>
      <c r="AT374" s="3" t="str">
        <f>IF(ISERROR(R374-Q374),"-",R374-Q374)</f>
        <v>-</v>
      </c>
      <c r="AU374" s="3" t="str">
        <f>IF(ISERROR(U374-T374),"-",U374-T374)</f>
        <v>-</v>
      </c>
      <c r="AV374" s="3">
        <f>IF(ISERROR(X374-W374),"-",X374-W374)</f>
        <v>12</v>
      </c>
      <c r="AW374" s="3">
        <f>IF(ISERROR(AA374-Z374),"-",AA374-Z374)</f>
        <v>5</v>
      </c>
      <c r="AX374" s="3">
        <f>IF(ISERROR(AD374-AC374),"-",AD374-AC374)</f>
        <v>7</v>
      </c>
      <c r="AY374" s="3">
        <f>IF(ISERROR(AG374-AF374),"-",AG374-AF374)</f>
        <v>12</v>
      </c>
      <c r="AZ374" s="3">
        <f>IF(ISERROR(AJ374-AI374),"-",AJ374-AI374)</f>
        <v>1</v>
      </c>
      <c r="BA374" s="3">
        <f>IF(ISERROR(LEN(VLOOKUP(A374,Seqs!A:E,2,FALSE))-AL374),"-",LEN(VLOOKUP(A374,Seqs!A:E,2,FALSE))-AL374)</f>
        <v>9</v>
      </c>
      <c r="BB374" s="16">
        <f>J374-D374</f>
        <v>26</v>
      </c>
      <c r="BC374" s="9" t="str">
        <f>IF(ISERROR(V374-S374),"-",V374-S374)</f>
        <v>-</v>
      </c>
      <c r="BD374" s="3">
        <f>J374-D374</f>
        <v>26</v>
      </c>
      <c r="BE374" s="3">
        <f>AE374-AB374</f>
        <v>55</v>
      </c>
      <c r="BF374" s="3">
        <f>AH374-AE374</f>
        <v>55</v>
      </c>
    </row>
    <row r="375" spans="1:58" s="3" customFormat="1" x14ac:dyDescent="0.2">
      <c r="A375" s="3" t="s">
        <v>454</v>
      </c>
      <c r="B375" s="3" t="str">
        <f>LOWER(VLOOKUP(A375,Xtal_Templ!A:B,2,FALSE))</f>
        <v>smo_human</v>
      </c>
      <c r="C375" s="3">
        <f>VLOOKUP($A375,'SegEnds_NonXtal_BW#'!$A:$Z,3,FALSE)+D375-50</f>
        <v>271</v>
      </c>
      <c r="D375" s="3">
        <v>292</v>
      </c>
      <c r="E375" s="3">
        <f>IF(ISERROR(VLOOKUP($A375,'SegEnds_NonXtal_BW#'!$A:$Z,4,FALSE)+VLOOKUP($A375,A:AL,4,FALSE)-50),"-",(VLOOKUP($A375,'SegEnds_NonXtal_BW#'!$A:$Z,4,FALSE)+VLOOKUP($A375,A:AL,4,FALSE)-50))</f>
        <v>302</v>
      </c>
      <c r="F375" s="3">
        <f>G375-3</f>
        <v>303</v>
      </c>
      <c r="G375" s="3">
        <v>306</v>
      </c>
      <c r="H375" s="3">
        <f>G375+1</f>
        <v>307</v>
      </c>
      <c r="I375" s="3">
        <f>H375+1</f>
        <v>308</v>
      </c>
      <c r="J375" s="3">
        <v>318</v>
      </c>
      <c r="K375" s="3">
        <f>VLOOKUP($A375,'SegEnds_NonXtal_BW#'!$A:$Z,8,FALSE)+VLOOKUP($A375,A:AL,10,FALSE)-50</f>
        <v>331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394</v>
      </c>
      <c r="P375" s="3">
        <v>421</v>
      </c>
      <c r="Q375" s="3">
        <f>VLOOKUP($A375,'SegEnds_NonXtal_BW#'!$A:$Z,12,FALSE)+VLOOKUP($A375,A:AL,16,FALSE)-50</f>
        <v>430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434</v>
      </c>
      <c r="V375" s="3">
        <v>446</v>
      </c>
      <c r="W375" s="3">
        <f>IF(ISERROR(VLOOKUP($A375,'SegEnds_NonXtal_BW#'!$A:$Z,16,FALSE)+VLOOKUP($A375,A:AL,22,FALSE)-50),"-",(VLOOKUP($A375,'SegEnds_NonXtal_BW#'!$A:$Z,16,FALSE)+VLOOKUP($A375,A:AL,22,FALSE)-50))</f>
        <v>459</v>
      </c>
      <c r="X375" s="3">
        <f>IF(ISERROR(VLOOKUP($A375,'SegEnds_NonXtal_BW#'!$A:$Z,17,FALSE)+VLOOKUP($A375,A:AL,25,FALSE)-50),"-",(VLOOKUP($A375,'SegEnds_NonXtal_BW#'!$A:$Z,17,FALSE)+VLOOKUP($A375,A:AL,25,FALSE)-50))</f>
        <v>471</v>
      </c>
      <c r="Y375" s="3">
        <v>471</v>
      </c>
      <c r="Z375" s="3">
        <f>Y375+2</f>
        <v>473</v>
      </c>
      <c r="AA375" s="3">
        <f>IF(ISERROR(VLOOKUP($A375,'SegEnds_NonXtal_BW#'!$A:$Z,19,FALSE)+VLOOKUP($A375,A:AL,28,FALSE)-50),"-",(VLOOKUP($A375,'SegEnds_NonXtal_BW#'!$A:$Z,19,FALSE)+VLOOKUP($A375,A:AL,28,FALSE)-50))</f>
        <v>478</v>
      </c>
      <c r="AB375" s="3">
        <v>492</v>
      </c>
      <c r="AC375" s="3">
        <f>IF(ISERROR((VLOOKUP($A375,'SegEnds_NonXtal_BW#'!$A:$Z,20,FALSE)+VLOOKUP($A375,A:AL,28,FALSE)-50)),"-",(VLOOKUP($A375,'SegEnds_NonXtal_BW#'!$A:$Z,20,FALSE)+VLOOKUP($A375,A:AL,28,FALSE)-50))</f>
        <v>514</v>
      </c>
      <c r="AD375" s="3">
        <f>IF(ISERROR(VLOOKUP($A375,'SegEnds_NonXtal_BW#'!$A:$Z,21,FALSE)+VLOOKUP($A375,A:AL,31,FALSE)-50),"-",(VLOOKUP($A375,'SegEnds_NonXtal_BW#'!$A:$Z,21,FALSE)+VLOOKUP($A375,A:AL,31,FALSE)-50))</f>
        <v>523</v>
      </c>
      <c r="AE375" s="3">
        <v>549</v>
      </c>
      <c r="AF375" s="3">
        <f>IF(ISERROR((VLOOKUP($A375,'SegEnds_NonXtal_BW#'!$A:$Z,22,FALSE)+VLOOKUP($A375,A:AL,31,FALSE)-50)),"-",(VLOOKUP($A375,'SegEnds_NonXtal_BW#'!$A:$Z,22,FALSE)+VLOOKUP($A375,A:AL,31,FALSE)-50))</f>
        <v>577</v>
      </c>
      <c r="AG375" s="3">
        <f>IF(ISERROR(VLOOKUP($A375,'SegEnds_NonXtal_BW#'!$A:$Z,23,FALSE)+VLOOKUP($A375,A:AL,34,FALSE)-50),"-",(VLOOKUP($A375,'SegEnds_NonXtal_BW#'!$A:$Z,23,FALSE)+VLOOKUP($A375,A:AL,34,FALSE)-50))</f>
        <v>583</v>
      </c>
      <c r="AH375" s="3">
        <v>598</v>
      </c>
      <c r="AI375" s="3">
        <f>IF(ISERROR((VLOOKUP($A375,'SegEnds_NonXtal_BW#'!$A:$Z,24,FALSE)+VLOOKUP($A375,A:AL,34,FALSE)-50)),"-",(VLOOKUP($A375,'SegEnds_NonXtal_BW#'!$A:$Z,24,FALSE)+VLOOKUP($A375,A:AL,34,FALSE)-50))</f>
        <v>605</v>
      </c>
      <c r="AJ375" s="3">
        <f>IF(ISERROR(VLOOKUP($A375,'SegEnds_NonXtal_BW#'!$A:$Z,25,FALSE)+VLOOKUP($A375,A:AL,37,FALSE)-50),"-",(VLOOKUP($A375,'SegEnds_NonXtal_BW#'!$A:$Z,25,FALSE)+VLOOKUP($A375,A:AL,37,FALSE)-50))</f>
        <v>606</v>
      </c>
      <c r="AK375" s="3">
        <v>609</v>
      </c>
      <c r="AL375" s="3">
        <f>IF(ISERROR((VLOOKUP($A375,'SegEnds_NonXtal_BW#'!$A:$Z,26,FALSE)+VLOOKUP($A375,A:AL,37,FALSE)-50)),"-",(VLOOKUP($A375,'SegEnds_NonXtal_BW#'!$A:$Z,26,FALSE)+VLOOKUP($A375,A:AL,37,FALSE)-50))</f>
        <v>621</v>
      </c>
      <c r="AM375" s="28" t="str">
        <f>VLOOKUP(A375,Classification!A:B,2,FALSE)</f>
        <v>F</v>
      </c>
      <c r="AN375" s="28" t="b">
        <f>AND(IF(Y375="-",IF(AA375-W375&gt;3,TRUE,FALSE),TRUE),IF(M375="-",IF(O375-K375&gt;3,TRUE,FALSE),TRUE),C375&lt;E375,OR(E375&lt;F375,F375="-"),OR(F375&lt;H375,F375="-"),OR(H375&lt;I375,H375="-"),I375&lt;K375,OR(K375&lt;L375,L375="-"),OR(L375&lt;N375,L375="-"),OR(N375&lt;O375,N375="-"),O375&lt;Q375,OR(Q375&lt;R375,R375="-"),OR(R375&lt;T375,R375="-"),OR(T375&lt;U375,T375="-"),U375&lt;W375,OR(W375&lt;X375,X375="-"),OR(X375&lt;Z375,X375="-"),OR(Z375&lt;AA375,Z375="-"),AA375&lt;AC375,AC375&lt;AD375,AD375&lt;AF375,AF375&lt;AG375,AG375&lt;AI375,OR(AI375&lt;AJ375,AJ375="-"),OR(AJ375&lt;AL375,AJ375="-"))</f>
        <v>1</v>
      </c>
      <c r="AO375" s="3" t="str">
        <f>IF(ISERROR(MATCH(A375,'SegEnds_Xtal_Prot#'!B:B, 0)), "NoXtal", "Xtal")</f>
        <v>NoXtal</v>
      </c>
      <c r="AP375" s="3">
        <f>IF(ISERROR(F375-E375),"-",F375-E375)</f>
        <v>1</v>
      </c>
      <c r="AQ375" s="3">
        <f>IF(ISERROR(I375-H375),"-",I375-H375)</f>
        <v>1</v>
      </c>
      <c r="AR375" s="3" t="str">
        <f>IF(ISERROR(L375-K375),"-",L375-K375)</f>
        <v>-</v>
      </c>
      <c r="AS375" s="3" t="str">
        <f>IF(ISERROR(O375-N375),"-",O375-N375)</f>
        <v>-</v>
      </c>
      <c r="AT375" s="3" t="str">
        <f>IF(ISERROR(R375-Q375),"-",R375-Q375)</f>
        <v>-</v>
      </c>
      <c r="AU375" s="3" t="str">
        <f>IF(ISERROR(U375-T375),"-",U375-T375)</f>
        <v>-</v>
      </c>
      <c r="AV375" s="3">
        <f>IF(ISERROR(X375-W375),"-",X375-W375)</f>
        <v>12</v>
      </c>
      <c r="AW375" s="3">
        <f>IF(ISERROR(AA375-Z375),"-",AA375-Z375)</f>
        <v>5</v>
      </c>
      <c r="AX375" s="3">
        <f>IF(ISERROR(AD375-AC375),"-",AD375-AC375)</f>
        <v>9</v>
      </c>
      <c r="AY375" s="3">
        <f>IF(ISERROR(AG375-AF375),"-",AG375-AF375)</f>
        <v>6</v>
      </c>
      <c r="AZ375" s="3">
        <f>IF(ISERROR(AJ375-AI375),"-",AJ375-AI375)</f>
        <v>1</v>
      </c>
      <c r="BA375" s="3">
        <f>IF(ISERROR(LEN(VLOOKUP(A375,Seqs!A:E,2,FALSE))-AL375),"-",LEN(VLOOKUP(A375,Seqs!A:E,2,FALSE))-AL375)</f>
        <v>73</v>
      </c>
      <c r="BB375" s="16">
        <f>J375-D375</f>
        <v>26</v>
      </c>
      <c r="BC375" s="9" t="str">
        <f>IF(ISERROR(V375-S375),"-",V375-S375)</f>
        <v>-</v>
      </c>
      <c r="BD375" s="3">
        <f>J375-D375</f>
        <v>26</v>
      </c>
      <c r="BE375" s="3">
        <f>AE375-AB375</f>
        <v>57</v>
      </c>
    </row>
    <row r="376" spans="1:58" s="3" customFormat="1" x14ac:dyDescent="0.2">
      <c r="A376" s="3" t="s">
        <v>455</v>
      </c>
      <c r="B376" s="3" t="str">
        <f>LOWER(VLOOKUP(A376,Xtal_Templ!A:B,2,FALSE))</f>
        <v>smo_human</v>
      </c>
      <c r="C376" s="3">
        <f>VLOOKUP($A376,'SegEnds_NonXtal_BW#'!$A:$Z,3,FALSE)+D376-50</f>
        <v>225</v>
      </c>
      <c r="D376" s="3">
        <v>246</v>
      </c>
      <c r="E376" s="3">
        <f>IF(ISERROR(VLOOKUP($A376,'SegEnds_NonXtal_BW#'!$A:$Z,4,FALSE)+VLOOKUP($A376,A:AL,4,FALSE)-50),"-",(VLOOKUP($A376,'SegEnds_NonXtal_BW#'!$A:$Z,4,FALSE)+VLOOKUP($A376,A:AL,4,FALSE)-50))</f>
        <v>256</v>
      </c>
      <c r="F376" s="3">
        <f>G376-3</f>
        <v>257</v>
      </c>
      <c r="G376" s="3">
        <v>260</v>
      </c>
      <c r="H376" s="3">
        <f>G376+1</f>
        <v>261</v>
      </c>
      <c r="I376" s="3">
        <f>H376+1</f>
        <v>262</v>
      </c>
      <c r="J376" s="3">
        <v>272</v>
      </c>
      <c r="K376" s="3">
        <f>VLOOKUP($A376,'SegEnds_NonXtal_BW#'!$A:$Z,8,FALSE)+VLOOKUP($A376,A:AL,10,FALSE)-50</f>
        <v>285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311</v>
      </c>
      <c r="P376" s="3">
        <v>338</v>
      </c>
      <c r="Q376" s="3">
        <f>VLOOKUP($A376,'SegEnds_NonXtal_BW#'!$A:$Z,12,FALSE)+VLOOKUP($A376,A:AL,16,FALSE)-50</f>
        <v>347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351</v>
      </c>
      <c r="V376" s="3">
        <v>363</v>
      </c>
      <c r="W376" s="3">
        <f>IF(ISERROR(VLOOKUP($A376,'SegEnds_NonXtal_BW#'!$A:$Z,16,FALSE)+VLOOKUP($A376,A:AL,22,FALSE)-50),"-",(VLOOKUP($A376,'SegEnds_NonXtal_BW#'!$A:$Z,16,FALSE)+VLOOKUP($A376,A:AL,22,FALSE)-50))</f>
        <v>376</v>
      </c>
      <c r="X376" s="3">
        <f>IF(ISERROR(VLOOKUP($A376,'SegEnds_NonXtal_BW#'!$A:$Z,17,FALSE)+VLOOKUP($A376,A:AL,25,FALSE)-50),"-",(VLOOKUP($A376,'SegEnds_NonXtal_BW#'!$A:$Z,17,FALSE)+VLOOKUP($A376,A:AL,25,FALSE)-50))</f>
        <v>388</v>
      </c>
      <c r="Y376" s="3">
        <v>388</v>
      </c>
      <c r="Z376" s="3">
        <f>Y376+2</f>
        <v>390</v>
      </c>
      <c r="AA376" s="3">
        <f>IF(ISERROR(VLOOKUP($A376,'SegEnds_NonXtal_BW#'!$A:$Z,19,FALSE)+VLOOKUP($A376,A:AL,28,FALSE)-50),"-",(VLOOKUP($A376,'SegEnds_NonXtal_BW#'!$A:$Z,19,FALSE)+VLOOKUP($A376,A:AL,28,FALSE)-50))</f>
        <v>395</v>
      </c>
      <c r="AB376" s="3">
        <v>409</v>
      </c>
      <c r="AC376" s="3">
        <f>IF(ISERROR((VLOOKUP($A376,'SegEnds_NonXtal_BW#'!$A:$Z,20,FALSE)+VLOOKUP($A376,A:AL,28,FALSE)-50)),"-",(VLOOKUP($A376,'SegEnds_NonXtal_BW#'!$A:$Z,20,FALSE)+VLOOKUP($A376,A:AL,28,FALSE)-50))</f>
        <v>431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3">
        <v>464</v>
      </c>
      <c r="AF376" s="3">
        <f>IF(ISERROR((VLOOKUP($A376,'SegEnds_NonXtal_BW#'!$A:$Z,22,FALSE)+VLOOKUP($A376,A:AL,31,FALSE)-50)),"-",(VLOOKUP($A376,'SegEnds_NonXtal_BW#'!$A:$Z,22,FALSE)+VLOOKUP($A376,A:AL,31,FALSE)-50))</f>
        <v>492</v>
      </c>
      <c r="AG376" s="3">
        <f>IF(ISERROR(VLOOKUP($A376,'SegEnds_NonXtal_BW#'!$A:$Z,23,FALSE)+VLOOKUP($A376,A:AL,34,FALSE)-50),"-",(VLOOKUP($A376,'SegEnds_NonXtal_BW#'!$A:$Z,23,FALSE)+VLOOKUP($A376,A:AL,34,FALSE)-50))</f>
        <v>507</v>
      </c>
      <c r="AH376" s="3">
        <v>522</v>
      </c>
      <c r="AI376" s="3">
        <f>IF(ISERROR((VLOOKUP($A376,'SegEnds_NonXtal_BW#'!$A:$Z,24,FALSE)+VLOOKUP($A376,A:AL,34,FALSE)-50)),"-",(VLOOKUP($A376,'SegEnds_NonXtal_BW#'!$A:$Z,24,FALSE)+VLOOKUP($A376,A:AL,34,FALSE)-50))</f>
        <v>529</v>
      </c>
      <c r="AJ376" s="3">
        <f>IF(ISERROR(VLOOKUP($A376,'SegEnds_NonXtal_BW#'!$A:$Z,25,FALSE)+VLOOKUP($A376,A:AL,37,FALSE)-50),"-",(VLOOKUP($A376,'SegEnds_NonXtal_BW#'!$A:$Z,25,FALSE)+VLOOKUP($A376,A:AL,37,FALSE)-50))</f>
        <v>530</v>
      </c>
      <c r="AK376" s="3">
        <v>533</v>
      </c>
      <c r="AL376" s="3">
        <f>IF(ISERROR((VLOOKUP($A376,'SegEnds_NonXtal_BW#'!$A:$Z,26,FALSE)+VLOOKUP($A376,A:AL,37,FALSE)-50)),"-",(VLOOKUP($A376,'SegEnds_NonXtal_BW#'!$A:$Z,26,FALSE)+VLOOKUP($A376,A:AL,37,FALSE)-50))</f>
        <v>545</v>
      </c>
      <c r="AM376" s="28" t="str">
        <f>VLOOKUP(A376,Classification!A:B,2,FALSE)</f>
        <v>F</v>
      </c>
      <c r="AN376" s="28" t="b">
        <f>AND(IF(Y376="-",IF(AA376-W376&gt;3,TRUE,FALSE),TRUE),IF(M376="-",IF(O376-K376&gt;3,TRUE,FALSE),TRUE),C376&lt;E376,OR(E376&lt;F376,F376="-"),OR(F376&lt;H376,F376="-"),OR(H376&lt;I376,H376="-"),I376&lt;K376,OR(K376&lt;L376,L376="-"),OR(L376&lt;N376,L376="-"),OR(N376&lt;O376,N376="-"),O376&lt;Q376,OR(Q376&lt;R376,R376="-"),OR(R376&lt;T376,R376="-"),OR(T376&lt;U376,T376="-"),U376&lt;W376,OR(W376&lt;X376,X376="-"),OR(X376&lt;Z376,X376="-"),OR(Z376&lt;AA376,Z376="-"),AA376&lt;AC376,AC376&lt;AD376,AD376&lt;AF376,AF376&lt;AG376,AG376&lt;AI376,OR(AI376&lt;AJ376,AJ376="-"),OR(AJ376&lt;AL376,AJ376="-"))</f>
        <v>1</v>
      </c>
      <c r="AO376" s="3" t="str">
        <f>IF(ISERROR(MATCH(A376,'SegEnds_Xtal_Prot#'!B:B, 0)), "NoXtal", "Xtal")</f>
        <v>NoXtal</v>
      </c>
      <c r="AP376" s="3">
        <f>IF(ISERROR(F376-E376),"-",F376-E376)</f>
        <v>1</v>
      </c>
      <c r="AQ376" s="3">
        <f>IF(ISERROR(I376-H376),"-",I376-H376)</f>
        <v>1</v>
      </c>
      <c r="AR376" s="3" t="str">
        <f>IF(ISERROR(L376-K376),"-",L376-K376)</f>
        <v>-</v>
      </c>
      <c r="AS376" s="3" t="str">
        <f>IF(ISERROR(O376-N376),"-",O376-N376)</f>
        <v>-</v>
      </c>
      <c r="AT376" s="3" t="str">
        <f>IF(ISERROR(R376-Q376),"-",R376-Q376)</f>
        <v>-</v>
      </c>
      <c r="AU376" s="3" t="str">
        <f>IF(ISERROR(U376-T376),"-",U376-T376)</f>
        <v>-</v>
      </c>
      <c r="AV376" s="3">
        <f>IF(ISERROR(X376-W376),"-",X376-W376)</f>
        <v>12</v>
      </c>
      <c r="AW376" s="3">
        <f>IF(ISERROR(AA376-Z376),"-",AA376-Z376)</f>
        <v>5</v>
      </c>
      <c r="AX376" s="3">
        <f>IF(ISERROR(AD376-AC376),"-",AD376-AC376)</f>
        <v>7</v>
      </c>
      <c r="AY376" s="3">
        <f>IF(ISERROR(AG376-AF376),"-",AG376-AF376)</f>
        <v>15</v>
      </c>
      <c r="AZ376" s="3">
        <f>IF(ISERROR(AJ376-AI376),"-",AJ376-AI376)</f>
        <v>1</v>
      </c>
      <c r="BA376" s="3">
        <f>IF(ISERROR(LEN(VLOOKUP(A376,Seqs!A:E,2,FALSE))-AL376),"-",LEN(VLOOKUP(A376,Seqs!A:E,2,FALSE))-AL376)</f>
        <v>46</v>
      </c>
      <c r="BB376" s="16">
        <f>J376-D376</f>
        <v>26</v>
      </c>
      <c r="BC376" s="9" t="str">
        <f>IF(ISERROR(V376-S376),"-",V376-S376)</f>
        <v>-</v>
      </c>
      <c r="BD376" s="3">
        <f>J376-D376</f>
        <v>26</v>
      </c>
      <c r="BE376" s="3">
        <f>AE376-AB376</f>
        <v>55</v>
      </c>
    </row>
    <row r="377" spans="1:58" s="3" customFormat="1" x14ac:dyDescent="0.2">
      <c r="A377" s="3" t="s">
        <v>33</v>
      </c>
      <c r="B377" s="3" t="str">
        <f>LOWER(VLOOKUP(A377,Xtal_Templ!A:B,2,FALSE))</f>
        <v>smo_human</v>
      </c>
      <c r="C377" s="3">
        <f>VLOOKUP($A377,'SegEnds_NonXtal_BW#'!$A:$Z,3,FALSE)+D377-50</f>
        <v>224</v>
      </c>
      <c r="D377" s="3">
        <v>245</v>
      </c>
      <c r="E377" s="3">
        <f>IF(ISERROR(VLOOKUP($A377,'SegEnds_NonXtal_BW#'!$A:$Z,4,FALSE)+VLOOKUP($A377,A:AL,4,FALSE)-50),"-",(VLOOKUP($A377,'SegEnds_NonXtal_BW#'!$A:$Z,4,FALSE)+VLOOKUP($A377,A:AL,4,FALSE)-50))</f>
        <v>255</v>
      </c>
      <c r="F377" s="3">
        <f>G377-3</f>
        <v>256</v>
      </c>
      <c r="G377" s="3">
        <v>259</v>
      </c>
      <c r="H377" s="3">
        <f>G377+1</f>
        <v>260</v>
      </c>
      <c r="I377" s="3">
        <f>H377+1</f>
        <v>261</v>
      </c>
      <c r="J377" s="3">
        <v>272</v>
      </c>
      <c r="K377" s="3">
        <f>VLOOKUP($A377,'SegEnds_NonXtal_BW#'!$A:$Z,8,FALSE)+VLOOKUP($A377,A:AL,10,FALSE)-50</f>
        <v>285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312</v>
      </c>
      <c r="P377" s="3">
        <v>339</v>
      </c>
      <c r="Q377" s="3">
        <f>VLOOKUP($A377,'SegEnds_NonXtal_BW#'!$A:$Z,12,FALSE)+VLOOKUP($A377,A:AL,16,FALSE)-50</f>
        <v>348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353</v>
      </c>
      <c r="V377" s="3">
        <v>365</v>
      </c>
      <c r="W377" s="3">
        <f>IF(ISERROR(VLOOKUP($A377,'SegEnds_NonXtal_BW#'!$A:$Z,16,FALSE)+VLOOKUP($A377,A:AL,22,FALSE)-50),"-",(VLOOKUP($A377,'SegEnds_NonXtal_BW#'!$A:$Z,16,FALSE)+VLOOKUP($A377,A:AL,22,FALSE)-50))</f>
        <v>378</v>
      </c>
      <c r="X377" s="3">
        <f>IF(ISERROR(VLOOKUP($A377,'SegEnds_NonXtal_BW#'!$A:$Z,17,FALSE)+VLOOKUP($A377,A:AL,25,FALSE)-50),"-",(VLOOKUP($A377,'SegEnds_NonXtal_BW#'!$A:$Z,17,FALSE)+VLOOKUP($A377,A:AL,25,FALSE)-50))</f>
        <v>390</v>
      </c>
      <c r="Y377" s="3">
        <v>390</v>
      </c>
      <c r="Z377" s="3">
        <f>Y377+2</f>
        <v>392</v>
      </c>
      <c r="AA377" s="3">
        <f>IF(ISERROR(VLOOKUP($A377,'SegEnds_NonXtal_BW#'!$A:$Z,19,FALSE)+VLOOKUP($A377,A:AL,28,FALSE)-50),"-",(VLOOKUP($A377,'SegEnds_NonXtal_BW#'!$A:$Z,19,FALSE)+VLOOKUP($A377,A:AL,28,FALSE)-50))</f>
        <v>397</v>
      </c>
      <c r="AB377" s="3">
        <v>411</v>
      </c>
      <c r="AC377" s="3">
        <f>IF(ISERROR((VLOOKUP($A377,'SegEnds_NonXtal_BW#'!$A:$Z,20,FALSE)+VLOOKUP($A377,A:AL,28,FALSE)-50)),"-",(VLOOKUP($A377,'SegEnds_NonXtal_BW#'!$A:$Z,20,FALSE)+VLOOKUP($A377,A:AL,28,FALSE)-50))</f>
        <v>433</v>
      </c>
      <c r="AD377" s="3">
        <f>IF(ISERROR(VLOOKUP($A377,'SegEnds_NonXtal_BW#'!$A:$Z,21,FALSE)+VLOOKUP($A377,A:AL,31,FALSE)-50),"-",(VLOOKUP($A377,'SegEnds_NonXtal_BW#'!$A:$Z,21,FALSE)+VLOOKUP($A377,A:AL,31,FALSE)-50))</f>
        <v>442</v>
      </c>
      <c r="AE377" s="3">
        <v>468</v>
      </c>
      <c r="AF377" s="3">
        <f>IF(ISERROR((VLOOKUP($A377,'SegEnds_NonXtal_BW#'!$A:$Z,22,FALSE)+VLOOKUP($A377,A:AL,31,FALSE)-50)),"-",(VLOOKUP($A377,'SegEnds_NonXtal_BW#'!$A:$Z,22,FALSE)+VLOOKUP($A377,A:AL,31,FALSE)-50))</f>
        <v>496</v>
      </c>
      <c r="AG377" s="3">
        <f>IF(ISERROR(VLOOKUP($A377,'SegEnds_NonXtal_BW#'!$A:$Z,23,FALSE)+VLOOKUP($A377,A:AL,34,FALSE)-50),"-",(VLOOKUP($A377,'SegEnds_NonXtal_BW#'!$A:$Z,23,FALSE)+VLOOKUP($A377,A:AL,34,FALSE)-50))</f>
        <v>515</v>
      </c>
      <c r="AH377" s="3">
        <v>530</v>
      </c>
      <c r="AI377" s="3">
        <f>IF(ISERROR((VLOOKUP($A377,'SegEnds_NonXtal_BW#'!$A:$Z,24,FALSE)+VLOOKUP($A377,A:AL,34,FALSE)-50)),"-",(VLOOKUP($A377,'SegEnds_NonXtal_BW#'!$A:$Z,24,FALSE)+VLOOKUP($A377,A:AL,34,FALSE)-50))</f>
        <v>537</v>
      </c>
      <c r="AJ377" s="3">
        <f>IF(ISERROR(VLOOKUP($A377,'SegEnds_NonXtal_BW#'!$A:$Z,25,FALSE)+VLOOKUP($A377,A:AL,37,FALSE)-50),"-",(VLOOKUP($A377,'SegEnds_NonXtal_BW#'!$A:$Z,25,FALSE)+VLOOKUP($A377,A:AL,37,FALSE)-50))</f>
        <v>538</v>
      </c>
      <c r="AK377" s="3">
        <v>541</v>
      </c>
      <c r="AL377" s="3">
        <f>IF(ISERROR((VLOOKUP($A377,'SegEnds_NonXtal_BW#'!$A:$Z,26,FALSE)+VLOOKUP($A377,A:AL,37,FALSE)-50)),"-",(VLOOKUP($A377,'SegEnds_NonXtal_BW#'!$A:$Z,26,FALSE)+VLOOKUP($A377,A:AL,37,FALSE)-50))</f>
        <v>553</v>
      </c>
      <c r="AM377" s="28" t="str">
        <f>VLOOKUP(A377,Classification!A:B,2,FALSE)</f>
        <v>F</v>
      </c>
      <c r="AN377" s="28" t="b">
        <f>AND(IF(Y377="-",IF(AA377-W377&gt;3,TRUE,FALSE),TRUE),IF(M377="-",IF(O377-K377&gt;3,TRUE,FALSE),TRUE),C377&lt;E377,OR(E377&lt;F377,F377="-"),OR(F377&lt;H377,F377="-"),OR(H377&lt;I377,H377="-"),I377&lt;K377,OR(K377&lt;L377,L377="-"),OR(L377&lt;N377,L377="-"),OR(N377&lt;O377,N377="-"),O377&lt;Q377,OR(Q377&lt;R377,R377="-"),OR(R377&lt;T377,R377="-"),OR(T377&lt;U377,T377="-"),U377&lt;W377,OR(W377&lt;X377,X377="-"),OR(X377&lt;Z377,X377="-"),OR(Z377&lt;AA377,Z377="-"),AA377&lt;AC377,AC377&lt;AD377,AD377&lt;AF377,AF377&lt;AG377,AG377&lt;AI377,OR(AI377&lt;AJ377,AJ377="-"),OR(AJ377&lt;AL377,AJ377="-"))</f>
        <v>1</v>
      </c>
      <c r="AO377" s="3" t="str">
        <f>IF(ISERROR(MATCH(A377,'SegEnds_Xtal_Prot#'!B:B, 0)), "NoXtal", "Xtal")</f>
        <v>Xtal</v>
      </c>
      <c r="AP377" s="3">
        <f>IF(ISERROR(F377-E377),"-",F377-E377)</f>
        <v>1</v>
      </c>
      <c r="AQ377" s="3">
        <f>IF(ISERROR(I377-H377),"-",I377-H377)</f>
        <v>1</v>
      </c>
      <c r="AR377" s="3" t="str">
        <f>IF(ISERROR(L377-K377),"-",L377-K377)</f>
        <v>-</v>
      </c>
      <c r="AS377" s="3" t="str">
        <f>IF(ISERROR(O377-N377),"-",O377-N377)</f>
        <v>-</v>
      </c>
      <c r="AT377" s="3" t="str">
        <f>IF(ISERROR(R377-Q377),"-",R377-Q377)</f>
        <v>-</v>
      </c>
      <c r="AU377" s="3" t="str">
        <f>IF(ISERROR(U377-T377),"-",U377-T377)</f>
        <v>-</v>
      </c>
      <c r="AV377" s="3">
        <f>IF(ISERROR(X377-W377),"-",X377-W377)</f>
        <v>12</v>
      </c>
      <c r="AW377" s="3">
        <f>IF(ISERROR(AA377-Z377),"-",AA377-Z377)</f>
        <v>5</v>
      </c>
      <c r="AX377" s="3">
        <f>IF(ISERROR(AD377-AC377),"-",AD377-AC377)</f>
        <v>9</v>
      </c>
      <c r="AY377" s="3">
        <f>IF(ISERROR(AG377-AF377),"-",AG377-AF377)</f>
        <v>19</v>
      </c>
      <c r="AZ377" s="3">
        <f>IF(ISERROR(AJ377-AI377),"-",AJ377-AI377)</f>
        <v>1</v>
      </c>
      <c r="BA377" s="3">
        <f>IF(ISERROR(LEN(VLOOKUP(A377,Seqs!A:E,2,FALSE))-AL377),"-",LEN(VLOOKUP(A377,Seqs!A:E,2,FALSE))-AL377)</f>
        <v>234</v>
      </c>
      <c r="BB377" s="16">
        <f>J377-D377</f>
        <v>27</v>
      </c>
      <c r="BC377" s="9" t="str">
        <f>IF(ISERROR(V377-S377),"-",V377-S377)</f>
        <v>-</v>
      </c>
      <c r="BD377" s="3">
        <f>J377-D377</f>
        <v>27</v>
      </c>
      <c r="BE377" s="3">
        <f>AE377-AB377</f>
        <v>57</v>
      </c>
    </row>
    <row r="378" spans="1:58" s="3" customFormat="1" x14ac:dyDescent="0.2">
      <c r="A378" s="3" t="s">
        <v>481</v>
      </c>
      <c r="B378" s="3" t="str">
        <f>LOWER(VLOOKUP(A378,Xtal_Templ!A:B,2,FALSE))</f>
        <v>agtr1_human</v>
      </c>
      <c r="C378" s="3">
        <v>20</v>
      </c>
      <c r="D378" s="3">
        <v>53</v>
      </c>
      <c r="E378" s="3">
        <f>IF(ISERROR(VLOOKUP($A378,'SegEnds_NonXtal_BW#'!$A:$Z,4,FALSE)+VLOOKUP($A378,A:AL,4,FALSE)-50),"-",(VLOOKUP($A378,'SegEnds_NonXtal_BW#'!$A:$Z,4,FALSE)+VLOOKUP($A378,A:AL,4,FALSE)-50))</f>
        <v>63</v>
      </c>
      <c r="F378" s="3" t="str">
        <f>IF(ISERROR(VLOOKUP($A378,'SegEnds_NonXtal_BW#'!$A:$Z,5,FALSE)+VLOOKUP($A378,A:AL,7,FALSE)-50),"-",(VLOOKUP($A378,'SegEnds_NonXtal_BW#'!$A:$Z,5,FALSE)+VLOOKUP($A378,A:AL,7,FALSE)-50))</f>
        <v>-</v>
      </c>
      <c r="G378" s="3" t="s">
        <v>23</v>
      </c>
      <c r="H378" s="3" t="str">
        <f>IF(ISERROR(VLOOKUP($A378,'SegEnds_NonXtal_BW#'!$A:$Z,6,FALSE)+VLOOKUP($A378,A:AL,7,FALSE)-50),"-",(VLOOKUP($A378,'SegEnds_NonXtal_BW#'!$A:$Z,6,FALSE)+VLOOKUP($A378,A:AL,7,FALSE)-50))</f>
        <v>-</v>
      </c>
      <c r="I378" s="3">
        <f>VLOOKUP($A378,'SegEnds_NonXtal_BW#'!$A:$Z,7,FALSE)+J378-50</f>
        <v>60</v>
      </c>
      <c r="J378" s="3">
        <v>71</v>
      </c>
      <c r="K378" s="3">
        <f>VLOOKUP($A378,'SegEnds_NonXtal_BW#'!$A:$Z,8,FALSE)+VLOOKUP($A378,A:AL,10,FALSE)-50</f>
        <v>84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125</v>
      </c>
      <c r="P378" s="3">
        <v>152</v>
      </c>
      <c r="Q378" s="3">
        <f>VLOOKUP($A378,'SegEnds_NonXtal_BW#'!$A:$Z,12,FALSE)+VLOOKUP($A378,A:AL,16,FALSE)-50</f>
        <v>158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175</v>
      </c>
      <c r="V378" s="3">
        <v>185</v>
      </c>
      <c r="W378" s="3">
        <f>IF(ISERROR(VLOOKUP($A378,'SegEnds_NonXtal_BW#'!$A:$Z,16,FALSE)+VLOOKUP($A378,A:AL,22,FALSE)-50),"-",(VLOOKUP($A378,'SegEnds_NonXtal_BW#'!$A:$Z,16,FALSE)+VLOOKUP($A378,A:AL,22,FALSE)-50))</f>
        <v>199</v>
      </c>
      <c r="X378" s="3" t="str">
        <f>IF(ISERROR(VLOOKUP($A378,'SegEnds_NonXtal_BW#'!$A:$Z,17,FALSE)+VLOOKUP($A378,A:AL,25,FALSE)-50),"-",(VLOOKUP($A378,'SegEnds_NonXtal_BW#'!$A:$Z,17,FALSE)+VLOOKUP($A378,A:AL,25,FALSE)-50))</f>
        <v>-</v>
      </c>
      <c r="Y378" s="3" t="s">
        <v>23</v>
      </c>
      <c r="Z378" s="3" t="str">
        <f>IF(ISERROR(VLOOKUP($A378,'SegEnds_NonXtal_BW#'!$A:$Z,18,FALSE)+VLOOKUP($A378,A:AL,25,FALSE)-50),"-",(VLOOKUP($A378,'SegEnds_NonXtal_BW#'!$A:$Z,18,FALSE)+VLOOKUP($A378,A:AL,25,FALSE)-50))</f>
        <v>-</v>
      </c>
      <c r="AA378" s="3">
        <f>IF(ISERROR(VLOOKUP($A378,'SegEnds_NonXtal_BW#'!$A:$Z,19,FALSE)+VLOOKUP($A378,A:AL,28,FALSE)-50),"-",(VLOOKUP($A378,'SegEnds_NonXtal_BW#'!$A:$Z,19,FALSE)+VLOOKUP($A378,A:AL,28,FALSE)-50))</f>
        <v>257</v>
      </c>
      <c r="AB378" s="3">
        <v>268</v>
      </c>
      <c r="AC378" s="3">
        <f>IF(ISERROR((VLOOKUP($A378,'SegEnds_NonXtal_BW#'!$A:$Z,20,FALSE)+VLOOKUP($A378,A:AL,28,FALSE)-50)),"-",(VLOOKUP($A378,'SegEnds_NonXtal_BW#'!$A:$Z,20,FALSE)+VLOOKUP($A378,A:AL,28,FALSE)-50))</f>
        <v>279</v>
      </c>
      <c r="AD378" s="3">
        <f>IF(ISERROR(VLOOKUP($A378,'SegEnds_NonXtal_BW#'!$A:$Z,21,FALSE)+VLOOKUP($A378,A:AL,31,FALSE)-50),"-",(VLOOKUP($A378,'SegEnds_NonXtal_BW#'!$A:$Z,21,FALSE)+VLOOKUP($A378,A:AL,31,FALSE)-50))</f>
        <v>326</v>
      </c>
      <c r="AE378" s="3">
        <v>347</v>
      </c>
      <c r="AF378" s="3">
        <f>IF(ISERROR((VLOOKUP($A378,'SegEnds_NonXtal_BW#'!$A:$Z,22,FALSE)+VLOOKUP($A378,A:AL,31,FALSE)-50)),"-",(VLOOKUP($A378,'SegEnds_NonXtal_BW#'!$A:$Z,22,FALSE)+VLOOKUP($A378,A:AL,31,FALSE)-50))</f>
        <v>350</v>
      </c>
      <c r="AG378" s="3">
        <f>IF(ISERROR(VLOOKUP($A378,'SegEnds_NonXtal_BW#'!$A:$Z,23,FALSE)+VLOOKUP($A378,A:AL,34,FALSE)-50),"-",(VLOOKUP($A378,'SegEnds_NonXtal_BW#'!$A:$Z,23,FALSE)+VLOOKUP($A378,A:AL,34,FALSE)-50))</f>
        <v>365</v>
      </c>
      <c r="AH378" s="3">
        <v>380</v>
      </c>
      <c r="AI378" s="3">
        <f>IF(ISERROR((VLOOKUP($A378,'SegEnds_NonXtal_BW#'!$A:$Z,24,FALSE)+VLOOKUP($A378,A:AL,34,FALSE)-50)),"-",(VLOOKUP($A378,'SegEnds_NonXtal_BW#'!$A:$Z,24,FALSE)+VLOOKUP($A378,A:AL,34,FALSE)-50))</f>
        <v>386</v>
      </c>
      <c r="AJ378" s="3">
        <f>IF(ISERROR(VLOOKUP($A378,'SegEnds_NonXtal_BW#'!$A:$Z,25,FALSE)+VLOOKUP($A378,A:AL,37,FALSE)-50),"-",(VLOOKUP($A378,'SegEnds_NonXtal_BW#'!$A:$Z,25,FALSE)+VLOOKUP($A378,A:AL,37,FALSE)-50))</f>
        <v>387</v>
      </c>
      <c r="AK378" s="3">
        <v>390</v>
      </c>
      <c r="AL378" s="3">
        <f>IF(ISERROR((VLOOKUP($A378,'SegEnds_NonXtal_BW#'!$A:$Z,26,FALSE)+VLOOKUP($A378,A:AL,37,FALSE)-50)),"-",(VLOOKUP($A378,'SegEnds_NonXtal_BW#'!$A:$Z,26,FALSE)+VLOOKUP($A378,A:AL,37,FALSE)-50))</f>
        <v>397</v>
      </c>
      <c r="AM378" s="28" t="str">
        <f>VLOOKUP(A378,Classification!A:B,2,FALSE)</f>
        <v>O</v>
      </c>
      <c r="AN378" s="28" t="b">
        <f>AND(IF(Y378="-",IF(AA378-W378&gt;3,TRUE,FALSE),TRUE),IF(M378="-",IF(O378-K378&gt;3,TRUE,FALSE),TRUE),C378&lt;E378,OR(E378&lt;F378,F378="-"),OR(F378&lt;H378,F378="-"),OR(H378&lt;I378,H378="-"),I378&lt;K378,OR(K378&lt;L378,L378="-"),OR(L378&lt;N378,L378="-"),OR(N378&lt;O378,N378="-"),O378&lt;Q378,OR(Q378&lt;R378,R378="-"),OR(R378&lt;T378,R378="-"),OR(T378&lt;U378,T378="-"),U378&lt;W378,OR(W378&lt;X378,X378="-"),OR(X378&lt;Z378,X378="-"),OR(Z378&lt;AA378,Z378="-"),AA378&lt;AC378,AC378&lt;AD378,AD378&lt;AF378,AF378&lt;AG378,AG378&lt;AI378,OR(AI378&lt;AJ378,AJ378="-"),OR(AJ378&lt;AL378,AJ378="-"))</f>
        <v>1</v>
      </c>
      <c r="AO378" s="3" t="str">
        <f>IF(ISERROR(MATCH(A378,'SegEnds_Xtal_Prot#'!B:B, 0)), "NoXtal", "Xtal")</f>
        <v>NoXtal</v>
      </c>
      <c r="AP378" s="3" t="str">
        <f>IF(ISERROR(F378-E378),"-",F378-E378)</f>
        <v>-</v>
      </c>
      <c r="AQ378" s="3" t="str">
        <f>IF(ISERROR(I378-H378),"-",I378-H378)</f>
        <v>-</v>
      </c>
      <c r="AR378" s="3" t="str">
        <f>IF(ISERROR(L378-K378),"-",L378-K378)</f>
        <v>-</v>
      </c>
      <c r="AS378" s="3" t="str">
        <f>IF(ISERROR(O378-N378),"-",O378-N378)</f>
        <v>-</v>
      </c>
      <c r="AT378" s="3" t="str">
        <f>IF(ISERROR(R378-Q378),"-",R378-Q378)</f>
        <v>-</v>
      </c>
      <c r="AU378" s="3" t="str">
        <f>IF(ISERROR(U378-T378),"-",U378-T378)</f>
        <v>-</v>
      </c>
      <c r="AV378" s="3" t="str">
        <f>IF(ISERROR(X378-W378),"-",X378-W378)</f>
        <v>-</v>
      </c>
      <c r="AW378" s="3" t="str">
        <f>IF(ISERROR(AA378-Z378),"-",AA378-Z378)</f>
        <v>-</v>
      </c>
      <c r="AX378" s="3">
        <f>IF(ISERROR(AD378-AC378),"-",AD378-AC378)</f>
        <v>47</v>
      </c>
      <c r="AY378" s="3">
        <f>IF(ISERROR(AG378-AF378),"-",AG378-AF378)</f>
        <v>15</v>
      </c>
      <c r="AZ378" s="3">
        <f>IF(ISERROR(AJ378-AI378),"-",AJ378-AI378)</f>
        <v>1</v>
      </c>
      <c r="BA378" s="3">
        <f>IF(ISERROR(LEN(VLOOKUP(A378,Seqs!A:E,2,FALSE))-AL378),"-",LEN(VLOOKUP(A378,Seqs!A:E,2,FALSE))-AL378)</f>
        <v>20</v>
      </c>
      <c r="BB378" s="16">
        <f>J378-D378</f>
        <v>18</v>
      </c>
      <c r="BC378" s="9" t="str">
        <f>IF(ISERROR(V378-S378),"-",V378-S378)</f>
        <v>-</v>
      </c>
      <c r="BD378" s="3">
        <f>J378-D378</f>
        <v>18</v>
      </c>
      <c r="BE378" s="3">
        <f>AE378-AB378</f>
        <v>79</v>
      </c>
      <c r="BF378" s="3">
        <f>AH378-AE378</f>
        <v>33</v>
      </c>
    </row>
    <row r="379" spans="1:58" s="3" customFormat="1" x14ac:dyDescent="0.2">
      <c r="A379" s="3" t="s">
        <v>482</v>
      </c>
      <c r="B379" s="3" t="str">
        <f>LOWER(VLOOKUP(A379,Xtal_Templ!A:B,2,FALSE))</f>
        <v>ccr9_human</v>
      </c>
      <c r="C379" s="3">
        <v>202</v>
      </c>
      <c r="D379" s="3">
        <v>231</v>
      </c>
      <c r="E379" s="3">
        <f>IF(ISERROR(VLOOKUP($A379,'SegEnds_NonXtal_BW#'!$A:$Z,4,FALSE)+VLOOKUP($A379,A:AL,4,FALSE)-50),"-",(VLOOKUP($A379,'SegEnds_NonXtal_BW#'!$A:$Z,4,FALSE)+VLOOKUP($A379,A:AL,4,FALSE)-50))</f>
        <v>241</v>
      </c>
      <c r="F379" s="3" t="str">
        <f>IF(ISERROR(VLOOKUP($A379,'SegEnds_NonXtal_BW#'!$A:$Z,5,FALSE)+VLOOKUP($A379,A:AL,7,FALSE)-50),"-",(VLOOKUP($A379,'SegEnds_NonXtal_BW#'!$A:$Z,5,FALSE)+VLOOKUP($A379,A:AL,7,FALSE)-50))</f>
        <v>-</v>
      </c>
      <c r="G379" s="3" t="s">
        <v>23</v>
      </c>
      <c r="H379" s="3" t="str">
        <f>IF(ISERROR(VLOOKUP($A379,'SegEnds_NonXtal_BW#'!$A:$Z,6,FALSE)+VLOOKUP($A379,A:AL,7,FALSE)-50),"-",(VLOOKUP($A379,'SegEnds_NonXtal_BW#'!$A:$Z,6,FALSE)+VLOOKUP($A379,A:AL,7,FALSE)-50))</f>
        <v>-</v>
      </c>
      <c r="I379" s="3">
        <f>VLOOKUP($A379,'SegEnds_NonXtal_BW#'!$A:$Z,7,FALSE)+J379-50</f>
        <v>269</v>
      </c>
      <c r="J379" s="3">
        <v>280</v>
      </c>
      <c r="K379" s="3">
        <f>VLOOKUP($A379,'SegEnds_NonXtal_BW#'!$A:$Z,8,FALSE)+VLOOKUP($A379,A:AL,10,FALSE)-50</f>
        <v>293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327</v>
      </c>
      <c r="P379" s="3">
        <v>354</v>
      </c>
      <c r="Q379" s="3">
        <f>VLOOKUP($A379,'SegEnds_NonXtal_BW#'!$A:$Z,12,FALSE)+VLOOKUP($A379,A:AL,16,FALSE)-50</f>
        <v>360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381</v>
      </c>
      <c r="V379" s="3">
        <v>391</v>
      </c>
      <c r="W379" s="3">
        <f>IF(ISERROR(VLOOKUP($A379,'SegEnds_NonXtal_BW#'!$A:$Z,16,FALSE)+VLOOKUP($A379,A:AL,22,FALSE)-50),"-",(VLOOKUP($A379,'SegEnds_NonXtal_BW#'!$A:$Z,16,FALSE)+VLOOKUP($A379,A:AL,22,FALSE)-50))</f>
        <v>405</v>
      </c>
      <c r="X379" s="3" t="str">
        <f>IF(ISERROR(VLOOKUP($A379,'SegEnds_NonXtal_BW#'!$A:$Z,17,FALSE)+VLOOKUP($A379,A:AL,25,FALSE)-50),"-",(VLOOKUP($A379,'SegEnds_NonXtal_BW#'!$A:$Z,17,FALSE)+VLOOKUP($A379,A:AL,25,FALSE)-50))</f>
        <v>-</v>
      </c>
      <c r="Y379" s="3" t="s">
        <v>23</v>
      </c>
      <c r="Z379" s="3" t="str">
        <f>IF(ISERROR(VLOOKUP($A379,'SegEnds_NonXtal_BW#'!$A:$Z,18,FALSE)+VLOOKUP($A379,A:AL,25,FALSE)-50),"-",(VLOOKUP($A379,'SegEnds_NonXtal_BW#'!$A:$Z,18,FALSE)+VLOOKUP($A379,A:AL,25,FALSE)-50))</f>
        <v>-</v>
      </c>
      <c r="AA379" s="3">
        <f>IF(ISERROR(VLOOKUP($A379,'SegEnds_NonXtal_BW#'!$A:$Z,19,FALSE)+VLOOKUP($A379,A:AL,28,FALSE)-50),"-",(VLOOKUP($A379,'SegEnds_NonXtal_BW#'!$A:$Z,19,FALSE)+VLOOKUP($A379,A:AL,28,FALSE)-50))</f>
        <v>461</v>
      </c>
      <c r="AB379" s="3">
        <v>472</v>
      </c>
      <c r="AC379" s="3">
        <f>IF(ISERROR((VLOOKUP($A379,'SegEnds_NonXtal_BW#'!$A:$Z,20,FALSE)+VLOOKUP($A379,A:AL,28,FALSE)-50)),"-",(VLOOKUP($A379,'SegEnds_NonXtal_BW#'!$A:$Z,20,FALSE)+VLOOKUP($A379,A:AL,28,FALSE)-50))</f>
        <v>483</v>
      </c>
      <c r="AD379" s="3">
        <f>IF(ISERROR(VLOOKUP($A379,'SegEnds_NonXtal_BW#'!$A:$Z,21,FALSE)+VLOOKUP($A379,A:AL,31,FALSE)-50),"-",(VLOOKUP($A379,'SegEnds_NonXtal_BW#'!$A:$Z,21,FALSE)+VLOOKUP($A379,A:AL,31,FALSE)-50))</f>
        <v>488</v>
      </c>
      <c r="AE379" s="3">
        <v>509</v>
      </c>
      <c r="AF379" s="3">
        <f>IF(ISERROR((VLOOKUP($A379,'SegEnds_NonXtal_BW#'!$A:$Z,22,FALSE)+VLOOKUP($A379,A:AL,31,FALSE)-50)),"-",(VLOOKUP($A379,'SegEnds_NonXtal_BW#'!$A:$Z,22,FALSE)+VLOOKUP($A379,A:AL,31,FALSE)-50))</f>
        <v>512</v>
      </c>
      <c r="AG379" s="3">
        <f>IF(ISERROR(VLOOKUP($A379,'SegEnds_NonXtal_BW#'!$A:$Z,23,FALSE)+VLOOKUP($A379,A:AL,34,FALSE)-50),"-",(VLOOKUP($A379,'SegEnds_NonXtal_BW#'!$A:$Z,23,FALSE)+VLOOKUP($A379,A:AL,34,FALSE)-50))</f>
        <v>538</v>
      </c>
      <c r="AH379" s="3">
        <v>553</v>
      </c>
      <c r="AI379" s="3">
        <f>IF(ISERROR((VLOOKUP($A379,'SegEnds_NonXtal_BW#'!$A:$Z,24,FALSE)+VLOOKUP($A379,A:AL,34,FALSE)-50)),"-",(VLOOKUP($A379,'SegEnds_NonXtal_BW#'!$A:$Z,24,FALSE)+VLOOKUP($A379,A:AL,34,FALSE)-50))</f>
        <v>559</v>
      </c>
      <c r="AJ379" s="3">
        <f>IF(ISERROR(VLOOKUP($A379,'SegEnds_NonXtal_BW#'!$A:$Z,25,FALSE)+VLOOKUP($A379,A:AL,37,FALSE)-50),"-",(VLOOKUP($A379,'SegEnds_NonXtal_BW#'!$A:$Z,25,FALSE)+VLOOKUP($A379,A:AL,37,FALSE)-50))</f>
        <v>561</v>
      </c>
      <c r="AK379" s="3">
        <v>564</v>
      </c>
      <c r="AL379" s="3">
        <f>IF(ISERROR((VLOOKUP($A379,'SegEnds_NonXtal_BW#'!$A:$Z,26,FALSE)+VLOOKUP($A379,A:AL,37,FALSE)-50)),"-",(VLOOKUP($A379,'SegEnds_NonXtal_BW#'!$A:$Z,26,FALSE)+VLOOKUP($A379,A:AL,37,FALSE)-50))</f>
        <v>571</v>
      </c>
      <c r="AM379" s="28" t="str">
        <f>VLOOKUP(A379,Classification!A:B,2,FALSE)</f>
        <v>O</v>
      </c>
      <c r="AN379" s="28" t="b">
        <f>AND(IF(Y379="-",IF(AA379-W379&gt;3,TRUE,FALSE),TRUE),IF(M379="-",IF(O379-K379&gt;3,TRUE,FALSE),TRUE),C379&lt;E379,OR(E379&lt;F379,F379="-"),OR(F379&lt;H379,F379="-"),OR(H379&lt;I379,H379="-"),I379&lt;K379,OR(K379&lt;L379,L379="-"),OR(L379&lt;N379,L379="-"),OR(N379&lt;O379,N379="-"),O379&lt;Q379,OR(Q379&lt;R379,R379="-"),OR(R379&lt;T379,R379="-"),OR(T379&lt;U379,T379="-"),U379&lt;W379,OR(W379&lt;X379,X379="-"),OR(X379&lt;Z379,X379="-"),OR(Z379&lt;AA379,Z379="-"),AA379&lt;AC379,AC379&lt;AD379,AD379&lt;AF379,AF379&lt;AG379,AG379&lt;AI379,OR(AI379&lt;AJ379,AJ379="-"),OR(AJ379&lt;AL379,AJ379="-"))</f>
        <v>1</v>
      </c>
      <c r="AO379" s="3" t="str">
        <f>IF(ISERROR(MATCH(A379,'SegEnds_Xtal_Prot#'!B:B, 0)), "NoXtal", "Xtal")</f>
        <v>NoXtal</v>
      </c>
      <c r="AP379" s="3" t="str">
        <f>IF(ISERROR(F379-E379),"-",F379-E379)</f>
        <v>-</v>
      </c>
      <c r="AQ379" s="3" t="str">
        <f>IF(ISERROR(I379-H379),"-",I379-H379)</f>
        <v>-</v>
      </c>
      <c r="AR379" s="3" t="str">
        <f>IF(ISERROR(L379-K379),"-",L379-K379)</f>
        <v>-</v>
      </c>
      <c r="AS379" s="3" t="str">
        <f>IF(ISERROR(O379-N379),"-",O379-N379)</f>
        <v>-</v>
      </c>
      <c r="AT379" s="3" t="str">
        <f>IF(ISERROR(R379-Q379),"-",R379-Q379)</f>
        <v>-</v>
      </c>
      <c r="AU379" s="3" t="str">
        <f>IF(ISERROR(U379-T379),"-",U379-T379)</f>
        <v>-</v>
      </c>
      <c r="AV379" s="3" t="str">
        <f>IF(ISERROR(X379-W379),"-",X379-W379)</f>
        <v>-</v>
      </c>
      <c r="AW379" s="3" t="str">
        <f>IF(ISERROR(AA379-Z379),"-",AA379-Z379)</f>
        <v>-</v>
      </c>
      <c r="AX379" s="3">
        <f>IF(ISERROR(AD379-AC379),"-",AD379-AC379)</f>
        <v>5</v>
      </c>
      <c r="AY379" s="3">
        <f>IF(ISERROR(AG379-AF379),"-",AG379-AF379)</f>
        <v>26</v>
      </c>
      <c r="AZ379" s="3">
        <f>IF(ISERROR(AJ379-AI379),"-",AJ379-AI379)</f>
        <v>2</v>
      </c>
      <c r="BA379" s="3">
        <f>IF(ISERROR(LEN(VLOOKUP(A379,Seqs!A:E,2,FALSE))-AL379),"-",LEN(VLOOKUP(A379,Seqs!A:E,2,FALSE))-AL379)</f>
        <v>29</v>
      </c>
      <c r="BB379" s="16">
        <f>J379-D379</f>
        <v>49</v>
      </c>
      <c r="BC379" s="9" t="str">
        <f>IF(ISERROR(V379-S379),"-",V379-S379)</f>
        <v>-</v>
      </c>
      <c r="BD379" s="3">
        <f>J379-D379</f>
        <v>49</v>
      </c>
      <c r="BE379" s="3">
        <f>AE379-AB379</f>
        <v>37</v>
      </c>
      <c r="BF379" s="3">
        <f>AH379-AE379</f>
        <v>44</v>
      </c>
    </row>
    <row r="380" spans="1:58" s="3" customFormat="1" x14ac:dyDescent="0.2">
      <c r="A380" s="3" t="s">
        <v>485</v>
      </c>
      <c r="B380" s="3" t="str">
        <f>LOWER(VLOOKUP(A380,Xtal_Templ!A:B,2,FALSE))</f>
        <v>aa2ar_human</v>
      </c>
      <c r="C380" s="3">
        <v>12</v>
      </c>
      <c r="D380" s="3">
        <v>42</v>
      </c>
      <c r="E380" s="3">
        <f>IF(ISERROR(VLOOKUP($A380,'SegEnds_NonXtal_BW#'!$A:$Z,4,FALSE)+VLOOKUP($A380,A:AL,4,FALSE)-50),"-",(VLOOKUP($A380,'SegEnds_NonXtal_BW#'!$A:$Z,4,FALSE)+VLOOKUP($A380,A:AL,4,FALSE)-50))</f>
        <v>52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67</v>
      </c>
      <c r="J380" s="3">
        <v>78</v>
      </c>
      <c r="K380" s="3">
        <f>VLOOKUP($A380,'SegEnds_NonXtal_BW#'!$A:$Z,8,FALSE)+VLOOKUP($A380,A:AL,10,FALSE)-50</f>
        <v>91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114</v>
      </c>
      <c r="P380" s="3">
        <v>141</v>
      </c>
      <c r="Q380" s="3">
        <f>VLOOKUP($A380,'SegEnds_NonXtal_BW#'!$A:$Z,12,FALSE)+VLOOKUP($A380,A:AL,16,FALSE)-50</f>
        <v>147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152</v>
      </c>
      <c r="V380" s="3">
        <v>162</v>
      </c>
      <c r="W380" s="3">
        <f>IF(ISERROR(VLOOKUP($A380,'SegEnds_NonXtal_BW#'!$A:$Z,16,FALSE)+VLOOKUP($A380,A:AL,22,FALSE)-50),"-",(VLOOKUP($A380,'SegEnds_NonXtal_BW#'!$A:$Z,16,FALSE)+VLOOKUP($A380,A:AL,22,FALSE)-50))</f>
        <v>176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190</v>
      </c>
      <c r="AB380" s="3">
        <v>201</v>
      </c>
      <c r="AC380" s="3">
        <f>IF(ISERROR((VLOOKUP($A380,'SegEnds_NonXtal_BW#'!$A:$Z,20,FALSE)+VLOOKUP($A380,A:AL,28,FALSE)-50)),"-",(VLOOKUP($A380,'SegEnds_NonXtal_BW#'!$A:$Z,20,FALSE)+VLOOKUP($A380,A:AL,28,FALSE)-50))</f>
        <v>212</v>
      </c>
      <c r="AD380" s="3">
        <f>IF(ISERROR(VLOOKUP($A380,'SegEnds_NonXtal_BW#'!$A:$Z,21,FALSE)+VLOOKUP($A380,A:AL,31,FALSE)-50),"-",(VLOOKUP($A380,'SegEnds_NonXtal_BW#'!$A:$Z,21,FALSE)+VLOOKUP($A380,A:AL,31,FALSE)-50))</f>
        <v>238</v>
      </c>
      <c r="AE380" s="3">
        <v>259</v>
      </c>
      <c r="AF380" s="3">
        <f>IF(ISERROR((VLOOKUP($A380,'SegEnds_NonXtal_BW#'!$A:$Z,22,FALSE)+VLOOKUP($A380,A:AL,31,FALSE)-50)),"-",(VLOOKUP($A380,'SegEnds_NonXtal_BW#'!$A:$Z,22,FALSE)+VLOOKUP($A380,A:AL,31,FALSE)-50))</f>
        <v>262</v>
      </c>
      <c r="AG380" s="3">
        <f>IF(ISERROR(VLOOKUP($A380,'SegEnds_NonXtal_BW#'!$A:$Z,23,FALSE)+VLOOKUP($A380,A:AL,34,FALSE)-50),"-",(VLOOKUP($A380,'SegEnds_NonXtal_BW#'!$A:$Z,23,FALSE)+VLOOKUP($A380,A:AL,34,FALSE)-50))</f>
        <v>293</v>
      </c>
      <c r="AH380" s="3">
        <v>308</v>
      </c>
      <c r="AI380" s="3">
        <f>IF(ISERROR((VLOOKUP($A380,'SegEnds_NonXtal_BW#'!$A:$Z,24,FALSE)+VLOOKUP($A380,A:AL,34,FALSE)-50)),"-",(VLOOKUP($A380,'SegEnds_NonXtal_BW#'!$A:$Z,24,FALSE)+VLOOKUP($A380,A:AL,34,FALSE)-50))</f>
        <v>314</v>
      </c>
      <c r="AJ380" s="3">
        <f>IF(ISERROR(VLOOKUP($A380,'SegEnds_NonXtal_BW#'!$A:$Z,25,FALSE)+VLOOKUP($A380,A:AL,37,FALSE)-50),"-",(VLOOKUP($A380,'SegEnds_NonXtal_BW#'!$A:$Z,25,FALSE)+VLOOKUP($A380,A:AL,37,FALSE)-50))</f>
        <v>315</v>
      </c>
      <c r="AK380" s="3">
        <v>318</v>
      </c>
      <c r="AL380" s="3">
        <f>IF(ISERROR((VLOOKUP($A380,'SegEnds_NonXtal_BW#'!$A:$Z,26,FALSE)+VLOOKUP($A380,A:AL,37,FALSE)-50)),"-",(VLOOKUP($A380,'SegEnds_NonXtal_BW#'!$A:$Z,26,FALSE)+VLOOKUP($A380,A:AL,37,FALSE)-50))</f>
        <v>325</v>
      </c>
      <c r="AM380" s="28" t="str">
        <f>VLOOKUP(A380,Classification!A:B,2,FALSE)</f>
        <v>O</v>
      </c>
      <c r="AN380" s="28" t="b">
        <f>AND(IF(Y380="-",IF(AA380-W380&gt;3,TRUE,FALSE),TRUE),IF(M380="-",IF(O380-K380&gt;3,TRUE,FALSE),TRUE),C380&lt;E380,OR(E380&lt;F380,F380="-"),OR(F380&lt;H380,F380="-"),OR(H380&lt;I380,H380="-"),I380&lt;K380,OR(K380&lt;L380,L380="-"),OR(L380&lt;N380,L380="-"),OR(N380&lt;O380,N380="-"),O380&lt;Q380,OR(Q380&lt;R380,R380="-"),OR(R380&lt;T380,R380="-"),OR(T380&lt;U380,T380="-"),U380&lt;W380,OR(W380&lt;X380,X380="-"),OR(X380&lt;Z380,X380="-"),OR(Z380&lt;AA380,Z380="-"),AA380&lt;AC380,AC380&lt;AD380,AD380&lt;AF380,AF380&lt;AG380,AG380&lt;AI380,OR(AI380&lt;AJ380,AJ380="-"),OR(AJ380&lt;AL380,AJ380="-"))</f>
        <v>1</v>
      </c>
      <c r="AO380" s="3" t="str">
        <f>IF(ISERROR(MATCH(A380,'SegEnds_Xtal_Prot#'!B:B, 0)), "NoXtal", "Xtal")</f>
        <v>NoXtal</v>
      </c>
      <c r="AP380" s="3" t="str">
        <f>IF(ISERROR(F380-E380),"-",F380-E380)</f>
        <v>-</v>
      </c>
      <c r="AQ380" s="3" t="str">
        <f>IF(ISERROR(I380-H380),"-",I380-H380)</f>
        <v>-</v>
      </c>
      <c r="AR380" s="3" t="str">
        <f>IF(ISERROR(L380-K380),"-",L380-K380)</f>
        <v>-</v>
      </c>
      <c r="AS380" s="3" t="str">
        <f>IF(ISERROR(O380-N380),"-",O380-N380)</f>
        <v>-</v>
      </c>
      <c r="AT380" s="3" t="str">
        <f>IF(ISERROR(R380-Q380),"-",R380-Q380)</f>
        <v>-</v>
      </c>
      <c r="AU380" s="3" t="str">
        <f>IF(ISERROR(U380-T380),"-",U380-T380)</f>
        <v>-</v>
      </c>
      <c r="AV380" s="3" t="str">
        <f>IF(ISERROR(X380-W380),"-",X380-W380)</f>
        <v>-</v>
      </c>
      <c r="AW380" s="3" t="str">
        <f>IF(ISERROR(AA380-Z380),"-",AA380-Z380)</f>
        <v>-</v>
      </c>
      <c r="AX380" s="3">
        <f>IF(ISERROR(AD380-AC380),"-",AD380-AC380)</f>
        <v>26</v>
      </c>
      <c r="AY380" s="3">
        <f>IF(ISERROR(AG380-AF380),"-",AG380-AF380)</f>
        <v>31</v>
      </c>
      <c r="AZ380" s="3">
        <f>IF(ISERROR(AJ380-AI380),"-",AJ380-AI380)</f>
        <v>1</v>
      </c>
      <c r="BA380" s="3">
        <f>IF(ISERROR(LEN(VLOOKUP(A380,Seqs!A:E,2,FALSE))-AL380),"-",LEN(VLOOKUP(A380,Seqs!A:E,2,FALSE))-AL380)</f>
        <v>79</v>
      </c>
      <c r="BB380" s="16">
        <f>J380-D380</f>
        <v>36</v>
      </c>
      <c r="BC380" s="9" t="str">
        <f>IF(ISERROR(V380-S380),"-",V380-S380)</f>
        <v>-</v>
      </c>
      <c r="BD380" s="3">
        <f>J380-D380</f>
        <v>36</v>
      </c>
      <c r="BE380" s="3">
        <f>AE380-AB380</f>
        <v>58</v>
      </c>
    </row>
    <row r="381" spans="1:58" s="3" customFormat="1" x14ac:dyDescent="0.2">
      <c r="A381" s="3" t="s">
        <v>486</v>
      </c>
      <c r="B381" s="3" t="str">
        <f>LOWER(VLOOKUP(A381,Xtal_Templ!A:B,2,FALSE))</f>
        <v>5ht2b_human</v>
      </c>
      <c r="C381" s="3">
        <f>VLOOKUP($A381,'SegEnds_NonXtal_BW#'!$A:$Z,3,FALSE)+D381-50</f>
        <v>11</v>
      </c>
      <c r="D381" s="3">
        <v>29</v>
      </c>
      <c r="E381" s="3">
        <f>IF(ISERROR(VLOOKUP($A381,'SegEnds_NonXtal_BW#'!$A:$Z,4,FALSE)+VLOOKUP($A381,A:AL,4,FALSE)-50),"-",(VLOOKUP($A381,'SegEnds_NonXtal_BW#'!$A:$Z,4,FALSE)+VLOOKUP($A381,A:AL,4,FALSE)-50))</f>
        <v>39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46</v>
      </c>
      <c r="J381" s="3">
        <v>57</v>
      </c>
      <c r="K381" s="3">
        <f>VLOOKUP($A381,'SegEnds_NonXtal_BW#'!$A:$Z,8,FALSE)+VLOOKUP($A381,A:AL,10,FALSE)-50</f>
        <v>70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77</v>
      </c>
      <c r="P381" s="3">
        <v>104</v>
      </c>
      <c r="Q381" s="3">
        <f>VLOOKUP($A381,'SegEnds_NonXtal_BW#'!$A:$Z,12,FALSE)+VLOOKUP($A381,A:AL,16,FALSE)-50</f>
        <v>110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125</v>
      </c>
      <c r="V381" s="3">
        <v>135</v>
      </c>
      <c r="W381" s="3">
        <f>IF(ISERROR(VLOOKUP($A381,'SegEnds_NonXtal_BW#'!$A:$Z,16,FALSE)+VLOOKUP($A381,A:AL,22,FALSE)-50),"-",(VLOOKUP($A381,'SegEnds_NonXtal_BW#'!$A:$Z,16,FALSE)+VLOOKUP($A381,A:AL,22,FALSE)-50))</f>
        <v>149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153</v>
      </c>
      <c r="AB381" s="3">
        <v>164</v>
      </c>
      <c r="AC381" s="3">
        <f>IF(ISERROR((VLOOKUP($A381,'SegEnds_NonXtal_BW#'!$A:$Z,20,FALSE)+VLOOKUP($A381,A:AL,28,FALSE)-50)),"-",(VLOOKUP($A381,'SegEnds_NonXtal_BW#'!$A:$Z,20,FALSE)+VLOOKUP($A381,A:AL,28,FALSE)-50))</f>
        <v>175</v>
      </c>
      <c r="AD381" s="3">
        <f>IF(ISERROR(VLOOKUP($A381,'SegEnds_NonXtal_BW#'!$A:$Z,21,FALSE)+VLOOKUP($A381,A:AL,31,FALSE)-50),"-",(VLOOKUP($A381,'SegEnds_NonXtal_BW#'!$A:$Z,21,FALSE)+VLOOKUP($A381,A:AL,31,FALSE)-50))</f>
        <v>210</v>
      </c>
      <c r="AE381" s="3">
        <v>231</v>
      </c>
      <c r="AF381" s="3">
        <f>IF(ISERROR((VLOOKUP($A381,'SegEnds_NonXtal_BW#'!$A:$Z,22,FALSE)+VLOOKUP($A381,A:AL,31,FALSE)-50)),"-",(VLOOKUP($A381,'SegEnds_NonXtal_BW#'!$A:$Z,22,FALSE)+VLOOKUP($A381,A:AL,31,FALSE)-50))</f>
        <v>234</v>
      </c>
      <c r="AG381" s="3">
        <f>IF(ISERROR(VLOOKUP($A381,'SegEnds_NonXtal_BW#'!$A:$Z,23,FALSE)+VLOOKUP($A381,A:AL,34,FALSE)-50),"-",(VLOOKUP($A381,'SegEnds_NonXtal_BW#'!$A:$Z,23,FALSE)+VLOOKUP($A381,A:AL,34,FALSE)-50))</f>
        <v>261</v>
      </c>
      <c r="AH381" s="3">
        <v>276</v>
      </c>
      <c r="AI381" s="3">
        <f>IF(ISERROR((VLOOKUP($A381,'SegEnds_NonXtal_BW#'!$A:$Z,24,FALSE)+VLOOKUP($A381,A:AL,34,FALSE)-50)),"-",(VLOOKUP($A381,'SegEnds_NonXtal_BW#'!$A:$Z,24,FALSE)+VLOOKUP($A381,A:AL,34,FALSE)-50))</f>
        <v>282</v>
      </c>
      <c r="AJ381" s="3">
        <v>286</v>
      </c>
      <c r="AK381" s="3">
        <v>294</v>
      </c>
      <c r="AL381" s="3">
        <f>IF(ISERROR((VLOOKUP($A381,'SegEnds_NonXtal_BW#'!$A:$Z,26,FALSE)+VLOOKUP($A381,A:AL,37,FALSE)-50)),"-",(VLOOKUP($A381,'SegEnds_NonXtal_BW#'!$A:$Z,26,FALSE)+VLOOKUP($A381,A:AL,37,FALSE)-50))</f>
        <v>301</v>
      </c>
      <c r="AM381" s="28" t="str">
        <f>VLOOKUP(A381,Classification!A:B,2,FALSE)</f>
        <v>O</v>
      </c>
      <c r="AN381" s="28" t="b">
        <f>AND(IF(Y381="-",IF(AA381-W381&gt;3,TRUE,FALSE),TRUE),IF(M381="-",IF(O381-K381&gt;3,TRUE,FALSE),TRU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3" t="str">
        <f>IF(ISERROR(MATCH(A381,'SegEnds_Xtal_Prot#'!B:B, 0)), "NoXtal", "Xtal")</f>
        <v>NoXtal</v>
      </c>
      <c r="AP381" s="3" t="str">
        <f>IF(ISERROR(F381-E381),"-",F381-E381)</f>
        <v>-</v>
      </c>
      <c r="AQ381" s="3" t="str">
        <f>IF(ISERROR(I381-H381),"-",I381-H381)</f>
        <v>-</v>
      </c>
      <c r="AR381" s="3" t="str">
        <f>IF(ISERROR(L381-K381),"-",L381-K381)</f>
        <v>-</v>
      </c>
      <c r="AS381" s="3" t="str">
        <f>IF(ISERROR(O381-N381),"-",O381-N381)</f>
        <v>-</v>
      </c>
      <c r="AT381" s="3" t="str">
        <f>IF(ISERROR(R381-Q381),"-",R381-Q381)</f>
        <v>-</v>
      </c>
      <c r="AU381" s="3" t="str">
        <f>IF(ISERROR(U381-T381),"-",U381-T381)</f>
        <v>-</v>
      </c>
      <c r="AV381" s="3" t="str">
        <f>IF(ISERROR(X381-W381),"-",X381-W381)</f>
        <v>-</v>
      </c>
      <c r="AW381" s="3" t="str">
        <f>IF(ISERROR(AA381-Z381),"-",AA381-Z381)</f>
        <v>-</v>
      </c>
      <c r="AX381" s="3">
        <f>IF(ISERROR(AD381-AC381),"-",AD381-AC381)</f>
        <v>35</v>
      </c>
      <c r="AY381" s="3">
        <f>IF(ISERROR(AG381-AF381),"-",AG381-AF381)</f>
        <v>27</v>
      </c>
      <c r="AZ381" s="3">
        <f>IF(ISERROR(AJ381-AI381),"-",AJ381-AI381)</f>
        <v>4</v>
      </c>
      <c r="BA381" s="3">
        <f>IF(ISERROR(LEN(VLOOKUP(A381,Seqs!A:E,2,FALSE))-AL381),"-",LEN(VLOOKUP(A381,Seqs!A:E,2,FALSE))-AL381)</f>
        <v>34</v>
      </c>
      <c r="BB381" s="16">
        <f>J381-D381</f>
        <v>28</v>
      </c>
      <c r="BC381" s="9" t="str">
        <f>IF(ISERROR(V381-S381),"-",V381-S381)</f>
        <v>-</v>
      </c>
      <c r="BD381" s="3">
        <f>J381-D381</f>
        <v>28</v>
      </c>
      <c r="BE381" s="3">
        <f>AE381-AB381</f>
        <v>67</v>
      </c>
    </row>
    <row r="382" spans="1:58" s="3" customFormat="1" x14ac:dyDescent="0.2">
      <c r="A382" s="3" t="s">
        <v>484</v>
      </c>
      <c r="B382" s="3" t="str">
        <f>LOWER(VLOOKUP(A382,Xtal_Templ!A:B,2,FALSE))</f>
        <v>oprk_human</v>
      </c>
      <c r="C382" s="3">
        <v>27</v>
      </c>
      <c r="D382" s="3">
        <v>64</v>
      </c>
      <c r="E382" s="3">
        <f>IF(ISERROR(VLOOKUP($A382,'SegEnds_NonXtal_BW#'!$A:$Z,4,FALSE)+VLOOKUP($A382,A:AL,4,FALSE)-50),"-",(VLOOKUP($A382,'SegEnds_NonXtal_BW#'!$A:$Z,4,FALSE)+VLOOKUP($A382,A:AL,4,FALSE)-50))</f>
        <v>74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85</v>
      </c>
      <c r="J382" s="3">
        <v>96</v>
      </c>
      <c r="K382" s="3">
        <f>VLOOKUP($A382,'SegEnds_NonXtal_BW#'!$A:$Z,8,FALSE)+VLOOKUP($A382,A:AL,10,FALSE)-50</f>
        <v>109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162</v>
      </c>
      <c r="V382" s="3">
        <v>172</v>
      </c>
      <c r="W382" s="3">
        <f>IF(ISERROR(VLOOKUP($A382,'SegEnds_NonXtal_BW#'!$A:$Z,16,FALSE)+VLOOKUP($A382,A:AL,22,FALSE)-50),"-",(VLOOKUP($A382,'SegEnds_NonXtal_BW#'!$A:$Z,16,FALSE)+VLOOKUP($A382,A:AL,22,FALSE)-50))</f>
        <v>183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187</v>
      </c>
      <c r="AB382" s="3">
        <v>197</v>
      </c>
      <c r="AC382" s="3">
        <f>IF(ISERROR((VLOOKUP($A382,'SegEnds_NonXtal_BW#'!$A:$Z,20,FALSE)+VLOOKUP($A382,A:AL,28,FALSE)-50)),"-",(VLOOKUP($A382,'SegEnds_NonXtal_BW#'!$A:$Z,20,FALSE)+VLOOKUP($A382,A:AL,28,FALSE)-50))</f>
        <v>208</v>
      </c>
      <c r="AD382" s="3">
        <f>IF(ISERROR(VLOOKUP($A382,'SegEnds_NonXtal_BW#'!$A:$Z,21,FALSE)+VLOOKUP($A382,A:AL,31,FALSE)-50),"-",(VLOOKUP($A382,'SegEnds_NonXtal_BW#'!$A:$Z,21,FALSE)+VLOOKUP($A382,A:AL,31,FALSE)-50))</f>
        <v>252</v>
      </c>
      <c r="AE382" s="3">
        <v>273</v>
      </c>
      <c r="AF382" s="3">
        <f>IF(ISERROR((VLOOKUP($A382,'SegEnds_NonXtal_BW#'!$A:$Z,22,FALSE)+VLOOKUP($A382,A:AL,31,FALSE)-50)),"-",(VLOOKUP($A382,'SegEnds_NonXtal_BW#'!$A:$Z,22,FALSE)+VLOOKUP($A382,A:AL,31,FALSE)-50))</f>
        <v>276</v>
      </c>
      <c r="AG382" s="3">
        <f>IF(ISERROR(VLOOKUP($A382,'SegEnds_NonXtal_BW#'!$A:$Z,23,FALSE)+VLOOKUP($A382,A:AL,34,FALSE)-50),"-",(VLOOKUP($A382,'SegEnds_NonXtal_BW#'!$A:$Z,23,FALSE)+VLOOKUP($A382,A:AL,34,FALSE)-50))</f>
        <v>294</v>
      </c>
      <c r="AH382" s="3">
        <v>309</v>
      </c>
      <c r="AI382" s="3">
        <f>IF(ISERROR((VLOOKUP($A382,'SegEnds_NonXtal_BW#'!$A:$Z,24,FALSE)+VLOOKUP($A382,A:AL,34,FALSE)-50)),"-",(VLOOKUP($A382,'SegEnds_NonXtal_BW#'!$A:$Z,24,FALSE)+VLOOKUP($A382,A:AL,34,FALSE)-50))</f>
        <v>315</v>
      </c>
      <c r="AJ382" s="108">
        <v>320</v>
      </c>
      <c r="AK382" s="3">
        <v>333</v>
      </c>
      <c r="AL382" s="3">
        <f>IF(ISERROR((VLOOKUP($A382,'SegEnds_NonXtal_BW#'!$A:$Z,26,FALSE)+VLOOKUP($A382,A:AL,37,FALSE)-50)),"-",(VLOOKUP($A382,'SegEnds_NonXtal_BW#'!$A:$Z,26,FALSE)+VLOOKUP($A382,A:AL,37,FALSE)-50))</f>
        <v>340</v>
      </c>
      <c r="AM382" s="28" t="str">
        <f>VLOOKUP(A382,Classification!A:B,2,FALSE)</f>
        <v>O</v>
      </c>
      <c r="AN382" s="28" t="b">
        <f>AND(IF(Y382="-",IF(AA382-W382&gt;3,TRUE,FALSE),TRUE),IF(M382="-",IF(O382-K382&gt;3,TRUE,FALSE),TRUE),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    <v>1</v>
      </c>
      <c r="AO382" s="3" t="str">
        <f>IF(ISERROR(MATCH(A382,'SegEnds_Xtal_Prot#'!B:B, 0)), "NoXtal", "Xtal")</f>
        <v>NoXtal</v>
      </c>
      <c r="AP382" s="3" t="str">
        <f>IF(ISERROR(F382-E382),"-",F382-E382)</f>
        <v>-</v>
      </c>
      <c r="AQ382" s="3" t="str">
        <f>IF(ISERROR(I382-H382),"-",I382-H382)</f>
        <v>-</v>
      </c>
      <c r="AR382" s="3" t="str">
        <f>IF(ISERROR(L382-K382),"-",L382-K382)</f>
        <v>-</v>
      </c>
      <c r="AS382" s="3" t="str">
        <f>IF(ISERROR(O382-N382),"-",O382-N382)</f>
        <v>-</v>
      </c>
      <c r="AT382" s="3" t="str">
        <f>IF(ISERROR(R382-Q382),"-",R382-Q382)</f>
        <v>-</v>
      </c>
      <c r="AU382" s="3" t="str">
        <f>IF(ISERROR(U382-T382),"-",U382-T382)</f>
        <v>-</v>
      </c>
      <c r="AV382" s="3" t="str">
        <f>IF(ISERROR(X382-W382),"-",X382-W382)</f>
        <v>-</v>
      </c>
      <c r="AW382" s="3" t="str">
        <f>IF(ISERROR(AA382-Z382),"-",AA382-Z382)</f>
        <v>-</v>
      </c>
      <c r="AX382" s="3">
        <f>IF(ISERROR(AD382-AC382),"-",AD382-AC382)</f>
        <v>44</v>
      </c>
      <c r="AY382" s="3">
        <f>IF(ISERROR(AG382-AF382),"-",AG382-AF382)</f>
        <v>18</v>
      </c>
      <c r="AZ382" s="3">
        <f>IF(ISERROR(AJ382-AI382),"-",AJ382-AI382)</f>
        <v>5</v>
      </c>
      <c r="BA382" s="3">
        <f>IF(ISERROR(LEN(VLOOKUP(A382,Seqs!A:E,2,FALSE))-AL382),"-",LEN(VLOOKUP(A382,Seqs!A:E,2,FALSE))-AL382)</f>
        <v>33</v>
      </c>
      <c r="BB382" s="16">
        <f>J382-D382</f>
        <v>32</v>
      </c>
      <c r="BC382" s="9" t="str">
        <f>IF(ISERROR(V382-S382),"-",V382-S382)</f>
        <v>-</v>
      </c>
      <c r="BD382" s="3">
        <f>J382-D382</f>
        <v>32</v>
      </c>
      <c r="BE382" s="3">
        <f>AE382-AB382</f>
        <v>76</v>
      </c>
    </row>
    <row r="383" spans="1:58" s="3" customFormat="1" x14ac:dyDescent="0.2">
      <c r="A383" s="3" t="s">
        <v>456</v>
      </c>
      <c r="B383" s="3" t="str">
        <f>LOWER(VLOOKUP(A383,Xtal_Templ!A:B,2,FALSE))</f>
        <v>aa2ar_human</v>
      </c>
      <c r="C383" s="3">
        <f>VLOOKUP($A383,'SegEnds_NonXtal_BW#'!$A:$Z,3,FALSE)+D383-50</f>
        <v>6</v>
      </c>
      <c r="D383" s="3">
        <v>24</v>
      </c>
      <c r="E383" s="3">
        <f>F383-1</f>
        <v>36</v>
      </c>
      <c r="F383" s="3">
        <f>G383-2</f>
        <v>37</v>
      </c>
      <c r="G383" s="3">
        <v>39</v>
      </c>
      <c r="H383" s="3">
        <f>G383+1</f>
        <v>40</v>
      </c>
      <c r="I383" s="3">
        <f>H383+1</f>
        <v>41</v>
      </c>
      <c r="J383" s="3">
        <v>54</v>
      </c>
      <c r="K383" s="3">
        <f>VLOOKUP($A383,'SegEnds_NonXtal_BW#'!$A:$Z,8,FALSE)+VLOOKUP($A383,A:AL,10,FALSE)-50</f>
        <v>71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106</v>
      </c>
      <c r="Q383" s="3">
        <f>VLOOKUP($A383,'SegEnds_NonXtal_BW#'!$A:$Z,12,FALSE)+VLOOKUP($A383,A:AL,16,FALSE)-50</f>
        <v>112</v>
      </c>
      <c r="R383" s="3">
        <f>S383</f>
        <v>115</v>
      </c>
      <c r="S383" s="3">
        <v>115</v>
      </c>
      <c r="T383" s="103">
        <f>S383+7</f>
        <v>122</v>
      </c>
      <c r="U383" s="9">
        <f>IF(ISERROR(VLOOKUP($A383,'SegEnds_NonXtal_BW#'!$A:$Z,15,FALSE)+VLOOKUP($A383,A:AL,22,FALSE)-50),"-",VLOOKUP($A383,'SegEnds_NonXtal_BW#'!$A:$Z,15,FALSE)+VLOOKUP($A383,A:AL,22,FALSE)-50)</f>
        <v>123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148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167</v>
      </c>
      <c r="AB383" s="3">
        <v>185</v>
      </c>
      <c r="AC383" s="3">
        <f>IF(ISERROR((VLOOKUP($A383,'SegEnds_NonXtal_BW#'!$A:$Z,20,FALSE)+VLOOKUP($A383,A:AL,28,FALSE)-50)),"-",(VLOOKUP($A383,'SegEnds_NonXtal_BW#'!$A:$Z,20,FALSE)+VLOOKUP($A383,A:AL,28,FALSE)-50))</f>
        <v>207</v>
      </c>
      <c r="AD383" s="3">
        <f>IF(ISERROR(VLOOKUP($A383,'SegEnds_NonXtal_BW#'!$A:$Z,21,FALSE)+VLOOKUP($A383,A:AL,31,FALSE)-50),"-",(VLOOKUP($A383,'SegEnds_NonXtal_BW#'!$A:$Z,21,FALSE)+VLOOKUP($A383,A:AL,31,FALSE)-50))</f>
        <v>217</v>
      </c>
      <c r="AE383" s="3">
        <v>238</v>
      </c>
      <c r="AF383" s="3">
        <f>IF(ISERROR((VLOOKUP($A383,'SegEnds_NonXtal_BW#'!$A:$Z,22,FALSE)+VLOOKUP($A383,A:AL,31,FALSE)-50)),"-",(VLOOKUP($A383,'SegEnds_NonXtal_BW#'!$A:$Z,22,FALSE)+VLOOKUP($A383,A:AL,31,FALSE)-50))</f>
        <v>249</v>
      </c>
      <c r="AG383" s="3">
        <f>IF(ISERROR(VLOOKUP($A383,'SegEnds_NonXtal_BW#'!$A:$Z,23,FALSE)+VLOOKUP($A383,A:AL,34,FALSE)-50),"-",(VLOOKUP($A383,'SegEnds_NonXtal_BW#'!$A:$Z,23,FALSE)+VLOOKUP($A383,A:AL,34,FALSE)-50))</f>
        <v>255</v>
      </c>
      <c r="AH383" s="3">
        <v>274</v>
      </c>
      <c r="AI383" s="3">
        <f>IF(ISERROR((VLOOKUP($A383,'SegEnds_NonXtal_BW#'!$A:$Z,24,FALSE)+VLOOKUP($A383,A:AL,34,FALSE)-50)),"-",(VLOOKUP($A383,'SegEnds_NonXtal_BW#'!$A:$Z,24,FALSE)+VLOOKUP($A383,A:AL,34,FALSE)-50))</f>
        <v>280</v>
      </c>
      <c r="AJ383" s="3">
        <f>IF(ISERROR(VLOOKUP($A383,'SegEnds_NonXtal_BW#'!$A:$Z,25,FALSE)+VLOOKUP($A383,A:AL,37,FALSE)-50),"-",(VLOOKUP($A383,'SegEnds_NonXtal_BW#'!$A:$Z,25,FALSE)+VLOOKUP($A383,A:AL,37,FALSE)-50))</f>
        <v>281</v>
      </c>
      <c r="AK383" s="3">
        <v>284</v>
      </c>
      <c r="AL383" s="3">
        <f>IF(ISERROR((VLOOKUP($A383,'SegEnds_NonXtal_BW#'!$A:$Z,26,FALSE)+VLOOKUP($A383,A:AL,37,FALSE)-50)),"-",(VLOOKUP($A383,'SegEnds_NonXtal_BW#'!$A:$Z,26,FALSE)+VLOOKUP($A383,A:AL,37,FALSE)-50))</f>
        <v>294</v>
      </c>
      <c r="AM383" s="28" t="str">
        <f>VLOOKUP(A383,Classification!A:B,2,FALSE)</f>
        <v>T</v>
      </c>
      <c r="AN383" s="28" t="b">
        <f>AND(IF(Y383="-",IF(AA383-W383&gt;3,TRUE,FALSE),TRUE),IF(M383="-",IF(O383-K383&gt;3,TRUE,FALSE),TRUE),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    <v>1</v>
      </c>
      <c r="AO383" s="3" t="str">
        <f>IF(ISERROR(MATCH(A383,'SegEnds_Xtal_Prot#'!B:B, 0)), "NoXtal", "Xtal")</f>
        <v>NoXtal</v>
      </c>
      <c r="AP383" s="3">
        <f>IF(ISERROR(F383-E383),"-",F383-E383)</f>
        <v>1</v>
      </c>
      <c r="AQ383" s="3">
        <f>IF(ISERROR(I383-H383),"-",I383-H383)</f>
        <v>1</v>
      </c>
      <c r="AR383" s="3" t="str">
        <f>IF(ISERROR(L383-K383),"-",L383-K383)</f>
        <v>-</v>
      </c>
      <c r="AS383" s="3" t="str">
        <f>IF(ISERROR(O383-N383),"-",O383-N383)</f>
        <v>-</v>
      </c>
      <c r="AT383" s="3">
        <f>IF(ISERROR(R383-Q383),"-",R383-Q383)</f>
        <v>3</v>
      </c>
      <c r="AU383" s="3">
        <f>IF(ISERROR(U383-T383),"-",U383-T383)</f>
        <v>1</v>
      </c>
      <c r="AV383" s="3" t="str">
        <f>IF(ISERROR(X383-W383),"-",X383-W383)</f>
        <v>-</v>
      </c>
      <c r="AW383" s="3" t="str">
        <f>IF(ISERROR(AA383-Z383),"-",AA383-Z383)</f>
        <v>-</v>
      </c>
      <c r="AX383" s="3">
        <f>IF(ISERROR(AD383-AC383),"-",AD383-AC383)</f>
        <v>10</v>
      </c>
      <c r="AY383" s="3">
        <f>IF(ISERROR(AG383-AF383),"-",AG383-AF383)</f>
        <v>6</v>
      </c>
      <c r="AZ383" s="3">
        <f>IF(ISERROR(AJ383-AI383),"-",AJ383-AI383)</f>
        <v>1</v>
      </c>
      <c r="BA383" s="3">
        <f>IF(ISERROR(LEN(VLOOKUP(A383,Seqs!A:E,2,FALSE))-AL383),"-",LEN(VLOOKUP(A383,Seqs!A:E,2,FALSE))-AL383)</f>
        <v>13</v>
      </c>
      <c r="BB383" s="16">
        <f>J383-D383</f>
        <v>30</v>
      </c>
      <c r="BC383" s="9">
        <f>IF(ISERROR(V383-S383),"-",V383-S383)</f>
        <v>20</v>
      </c>
      <c r="BD383" s="3">
        <f>J383-D383</f>
        <v>30</v>
      </c>
      <c r="BE383" s="3">
        <f>AE383-AB383</f>
        <v>53</v>
      </c>
      <c r="BF383" s="3">
        <f>AH383-AE383</f>
        <v>36</v>
      </c>
    </row>
    <row r="384" spans="1:58" s="3" customFormat="1" x14ac:dyDescent="0.2">
      <c r="A384" s="3" t="s">
        <v>457</v>
      </c>
      <c r="B384" s="3" t="str">
        <f>LOWER(VLOOKUP(A384,Xtal_Templ!A:B,2,FALSE))</f>
        <v>apj_human</v>
      </c>
      <c r="C384" s="3">
        <f>VLOOKUP($A384,'SegEnds_NonXtal_BW#'!$A:$Z,3,FALSE)+D384-50</f>
        <v>6</v>
      </c>
      <c r="D384" s="3">
        <v>24</v>
      </c>
      <c r="E384" s="3">
        <f>F384-1</f>
        <v>36</v>
      </c>
      <c r="F384" s="3">
        <f>G384-2</f>
        <v>37</v>
      </c>
      <c r="G384" s="3">
        <v>39</v>
      </c>
      <c r="H384" s="3">
        <f>G384+1</f>
        <v>40</v>
      </c>
      <c r="I384" s="3">
        <f>H384+1</f>
        <v>41</v>
      </c>
      <c r="J384" s="3">
        <v>55</v>
      </c>
      <c r="K384" s="3">
        <f>VLOOKUP($A384,'SegEnds_NonXtal_BW#'!$A:$Z,8,FALSE)+VLOOKUP($A384,A:AL,10,FALSE)-50</f>
        <v>72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78</v>
      </c>
      <c r="P384" s="3">
        <v>107</v>
      </c>
      <c r="Q384" s="3">
        <f>VLOOKUP($A384,'SegEnds_NonXtal_BW#'!$A:$Z,12,FALSE)+VLOOKUP($A384,A:AL,16,FALSE)-50</f>
        <v>113</v>
      </c>
      <c r="R384" s="3">
        <f>S384</f>
        <v>116</v>
      </c>
      <c r="S384" s="3">
        <v>116</v>
      </c>
      <c r="T384" s="103">
        <f>S384+7</f>
        <v>123</v>
      </c>
      <c r="U384" s="9">
        <f>IF(ISERROR(VLOOKUP($A384,'SegEnds_NonXtal_BW#'!$A:$Z,15,FALSE)+VLOOKUP($A384,A:AL,22,FALSE)-50),"-",VLOOKUP($A384,'SegEnds_NonXtal_BW#'!$A:$Z,15,FALSE)+VLOOKUP($A384,A:AL,22,FALSE)-50)</f>
        <v>124</v>
      </c>
      <c r="V384" s="3">
        <v>136</v>
      </c>
      <c r="W384" s="3">
        <f>IF(ISERROR(VLOOKUP($A384,'SegEnds_NonXtal_BW#'!$A:$Z,16,FALSE)+VLOOKUP($A384,A:AL,22,FALSE)-50),"-",(VLOOKUP($A384,'SegEnds_NonXtal_BW#'!$A:$Z,16,FALSE)+VLOOKUP($A384,A:AL,22,FALSE)-50))</f>
        <v>150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172</v>
      </c>
      <c r="AB384" s="3">
        <v>190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222</v>
      </c>
      <c r="AE384" s="3">
        <v>243</v>
      </c>
      <c r="AF384" s="3">
        <f>IF(ISERROR((VLOOKUP($A384,'SegEnds_NonXtal_BW#'!$A:$Z,22,FALSE)+VLOOKUP($A384,A:AL,31,FALSE)-50)),"-",(VLOOKUP($A384,'SegEnds_NonXtal_BW#'!$A:$Z,22,FALSE)+VLOOKUP($A384,A:AL,31,FALSE)-50))</f>
        <v>254</v>
      </c>
      <c r="AG384" s="3">
        <f>IF(ISERROR(VLOOKUP($A384,'SegEnds_NonXtal_BW#'!$A:$Z,23,FALSE)+VLOOKUP($A384,A:AL,34,FALSE)-50),"-",(VLOOKUP($A384,'SegEnds_NonXtal_BW#'!$A:$Z,23,FALSE)+VLOOKUP($A384,A:AL,34,FALSE)-50))</f>
        <v>259</v>
      </c>
      <c r="AH384" s="3">
        <v>278</v>
      </c>
      <c r="AI384" s="3">
        <f>IF(ISERROR((VLOOKUP($A384,'SegEnds_NonXtal_BW#'!$A:$Z,24,FALSE)+VLOOKUP($A384,A:AL,34,FALSE)-50)),"-",(VLOOKUP($A384,'SegEnds_NonXtal_BW#'!$A:$Z,24,FALSE)+VLOOKUP($A384,A:AL,34,FALSE)-50))</f>
        <v>284</v>
      </c>
      <c r="AJ384" s="3">
        <f>IF(ISERROR(VLOOKUP($A384,'SegEnds_NonXtal_BW#'!$A:$Z,25,FALSE)+VLOOKUP($A384,A:AL,37,FALSE)-50),"-",(VLOOKUP($A384,'SegEnds_NonXtal_BW#'!$A:$Z,25,FALSE)+VLOOKUP($A384,A:AL,37,FALSE)-50))</f>
        <v>285</v>
      </c>
      <c r="AK384" s="3">
        <v>288</v>
      </c>
      <c r="AL384" s="3">
        <f>IF(ISERROR((VLOOKUP($A384,'SegEnds_NonXtal_BW#'!$A:$Z,26,FALSE)+VLOOKUP($A384,A:AL,37,FALSE)-50)),"-",(VLOOKUP($A384,'SegEnds_NonXtal_BW#'!$A:$Z,26,FALSE)+VLOOKUP($A384,A:AL,37,FALSE)-50))</f>
        <v>298</v>
      </c>
      <c r="AM384" s="28" t="str">
        <f>VLOOKUP(A384,Classification!A:B,2,FALSE)</f>
        <v>T</v>
      </c>
      <c r="AN384" s="28" t="b">
        <f>AND(IF(Y384="-",IF(AA384-W384&gt;3,TRUE,FALSE),TRUE),IF(M384="-",IF(O384-K384&gt;3,TRUE,FALSE),TRUE),C384&lt;E384,OR(E384&lt;F384,F384="-"),OR(F384&lt;H384,F384="-"),OR(H384&lt;I384,H384="-"),I384&lt;K384,OR(K384&lt;L384,L384="-"),OR(L384&lt;N384,L384="-"),OR(N384&lt;O384,N384="-"),O384&lt;Q384,OR(Q384&lt;R384,R384="-"),OR(R384&lt;T384,R384="-"),OR(T384&lt;U384,T384="-"),U384&lt;W384,OR(W384&lt;X384,X384="-"),OR(X384&lt;Z384,X384="-"),OR(Z384&lt;AA384,Z384="-"),AA384&lt;AC384,AC384&lt;AD384,AD384&lt;AF384,AF384&lt;AG384,AG384&lt;AI384,OR(AI384&lt;AJ384,AJ384="-"),OR(AJ384&lt;AL384,AJ384="-"))</f>
        <v>1</v>
      </c>
      <c r="AO384" s="3" t="str">
        <f>IF(ISERROR(MATCH(A384,'SegEnds_Xtal_Prot#'!B:B, 0)), "NoXtal", "Xtal")</f>
        <v>NoXtal</v>
      </c>
      <c r="AP384" s="3">
        <f>IF(ISERROR(F384-E384),"-",F384-E384)</f>
        <v>1</v>
      </c>
      <c r="AQ384" s="3">
        <f>IF(ISERROR(I384-H384),"-",I384-H384)</f>
        <v>1</v>
      </c>
      <c r="AR384" s="3" t="str">
        <f>IF(ISERROR(L384-K384),"-",L384-K384)</f>
        <v>-</v>
      </c>
      <c r="AS384" s="3" t="str">
        <f>IF(ISERROR(O384-N384),"-",O384-N384)</f>
        <v>-</v>
      </c>
      <c r="AT384" s="3">
        <f>IF(ISERROR(R384-Q384),"-",R384-Q384)</f>
        <v>3</v>
      </c>
      <c r="AU384" s="3">
        <f>IF(ISERROR(U384-T384),"-",U384-T384)</f>
        <v>1</v>
      </c>
      <c r="AV384" s="3" t="str">
        <f>IF(ISERROR(X384-W384),"-",X384-W384)</f>
        <v>-</v>
      </c>
      <c r="AW384" s="3" t="str">
        <f>IF(ISERROR(AA384-Z384),"-",AA384-Z384)</f>
        <v>-</v>
      </c>
      <c r="AX384" s="3">
        <f>IF(ISERROR(AD384-AC384),"-",AD384-AC384)</f>
        <v>10</v>
      </c>
      <c r="AY384" s="3">
        <f>IF(ISERROR(AG384-AF384),"-",AG384-AF384)</f>
        <v>5</v>
      </c>
      <c r="AZ384" s="3">
        <f>IF(ISERROR(AJ384-AI384),"-",AJ384-AI384)</f>
        <v>1</v>
      </c>
      <c r="BA384" s="3">
        <f>IF(ISERROR(LEN(VLOOKUP(A384,Seqs!A:E,2,FALSE))-AL384),"-",LEN(VLOOKUP(A384,Seqs!A:E,2,FALSE))-AL384)</f>
        <v>5</v>
      </c>
      <c r="BB384" s="16">
        <f>J384-D384</f>
        <v>31</v>
      </c>
      <c r="BC384" s="9">
        <f>IF(ISERROR(V384-S384),"-",V384-S384)</f>
        <v>20</v>
      </c>
      <c r="BD384" s="3">
        <f>J384-D384</f>
        <v>31</v>
      </c>
      <c r="BE384" s="3">
        <f>AE384-AB384</f>
        <v>53</v>
      </c>
      <c r="BF384" s="3">
        <f>AH384-AE384</f>
        <v>35</v>
      </c>
    </row>
    <row r="385" spans="1:58" s="3" customFormat="1" x14ac:dyDescent="0.2">
      <c r="A385" s="3" t="s">
        <v>458</v>
      </c>
      <c r="B385" s="3" t="str">
        <f>LOWER(VLOOKUP(A385,Xtal_Templ!A:B,2,FALSE))</f>
        <v>apj_human</v>
      </c>
      <c r="C385" s="3">
        <f>VLOOKUP($A385,'SegEnds_NonXtal_BW#'!$A:$Z,3,FALSE)+D385-50</f>
        <v>6</v>
      </c>
      <c r="D385" s="3">
        <v>24</v>
      </c>
      <c r="E385" s="3">
        <f>F385-1</f>
        <v>36</v>
      </c>
      <c r="F385" s="3">
        <f>G385-2</f>
        <v>37</v>
      </c>
      <c r="G385" s="3">
        <v>39</v>
      </c>
      <c r="H385" s="3">
        <f>G385+1</f>
        <v>40</v>
      </c>
      <c r="I385" s="3">
        <f>H385+1</f>
        <v>41</v>
      </c>
      <c r="J385" s="3">
        <v>55</v>
      </c>
      <c r="K385" s="3">
        <f>VLOOKUP($A385,'SegEnds_NonXtal_BW#'!$A:$Z,8,FALSE)+VLOOKUP($A385,A:AL,10,FALSE)-50</f>
        <v>72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78</v>
      </c>
      <c r="P385" s="3">
        <v>107</v>
      </c>
      <c r="Q385" s="3">
        <f>VLOOKUP($A385,'SegEnds_NonXtal_BW#'!$A:$Z,12,FALSE)+VLOOKUP($A385,A:AL,16,FALSE)-50</f>
        <v>113</v>
      </c>
      <c r="R385" s="3">
        <f>S385</f>
        <v>116</v>
      </c>
      <c r="S385" s="3">
        <v>116</v>
      </c>
      <c r="T385" s="103">
        <f>S385+7</f>
        <v>123</v>
      </c>
      <c r="U385" s="9">
        <f>IF(ISERROR(VLOOKUP($A385,'SegEnds_NonXtal_BW#'!$A:$Z,15,FALSE)+VLOOKUP($A385,A:AL,22,FALSE)-50),"-",VLOOKUP($A385,'SegEnds_NonXtal_BW#'!$A:$Z,15,FALSE)+VLOOKUP($A385,A:AL,22,FALSE)-50)</f>
        <v>124</v>
      </c>
      <c r="V385" s="3">
        <v>136</v>
      </c>
      <c r="W385" s="3">
        <f>IF(ISERROR(VLOOKUP($A385,'SegEnds_NonXtal_BW#'!$A:$Z,16,FALSE)+VLOOKUP($A385,A:AL,22,FALSE)-50),"-",(VLOOKUP($A385,'SegEnds_NonXtal_BW#'!$A:$Z,16,FALSE)+VLOOKUP($A385,A:AL,22,FALSE)-50))</f>
        <v>150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172</v>
      </c>
      <c r="AB385" s="3">
        <v>190</v>
      </c>
      <c r="AC385" s="3">
        <f>IF(ISERROR((VLOOKUP($A385,'SegEnds_NonXtal_BW#'!$A:$Z,20,FALSE)+VLOOKUP($A385,A:AL,28,FALSE)-50)),"-",(VLOOKUP($A385,'SegEnds_NonXtal_BW#'!$A:$Z,20,FALSE)+VLOOKUP($A385,A:AL,28,FALSE)-50))</f>
        <v>212</v>
      </c>
      <c r="AD385" s="3">
        <f>IF(ISERROR(VLOOKUP($A385,'SegEnds_NonXtal_BW#'!$A:$Z,21,FALSE)+VLOOKUP($A385,A:AL,31,FALSE)-50),"-",(VLOOKUP($A385,'SegEnds_NonXtal_BW#'!$A:$Z,21,FALSE)+VLOOKUP($A385,A:AL,31,FALSE)-50))</f>
        <v>221</v>
      </c>
      <c r="AE385" s="3">
        <v>242</v>
      </c>
      <c r="AF385" s="3">
        <f>IF(ISERROR((VLOOKUP($A385,'SegEnds_NonXtal_BW#'!$A:$Z,22,FALSE)+VLOOKUP($A385,A:AL,31,FALSE)-50)),"-",(VLOOKUP($A385,'SegEnds_NonXtal_BW#'!$A:$Z,22,FALSE)+VLOOKUP($A385,A:AL,31,FALSE)-50))</f>
        <v>253</v>
      </c>
      <c r="AG385" s="3">
        <f>IF(ISERROR(VLOOKUP($A385,'SegEnds_NonXtal_BW#'!$A:$Z,23,FALSE)+VLOOKUP($A385,A:AL,34,FALSE)-50),"-",(VLOOKUP($A385,'SegEnds_NonXtal_BW#'!$A:$Z,23,FALSE)+VLOOKUP($A385,A:AL,34,FALSE)-50))</f>
        <v>258</v>
      </c>
      <c r="AH385" s="3">
        <v>277</v>
      </c>
      <c r="AI385" s="3">
        <f>IF(ISERROR((VLOOKUP($A385,'SegEnds_NonXtal_BW#'!$A:$Z,24,FALSE)+VLOOKUP($A385,A:AL,34,FALSE)-50)),"-",(VLOOKUP($A385,'SegEnds_NonXtal_BW#'!$A:$Z,24,FALSE)+VLOOKUP($A385,A:AL,34,FALSE)-50))</f>
        <v>283</v>
      </c>
      <c r="AJ385" s="3">
        <f>IF(ISERROR(VLOOKUP($A385,'SegEnds_NonXtal_BW#'!$A:$Z,25,FALSE)+VLOOKUP($A385,A:AL,37,FALSE)-50),"-",(VLOOKUP($A385,'SegEnds_NonXtal_BW#'!$A:$Z,25,FALSE)+VLOOKUP($A385,A:AL,37,FALSE)-50))</f>
        <v>284</v>
      </c>
      <c r="AK385" s="3">
        <v>287</v>
      </c>
      <c r="AL385" s="3">
        <f>IF(ISERROR((VLOOKUP($A385,'SegEnds_NonXtal_BW#'!$A:$Z,26,FALSE)+VLOOKUP($A385,A:AL,37,FALSE)-50)),"-",(VLOOKUP($A385,'SegEnds_NonXtal_BW#'!$A:$Z,26,FALSE)+VLOOKUP($A385,A:AL,37,FALSE)-50))</f>
        <v>297</v>
      </c>
      <c r="AM385" s="28" t="str">
        <f>VLOOKUP(A385,Classification!A:B,2,FALSE)</f>
        <v>T</v>
      </c>
      <c r="AN385" s="28" t="b">
        <f>AND(IF(Y385="-",IF(AA385-W385&gt;3,TRUE,FALSE),TRUE),IF(M385="-",IF(O385-K385&gt;3,TRUE,FALSE),TRU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    <v>1</v>
      </c>
      <c r="AO385" s="3" t="str">
        <f>IF(ISERROR(MATCH(A385,'SegEnds_Xtal_Prot#'!B:B, 0)), "NoXtal", "Xtal")</f>
        <v>NoXtal</v>
      </c>
      <c r="AP385" s="3">
        <f>IF(ISERROR(F385-E385),"-",F385-E385)</f>
        <v>1</v>
      </c>
      <c r="AQ385" s="3">
        <f>IF(ISERROR(I385-H385),"-",I385-H385)</f>
        <v>1</v>
      </c>
      <c r="AR385" s="3" t="str">
        <f>IF(ISERROR(L385-K385),"-",L385-K385)</f>
        <v>-</v>
      </c>
      <c r="AS385" s="3" t="str">
        <f>IF(ISERROR(O385-N385),"-",O385-N385)</f>
        <v>-</v>
      </c>
      <c r="AT385" s="3">
        <f>IF(ISERROR(R385-Q385),"-",R385-Q385)</f>
        <v>3</v>
      </c>
      <c r="AU385" s="3">
        <f>IF(ISERROR(U385-T385),"-",U385-T385)</f>
        <v>1</v>
      </c>
      <c r="AV385" s="3" t="str">
        <f>IF(ISERROR(X385-W385),"-",X385-W385)</f>
        <v>-</v>
      </c>
      <c r="AW385" s="3" t="str">
        <f>IF(ISERROR(AA385-Z385),"-",AA385-Z385)</f>
        <v>-</v>
      </c>
      <c r="AX385" s="3">
        <f>IF(ISERROR(AD385-AC385),"-",AD385-AC385)</f>
        <v>9</v>
      </c>
      <c r="AY385" s="3">
        <f>IF(ISERROR(AG385-AF385),"-",AG385-AF385)</f>
        <v>5</v>
      </c>
      <c r="AZ385" s="3">
        <f>IF(ISERROR(AJ385-AI385),"-",AJ385-AI385)</f>
        <v>1</v>
      </c>
      <c r="BA385" s="3">
        <f>IF(ISERROR(LEN(VLOOKUP(A385,Seqs!A:E,2,FALSE))-AL385),"-",LEN(VLOOKUP(A385,Seqs!A:E,2,FALSE))-AL385)</f>
        <v>20</v>
      </c>
      <c r="BB385" s="16">
        <f>J385-D385</f>
        <v>31</v>
      </c>
      <c r="BC385" s="9">
        <f>IF(ISERROR(V385-S385),"-",V385-S385)</f>
        <v>20</v>
      </c>
      <c r="BD385" s="3">
        <f>J385-D385</f>
        <v>31</v>
      </c>
      <c r="BE385" s="3">
        <f>AE385-AB385</f>
        <v>52</v>
      </c>
      <c r="BF385" s="3">
        <f>AH385-AE385</f>
        <v>35</v>
      </c>
    </row>
    <row r="386" spans="1:58" s="3" customFormat="1" x14ac:dyDescent="0.2">
      <c r="A386" s="3" t="s">
        <v>459</v>
      </c>
      <c r="B386" s="3" t="str">
        <f>LOWER(VLOOKUP(A386,Xtal_Templ!A:B,2,FALSE))</f>
        <v>cxcr4_human</v>
      </c>
      <c r="C386" s="3">
        <f>VLOOKUP($A386,'SegEnds_NonXtal_BW#'!$A:$Z,3,FALSE)+D386-50</f>
        <v>7</v>
      </c>
      <c r="D386" s="3">
        <v>25</v>
      </c>
      <c r="E386" s="3">
        <f>F386-1</f>
        <v>37</v>
      </c>
      <c r="F386" s="3">
        <f>G386-2</f>
        <v>38</v>
      </c>
      <c r="G386" s="3">
        <v>40</v>
      </c>
      <c r="H386" s="3">
        <f>G386+1</f>
        <v>41</v>
      </c>
      <c r="I386" s="3">
        <f>H386+1</f>
        <v>42</v>
      </c>
      <c r="J386" s="3">
        <v>56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77</v>
      </c>
      <c r="P386" s="3">
        <v>103</v>
      </c>
      <c r="Q386" s="3">
        <f>VLOOKUP($A386,'SegEnds_NonXtal_BW#'!$A:$Z,12,FALSE)+VLOOKUP($A386,A:AL,16,FALSE)-50</f>
        <v>109</v>
      </c>
      <c r="R386" s="3">
        <f>S386</f>
        <v>112</v>
      </c>
      <c r="S386" s="3">
        <v>112</v>
      </c>
      <c r="T386" s="103">
        <f>S386+7</f>
        <v>119</v>
      </c>
      <c r="U386" s="9">
        <f>IF(ISERROR(VLOOKUP($A386,'SegEnds_NonXtal_BW#'!$A:$Z,15,FALSE)+VLOOKUP($A386,A:AL,22,FALSE)-50),"-",VLOOKUP($A386,'SegEnds_NonXtal_BW#'!$A:$Z,15,FALSE)+VLOOKUP($A386,A:AL,22,FALSE)-50)</f>
        <v>120</v>
      </c>
      <c r="V386" s="3">
        <v>132</v>
      </c>
      <c r="W386" s="3">
        <f>IF(ISERROR(VLOOKUP($A386,'SegEnds_NonXtal_BW#'!$A:$Z,16,FALSE)+VLOOKUP($A386,A:AL,22,FALSE)-50),"-",(VLOOKUP($A386,'SegEnds_NonXtal_BW#'!$A:$Z,16,FALSE)+VLOOKUP($A386,A:AL,22,FALSE)-50))</f>
        <v>146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170</v>
      </c>
      <c r="AB386" s="3">
        <v>188</v>
      </c>
      <c r="AC386" s="3">
        <f>IF(ISERROR((VLOOKUP($A386,'SegEnds_NonXtal_BW#'!$A:$Z,20,FALSE)+VLOOKUP($A386,A:AL,28,FALSE)-50)),"-",(VLOOKUP($A386,'SegEnds_NonXtal_BW#'!$A:$Z,20,FALSE)+VLOOKUP($A386,A:AL,28,FALSE)-50))</f>
        <v>210</v>
      </c>
      <c r="AD386" s="3">
        <f>IF(ISERROR(VLOOKUP($A386,'SegEnds_NonXtal_BW#'!$A:$Z,21,FALSE)+VLOOKUP($A386,A:AL,31,FALSE)-50),"-",(VLOOKUP($A386,'SegEnds_NonXtal_BW#'!$A:$Z,21,FALSE)+VLOOKUP($A386,A:AL,31,FALSE)-50))</f>
        <v>217</v>
      </c>
      <c r="AE386" s="3">
        <v>238</v>
      </c>
      <c r="AF386" s="3">
        <f>IF(ISERROR((VLOOKUP($A386,'SegEnds_NonXtal_BW#'!$A:$Z,22,FALSE)+VLOOKUP($A386,A:AL,31,FALSE)-50)),"-",(VLOOKUP($A386,'SegEnds_NonXtal_BW#'!$A:$Z,22,FALSE)+VLOOKUP($A386,A:AL,31,FALSE)-50))</f>
        <v>249</v>
      </c>
      <c r="AG386" s="3">
        <f>IF(ISERROR(VLOOKUP($A386,'SegEnds_NonXtal_BW#'!$A:$Z,23,FALSE)+VLOOKUP($A386,A:AL,34,FALSE)-50),"-",(VLOOKUP($A386,'SegEnds_NonXtal_BW#'!$A:$Z,23,FALSE)+VLOOKUP($A386,A:AL,34,FALSE)-50))</f>
        <v>254</v>
      </c>
      <c r="AH386" s="3">
        <v>273</v>
      </c>
      <c r="AI386" s="3">
        <f>IF(ISERROR((VLOOKUP($A386,'SegEnds_NonXtal_BW#'!$A:$Z,24,FALSE)+VLOOKUP($A386,A:AL,34,FALSE)-50)),"-",(VLOOKUP($A386,'SegEnds_NonXtal_BW#'!$A:$Z,24,FALSE)+VLOOKUP($A386,A:AL,34,FALSE)-50))</f>
        <v>279</v>
      </c>
      <c r="AJ386" s="3">
        <f>IF(ISERROR(VLOOKUP($A386,'SegEnds_NonXtal_BW#'!$A:$Z,25,FALSE)+VLOOKUP($A386,A:AL,37,FALSE)-50),"-",(VLOOKUP($A386,'SegEnds_NonXtal_BW#'!$A:$Z,25,FALSE)+VLOOKUP($A386,A:AL,37,FALSE)-50))</f>
        <v>280</v>
      </c>
      <c r="AK386" s="3">
        <v>283</v>
      </c>
      <c r="AL386" s="3">
        <v>291</v>
      </c>
      <c r="AM386" s="28" t="str">
        <f>VLOOKUP(A386,Classification!A:B,2,FALSE)</f>
        <v>T</v>
      </c>
      <c r="AN386" s="28" t="b">
        <f>AND(IF(Y386="-",IF(AA386-W386&gt;3,TRUE,FALSE),TRUE),IF(M386="-",IF(O386-K386&gt;3,TRUE,FALSE),TRU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NoXtal</v>
      </c>
      <c r="AP386" s="3">
        <f>IF(ISERROR(F386-E386),"-",F386-E386)</f>
        <v>1</v>
      </c>
      <c r="AQ386" s="3">
        <f>IF(ISERROR(I386-H386),"-",I386-H386)</f>
        <v>1</v>
      </c>
      <c r="AR386" s="3" t="str">
        <f>IF(ISERROR(L386-K386),"-",L386-K386)</f>
        <v>-</v>
      </c>
      <c r="AS386" s="3" t="str">
        <f>IF(ISERROR(O386-N386),"-",O386-N386)</f>
        <v>-</v>
      </c>
      <c r="AT386" s="3">
        <f>IF(ISERROR(R386-Q386),"-",R386-Q386)</f>
        <v>3</v>
      </c>
      <c r="AU386" s="3">
        <f>IF(ISERROR(U386-T386),"-",U386-T386)</f>
        <v>1</v>
      </c>
      <c r="AV386" s="3" t="str">
        <f>IF(ISERROR(X386-W386),"-",X386-W386)</f>
        <v>-</v>
      </c>
      <c r="AW386" s="3" t="str">
        <f>IF(ISERROR(AA386-Z386),"-",AA386-Z386)</f>
        <v>-</v>
      </c>
      <c r="AX386" s="3">
        <f>IF(ISERROR(AD386-AC386),"-",AD386-AC386)</f>
        <v>7</v>
      </c>
      <c r="AY386" s="3">
        <f>IF(ISERROR(AG386-AF386),"-",AG386-AF386)</f>
        <v>5</v>
      </c>
      <c r="AZ386" s="3">
        <f>IF(ISERROR(AJ386-AI386),"-",AJ386-AI386)</f>
        <v>1</v>
      </c>
      <c r="BA386" s="3">
        <f>IF(ISERROR(LEN(VLOOKUP(A386,Seqs!A:E,2,FALSE))-AL386),"-",LEN(VLOOKUP(A386,Seqs!A:E,2,FALSE))-AL386)</f>
        <v>0</v>
      </c>
      <c r="BB386" s="16">
        <f>J386-D386</f>
        <v>31</v>
      </c>
      <c r="BC386" s="9">
        <f>IF(ISERROR(V386-S386),"-",V386-S386)</f>
        <v>20</v>
      </c>
      <c r="BD386" s="3">
        <f>J386-D386</f>
        <v>31</v>
      </c>
      <c r="BE386" s="3">
        <f>AE386-AB386</f>
        <v>50</v>
      </c>
      <c r="BF386" s="3">
        <f>AH386-AE386</f>
        <v>35</v>
      </c>
    </row>
    <row r="387" spans="1:58" s="3" customFormat="1" x14ac:dyDescent="0.2">
      <c r="A387" s="3" t="s">
        <v>460</v>
      </c>
      <c r="B387" s="3" t="str">
        <f>LOWER(VLOOKUP(A387,Xtal_Templ!A:B,2,FALSE))</f>
        <v>acm2_human</v>
      </c>
      <c r="C387" s="3">
        <f>VLOOKUP($A387,'SegEnds_NonXtal_BW#'!$A:$Z,3,FALSE)+D387-50</f>
        <v>6</v>
      </c>
      <c r="D387" s="3">
        <v>24</v>
      </c>
      <c r="E387" s="3">
        <f>F387-1</f>
        <v>36</v>
      </c>
      <c r="F387" s="3">
        <f>G387-2</f>
        <v>37</v>
      </c>
      <c r="G387" s="3">
        <v>39</v>
      </c>
      <c r="H387" s="3">
        <f>G387+1</f>
        <v>40</v>
      </c>
      <c r="I387" s="3">
        <f>H387+1</f>
        <v>41</v>
      </c>
      <c r="J387" s="3">
        <v>55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>S387</f>
        <v>115</v>
      </c>
      <c r="S387" s="3">
        <v>115</v>
      </c>
      <c r="T387" s="103">
        <f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154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169</v>
      </c>
      <c r="AB387" s="3">
        <v>187</v>
      </c>
      <c r="AC387" s="3">
        <f>IF(ISERROR((VLOOKUP($A387,'SegEnds_NonXtal_BW#'!$A:$Z,20,FALSE)+VLOOKUP($A387,A:AL,28,FALSE)-50)),"-",(VLOOKUP($A387,'SegEnds_NonXtal_BW#'!$A:$Z,20,FALSE)+VLOOKUP($A387,A:AL,28,FALSE)-50))</f>
        <v>209</v>
      </c>
      <c r="AD387" s="3">
        <f>IF(ISERROR(VLOOKUP($A387,'SegEnds_NonXtal_BW#'!$A:$Z,21,FALSE)+VLOOKUP($A387,A:AL,31,FALSE)-50),"-",(VLOOKUP($A387,'SegEnds_NonXtal_BW#'!$A:$Z,21,FALSE)+VLOOKUP($A387,A:AL,31,FALSE)-50))</f>
        <v>219</v>
      </c>
      <c r="AE387" s="3">
        <v>240</v>
      </c>
      <c r="AF387" s="3">
        <f>IF(ISERROR((VLOOKUP($A387,'SegEnds_NonXtal_BW#'!$A:$Z,22,FALSE)+VLOOKUP($A387,A:AL,31,FALSE)-50)),"-",(VLOOKUP($A387,'SegEnds_NonXtal_BW#'!$A:$Z,22,FALSE)+VLOOKUP($A387,A:AL,31,FALSE)-50))</f>
        <v>251</v>
      </c>
      <c r="AG387" s="3">
        <f>IF(ISERROR(VLOOKUP($A387,'SegEnds_NonXtal_BW#'!$A:$Z,23,FALSE)+VLOOKUP($A387,A:AL,34,FALSE)-50),"-",(VLOOKUP($A387,'SegEnds_NonXtal_BW#'!$A:$Z,23,FALSE)+VLOOKUP($A387,A:AL,34,FALSE)-50))</f>
        <v>257</v>
      </c>
      <c r="AH387" s="3">
        <v>276</v>
      </c>
      <c r="AI387" s="3">
        <f>IF(ISERROR((VLOOKUP($A387,'SegEnds_NonXtal_BW#'!$A:$Z,24,FALSE)+VLOOKUP($A387,A:AL,34,FALSE)-50)),"-",(VLOOKUP($A387,'SegEnds_NonXtal_BW#'!$A:$Z,24,FALSE)+VLOOKUP($A387,A:AL,34,FALSE)-50))</f>
        <v>282</v>
      </c>
      <c r="AJ387" s="3">
        <f>IF(ISERROR(VLOOKUP($A387,'SegEnds_NonXtal_BW#'!$A:$Z,25,FALSE)+VLOOKUP($A387,A:AL,37,FALSE)-50),"-",(VLOOKUP($A387,'SegEnds_NonXtal_BW#'!$A:$Z,25,FALSE)+VLOOKUP($A387,A:AL,37,FALSE)-50))</f>
        <v>283</v>
      </c>
      <c r="AK387" s="3">
        <v>286</v>
      </c>
      <c r="AL387" s="3">
        <f>IF(ISERROR((VLOOKUP($A387,'SegEnds_NonXtal_BW#'!$A:$Z,26,FALSE)+VLOOKUP($A387,A:AL,37,FALSE)-50)),"-",(VLOOKUP($A387,'SegEnds_NonXtal_BW#'!$A:$Z,26,FALSE)+VLOOKUP($A387,A:AL,37,FALSE)-50))</f>
        <v>296</v>
      </c>
      <c r="AM387" s="28" t="str">
        <f>VLOOKUP(A387,Classification!A:B,2,FALSE)</f>
        <v>T</v>
      </c>
      <c r="AN387" s="28" t="b">
        <f>AND(IF(Y387="-",IF(AA387-W387&gt;3,TRUE,FALSE),TRUE),IF(M387="-",IF(O387-K387&gt;3,TRUE,FALSE),TRU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3" t="str">
        <f>IF(ISERROR(MATCH(A387,'SegEnds_Xtal_Prot#'!B:B, 0)), "NoXtal", "Xtal")</f>
        <v>NoXtal</v>
      </c>
      <c r="AP387" s="3">
        <f>IF(ISERROR(F387-E387),"-",F387-E387)</f>
        <v>1</v>
      </c>
      <c r="AQ387" s="3">
        <f>IF(ISERROR(I387-H387),"-",I387-H387)</f>
        <v>1</v>
      </c>
      <c r="AR387" s="3" t="str">
        <f>IF(ISERROR(L387-K387),"-",L387-K387)</f>
        <v>-</v>
      </c>
      <c r="AS387" s="3" t="str">
        <f>IF(ISERROR(O387-N387),"-",O387-N387)</f>
        <v>-</v>
      </c>
      <c r="AT387" s="3">
        <f>IF(ISERROR(R387-Q387),"-",R387-Q387)</f>
        <v>3</v>
      </c>
      <c r="AU387" s="3">
        <f>IF(ISERROR(U387-T387),"-",U387-T387)</f>
        <v>1</v>
      </c>
      <c r="AV387" s="3" t="str">
        <f>IF(ISERROR(X387-W387),"-",X387-W387)</f>
        <v>-</v>
      </c>
      <c r="AW387" s="3" t="str">
        <f>IF(ISERROR(AA387-Z387),"-",AA387-Z387)</f>
        <v>-</v>
      </c>
      <c r="AX387" s="3">
        <f>IF(ISERROR(AD387-AC387),"-",AD387-AC387)</f>
        <v>10</v>
      </c>
      <c r="AY387" s="3">
        <f>IF(ISERROR(AG387-AF387),"-",AG387-AF387)</f>
        <v>6</v>
      </c>
      <c r="AZ387" s="3">
        <f>IF(ISERROR(AJ387-AI387),"-",AJ387-AI387)</f>
        <v>1</v>
      </c>
      <c r="BA387" s="3">
        <f>IF(ISERROR(LEN(VLOOKUP(A387,Seqs!A:E,2,FALSE))-AL387),"-",LEN(VLOOKUP(A387,Seqs!A:E,2,FALSE))-AL387)</f>
        <v>3</v>
      </c>
      <c r="BB387" s="16">
        <f>J387-D387</f>
        <v>31</v>
      </c>
      <c r="BC387" s="9">
        <f>IF(ISERROR(V387-S387),"-",V387-S387)</f>
        <v>20</v>
      </c>
      <c r="BD387" s="3">
        <f>J387-D387</f>
        <v>31</v>
      </c>
      <c r="BE387" s="3">
        <f>AE387-AB387</f>
        <v>53</v>
      </c>
      <c r="BF387" s="3">
        <f>AH387-AE387</f>
        <v>36</v>
      </c>
    </row>
    <row r="388" spans="1:58" s="3" customFormat="1" x14ac:dyDescent="0.2">
      <c r="A388" s="3" t="s">
        <v>461</v>
      </c>
      <c r="B388" s="3" t="str">
        <f>LOWER(VLOOKUP(A388,Xtal_Templ!A:B,2,FALSE))</f>
        <v>5ht2b_human</v>
      </c>
      <c r="C388" s="3">
        <f>VLOOKUP($A388,'SegEnds_NonXtal_BW#'!$A:$Z,3,FALSE)+D388-50</f>
        <v>6</v>
      </c>
      <c r="D388" s="3">
        <v>24</v>
      </c>
      <c r="E388" s="3">
        <f>F388-1</f>
        <v>36</v>
      </c>
      <c r="F388" s="3">
        <f>G388-2</f>
        <v>37</v>
      </c>
      <c r="G388" s="3">
        <v>39</v>
      </c>
      <c r="H388" s="3">
        <f>G388+1</f>
        <v>40</v>
      </c>
      <c r="I388" s="3">
        <f>H388+1</f>
        <v>41</v>
      </c>
      <c r="J388" s="3">
        <v>55</v>
      </c>
      <c r="K388" s="3">
        <f>VLOOKUP($A388,'SegEnds_NonXtal_BW#'!$A:$Z,8,FALSE)+VLOOKUP($A388,A:AL,10,FALSE)-50</f>
        <v>71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106</v>
      </c>
      <c r="Q388" s="3">
        <f>VLOOKUP($A388,'SegEnds_NonXtal_BW#'!$A:$Z,12,FALSE)+VLOOKUP($A388,A:AL,16,FALSE)-50</f>
        <v>112</v>
      </c>
      <c r="R388" s="3">
        <f>S388</f>
        <v>115</v>
      </c>
      <c r="S388" s="3">
        <v>115</v>
      </c>
      <c r="T388" s="103">
        <f>S388+7</f>
        <v>122</v>
      </c>
      <c r="U388" s="9">
        <f>IF(ISERROR(VLOOKUP($A388,'SegEnds_NonXtal_BW#'!$A:$Z,15,FALSE)+VLOOKUP($A388,A:AL,22,FALSE)-50),"-",VLOOKUP($A388,'SegEnds_NonXtal_BW#'!$A:$Z,15,FALSE)+VLOOKUP($A388,A:AL,22,FALSE)-50)</f>
        <v>123</v>
      </c>
      <c r="V388" s="3">
        <v>135</v>
      </c>
      <c r="W388" s="3">
        <f>IF(ISERROR(VLOOKUP($A388,'SegEnds_NonXtal_BW#'!$A:$Z,16,FALSE)+VLOOKUP($A388,A:AL,22,FALSE)-50),"-",(VLOOKUP($A388,'SegEnds_NonXtal_BW#'!$A:$Z,16,FALSE)+VLOOKUP($A388,A:AL,22,FALSE)-50))</f>
        <v>149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169</v>
      </c>
      <c r="AB388" s="3">
        <v>187</v>
      </c>
      <c r="AC388" s="3">
        <f>IF(ISERROR((VLOOKUP($A388,'SegEnds_NonXtal_BW#'!$A:$Z,20,FALSE)+VLOOKUP($A388,A:AL,28,FALSE)-50)),"-",(VLOOKUP($A388,'SegEnds_NonXtal_BW#'!$A:$Z,20,FALSE)+VLOOKUP($A388,A:AL,28,FALSE)-50))</f>
        <v>209</v>
      </c>
      <c r="AD388" s="3">
        <f>IF(ISERROR(VLOOKUP($A388,'SegEnds_NonXtal_BW#'!$A:$Z,21,FALSE)+VLOOKUP($A388,A:AL,31,FALSE)-50),"-",(VLOOKUP($A388,'SegEnds_NonXtal_BW#'!$A:$Z,21,FALSE)+VLOOKUP($A388,A:AL,31,FALSE)-50))</f>
        <v>219</v>
      </c>
      <c r="AE388" s="3">
        <v>240</v>
      </c>
      <c r="AF388" s="3">
        <f>IF(ISERROR((VLOOKUP($A388,'SegEnds_NonXtal_BW#'!$A:$Z,22,FALSE)+VLOOKUP($A388,A:AL,31,FALSE)-50)),"-",(VLOOKUP($A388,'SegEnds_NonXtal_BW#'!$A:$Z,22,FALSE)+VLOOKUP($A388,A:AL,31,FALSE)-50))</f>
        <v>251</v>
      </c>
      <c r="AG388" s="3">
        <f>IF(ISERROR(VLOOKUP($A388,'SegEnds_NonXtal_BW#'!$A:$Z,23,FALSE)+VLOOKUP($A388,A:AL,34,FALSE)-50),"-",(VLOOKUP($A388,'SegEnds_NonXtal_BW#'!$A:$Z,23,FALSE)+VLOOKUP($A388,A:AL,34,FALSE)-50))</f>
        <v>257</v>
      </c>
      <c r="AH388" s="3">
        <v>276</v>
      </c>
      <c r="AI388" s="3">
        <f>IF(ISERROR((VLOOKUP($A388,'SegEnds_NonXtal_BW#'!$A:$Z,24,FALSE)+VLOOKUP($A388,A:AL,34,FALSE)-50)),"-",(VLOOKUP($A388,'SegEnds_NonXtal_BW#'!$A:$Z,24,FALSE)+VLOOKUP($A388,A:AL,34,FALSE)-50))</f>
        <v>282</v>
      </c>
      <c r="AJ388" s="3">
        <f>IF(ISERROR(VLOOKUP($A388,'SegEnds_NonXtal_BW#'!$A:$Z,25,FALSE)+VLOOKUP($A388,A:AL,37,FALSE)-50),"-",(VLOOKUP($A388,'SegEnds_NonXtal_BW#'!$A:$Z,25,FALSE)+VLOOKUP($A388,A:AL,37,FALSE)-50))</f>
        <v>283</v>
      </c>
      <c r="AK388" s="3">
        <v>286</v>
      </c>
      <c r="AL388" s="3">
        <f>IF(ISERROR((VLOOKUP($A388,'SegEnds_NonXtal_BW#'!$A:$Z,26,FALSE)+VLOOKUP($A388,A:AL,37,FALSE)-50)),"-",(VLOOKUP($A388,'SegEnds_NonXtal_BW#'!$A:$Z,26,FALSE)+VLOOKUP($A388,A:AL,37,FALSE)-50))</f>
        <v>296</v>
      </c>
      <c r="AM388" s="28" t="str">
        <f>VLOOKUP(A388,Classification!A:B,2,FALSE)</f>
        <v>T</v>
      </c>
      <c r="AN388" s="28" t="b">
        <f>AND(IF(Y388="-",IF(AA388-W388&gt;3,TRUE,FALSE),TRUE),IF(M388="-",IF(O388-K388&gt;3,TRUE,FALSE),TRU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    <v>1</v>
      </c>
      <c r="AO388" s="3" t="str">
        <f>IF(ISERROR(MATCH(A388,'SegEnds_Xtal_Prot#'!B:B, 0)), "NoXtal", "Xtal")</f>
        <v>NoXtal</v>
      </c>
      <c r="AP388" s="3">
        <f>IF(ISERROR(F388-E388),"-",F388-E388)</f>
        <v>1</v>
      </c>
      <c r="AQ388" s="3">
        <f>IF(ISERROR(I388-H388),"-",I388-H388)</f>
        <v>1</v>
      </c>
      <c r="AR388" s="3" t="str">
        <f>IF(ISERROR(L388-K388),"-",L388-K388)</f>
        <v>-</v>
      </c>
      <c r="AS388" s="3" t="str">
        <f>IF(ISERROR(O388-N388),"-",O388-N388)</f>
        <v>-</v>
      </c>
      <c r="AT388" s="3">
        <f>IF(ISERROR(R388-Q388),"-",R388-Q388)</f>
        <v>3</v>
      </c>
      <c r="AU388" s="3">
        <f>IF(ISERROR(U388-T388),"-",U388-T388)</f>
        <v>1</v>
      </c>
      <c r="AV388" s="3" t="str">
        <f>IF(ISERROR(X388-W388),"-",X388-W388)</f>
        <v>-</v>
      </c>
      <c r="AW388" s="3" t="str">
        <f>IF(ISERROR(AA388-Z388),"-",AA388-Z388)</f>
        <v>-</v>
      </c>
      <c r="AX388" s="3">
        <f>IF(ISERROR(AD388-AC388),"-",AD388-AC388)</f>
        <v>10</v>
      </c>
      <c r="AY388" s="3">
        <f>IF(ISERROR(AG388-AF388),"-",AG388-AF388)</f>
        <v>6</v>
      </c>
      <c r="AZ388" s="3">
        <f>IF(ISERROR(AJ388-AI388),"-",AJ388-AI388)</f>
        <v>1</v>
      </c>
      <c r="BA388" s="3">
        <f>IF(ISERROR(LEN(VLOOKUP(A388,Seqs!A:E,2,FALSE))-AL388),"-",LEN(VLOOKUP(A388,Seqs!A:E,2,FALSE))-AL388)</f>
        <v>13</v>
      </c>
      <c r="BB388" s="16">
        <f>J388-D388</f>
        <v>31</v>
      </c>
      <c r="BC388" s="9">
        <f>IF(ISERROR(V388-S388),"-",V388-S388)</f>
        <v>20</v>
      </c>
      <c r="BD388" s="3">
        <f>J388-D388</f>
        <v>31</v>
      </c>
      <c r="BE388" s="3">
        <f>AE388-AB388</f>
        <v>53</v>
      </c>
      <c r="BF388" s="3">
        <f>AH388-AE388</f>
        <v>36</v>
      </c>
    </row>
    <row r="389" spans="1:58" s="3" customFormat="1" x14ac:dyDescent="0.2">
      <c r="A389" s="3" t="s">
        <v>462</v>
      </c>
      <c r="B389" s="3" t="str">
        <f>LOWER(VLOOKUP(A389,Xtal_Templ!A:B,2,FALSE))</f>
        <v>5ht2b_human</v>
      </c>
      <c r="C389" s="3">
        <f>VLOOKUP($A389,'SegEnds_NonXtal_BW#'!$A:$Z,3,FALSE)+D389-50</f>
        <v>6</v>
      </c>
      <c r="D389" s="3">
        <v>24</v>
      </c>
      <c r="E389" s="3">
        <f>F389-1</f>
        <v>36</v>
      </c>
      <c r="F389" s="3">
        <f>G389-2</f>
        <v>37</v>
      </c>
      <c r="G389" s="3">
        <v>39</v>
      </c>
      <c r="H389" s="3">
        <f>G389+1</f>
        <v>40</v>
      </c>
      <c r="I389" s="3">
        <f>H389+1</f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>S389</f>
        <v>115</v>
      </c>
      <c r="S389" s="3">
        <v>115</v>
      </c>
      <c r="T389" s="103">
        <f>S389+7</f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149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>AND(IF(Y389="-",IF(AA389-W389&gt;3,TRUE,FALSE),TRUE),IF(M389="-",IF(O389-K389&gt;3,TRUE,FALSE),TRU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>IF(ISERROR(F389-E389),"-",F389-E389)</f>
        <v>1</v>
      </c>
      <c r="AQ389" s="3">
        <f>IF(ISERROR(I389-H389),"-",I389-H389)</f>
        <v>1</v>
      </c>
      <c r="AR389" s="3" t="str">
        <f>IF(ISERROR(L389-K389),"-",L389-K389)</f>
        <v>-</v>
      </c>
      <c r="AS389" s="3" t="str">
        <f>IF(ISERROR(O389-N389),"-",O389-N389)</f>
        <v>-</v>
      </c>
      <c r="AT389" s="3">
        <f>IF(ISERROR(R389-Q389),"-",R389-Q389)</f>
        <v>3</v>
      </c>
      <c r="AU389" s="3">
        <f>IF(ISERROR(U389-T389),"-",U389-T389)</f>
        <v>1</v>
      </c>
      <c r="AV389" s="3" t="str">
        <f>IF(ISERROR(X389-W389),"-",X389-W389)</f>
        <v>-</v>
      </c>
      <c r="AW389" s="3" t="str">
        <f>IF(ISERROR(AA389-Z389),"-",AA389-Z389)</f>
        <v>-</v>
      </c>
      <c r="AX389" s="3">
        <f>IF(ISERROR(AD389-AC389),"-",AD389-AC389)</f>
        <v>10</v>
      </c>
      <c r="AY389" s="3">
        <f>IF(ISERROR(AG389-AF389),"-",AG389-AF389)</f>
        <v>6</v>
      </c>
      <c r="AZ389" s="3">
        <f>IF(ISERROR(AJ389-AI389),"-",AJ389-AI389)</f>
        <v>1</v>
      </c>
      <c r="BA389" s="3">
        <f>IF(ISERROR(LEN(VLOOKUP(A389,Seqs!A:E,2,FALSE))-AL389),"-",LEN(VLOOKUP(A389,Seqs!A:E,2,FALSE))-AL389)</f>
        <v>23</v>
      </c>
      <c r="BB389" s="16">
        <f>J389-D389</f>
        <v>31</v>
      </c>
      <c r="BC389" s="9">
        <f>IF(ISERROR(V389-S389),"-",V389-S389)</f>
        <v>20</v>
      </c>
      <c r="BD389" s="3">
        <f>J389-D389</f>
        <v>31</v>
      </c>
      <c r="BE389" s="3">
        <f>AE389-AB389</f>
        <v>53</v>
      </c>
      <c r="BF389" s="3">
        <f>AH389-AE389</f>
        <v>36</v>
      </c>
    </row>
    <row r="390" spans="1:58" s="3" customFormat="1" x14ac:dyDescent="0.2">
      <c r="A390" s="3" t="s">
        <v>463</v>
      </c>
      <c r="B390" s="3" t="str">
        <f>LOWER(VLOOKUP(A390,Xtal_Templ!A:B,2,FALSE))</f>
        <v>agtr1_human</v>
      </c>
      <c r="C390" s="3">
        <f>VLOOKUP($A390,'SegEnds_NonXtal_BW#'!$A:$Z,3,FALSE)+D390-50</f>
        <v>6</v>
      </c>
      <c r="D390" s="3">
        <v>24</v>
      </c>
      <c r="E390" s="3">
        <f>F390-1</f>
        <v>36</v>
      </c>
      <c r="F390" s="3">
        <f>G390-2</f>
        <v>37</v>
      </c>
      <c r="G390" s="3">
        <v>39</v>
      </c>
      <c r="H390" s="3">
        <f>G390+1</f>
        <v>40</v>
      </c>
      <c r="I390" s="3">
        <f>H390+1</f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>S390</f>
        <v>115</v>
      </c>
      <c r="S390" s="3">
        <v>115</v>
      </c>
      <c r="T390" s="103">
        <f>S390+7</f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>IF(ISERROR(F390-E390),"-",F390-E390)</f>
        <v>1</v>
      </c>
      <c r="AQ390" s="3">
        <f>IF(ISERROR(I390-H390),"-",I390-H390)</f>
        <v>1</v>
      </c>
      <c r="AR390" s="3" t="str">
        <f>IF(ISERROR(L390-K390),"-",L390-K390)</f>
        <v>-</v>
      </c>
      <c r="AS390" s="3" t="str">
        <f>IF(ISERROR(O390-N390),"-",O390-N390)</f>
        <v>-</v>
      </c>
      <c r="AT390" s="3">
        <f>IF(ISERROR(R390-Q390),"-",R390-Q390)</f>
        <v>3</v>
      </c>
      <c r="AU390" s="3">
        <f>IF(ISERROR(U390-T390),"-",U390-T390)</f>
        <v>1</v>
      </c>
      <c r="AV390" s="3" t="str">
        <f>IF(ISERROR(X390-W390),"-",X390-W390)</f>
        <v>-</v>
      </c>
      <c r="AW390" s="3" t="str">
        <f>IF(ISERROR(AA390-Z390),"-",AA390-Z390)</f>
        <v>-</v>
      </c>
      <c r="AX390" s="3">
        <f>IF(ISERROR(AD390-AC390),"-",AD390-AC390)</f>
        <v>10</v>
      </c>
      <c r="AY390" s="3">
        <f>IF(ISERROR(AG390-AF390),"-",AG390-AF390)</f>
        <v>6</v>
      </c>
      <c r="AZ390" s="3">
        <f>IF(ISERROR(AJ390-AI390),"-",AJ390-AI390)</f>
        <v>1</v>
      </c>
      <c r="BA390" s="3">
        <f>IF(ISERROR(LEN(VLOOKUP(A390,Seqs!A:E,2,FALSE))-AL390),"-",LEN(VLOOKUP(A390,Seqs!A:E,2,FALSE))-AL390)</f>
        <v>13</v>
      </c>
      <c r="BB390" s="16">
        <f>J390-D390</f>
        <v>31</v>
      </c>
      <c r="BC390" s="9">
        <f>IF(ISERROR(V390-S390),"-",V390-S390)</f>
        <v>20</v>
      </c>
      <c r="BD390" s="3">
        <f>J390-D390</f>
        <v>31</v>
      </c>
      <c r="BE390" s="3">
        <f>AE390-AB390</f>
        <v>53</v>
      </c>
      <c r="BF390" s="3">
        <f>AH390-AE390</f>
        <v>36</v>
      </c>
    </row>
    <row r="391" spans="1:58" s="3" customFormat="1" x14ac:dyDescent="0.2">
      <c r="A391" s="3" t="s">
        <v>464</v>
      </c>
      <c r="B391" s="3" t="str">
        <f>LOWER(VLOOKUP(A391,Xtal_Templ!A:B,2,FALSE))</f>
        <v>agtr1_human</v>
      </c>
      <c r="C391" s="3">
        <f>VLOOKUP($A391,'SegEnds_NonXtal_BW#'!$A:$Z,3,FALSE)+D391-50</f>
        <v>15</v>
      </c>
      <c r="D391" s="3">
        <v>33</v>
      </c>
      <c r="E391" s="3">
        <f>F391-1</f>
        <v>45</v>
      </c>
      <c r="F391" s="3">
        <f>G391-2</f>
        <v>46</v>
      </c>
      <c r="G391" s="3">
        <v>48</v>
      </c>
      <c r="H391" s="3">
        <f>G391+1</f>
        <v>49</v>
      </c>
      <c r="I391" s="3">
        <f>H391+1</f>
        <v>50</v>
      </c>
      <c r="J391" s="3">
        <v>64</v>
      </c>
      <c r="K391" s="3">
        <f>VLOOKUP($A391,'SegEnds_NonXtal_BW#'!$A:$Z,8,FALSE)+VLOOKUP($A391,A:AL,10,FALSE)-50</f>
        <v>81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85</v>
      </c>
      <c r="P391" s="3">
        <v>117</v>
      </c>
      <c r="Q391" s="3">
        <f>VLOOKUP($A391,'SegEnds_NonXtal_BW#'!$A:$Z,12,FALSE)+VLOOKUP($A391,A:AL,16,FALSE)-50</f>
        <v>123</v>
      </c>
      <c r="R391" s="3">
        <f>S391</f>
        <v>126</v>
      </c>
      <c r="S391" s="3">
        <v>126</v>
      </c>
      <c r="T391" s="103">
        <f>S391+7</f>
        <v>133</v>
      </c>
      <c r="U391" s="9">
        <f>IF(ISERROR(VLOOKUP($A391,'SegEnds_NonXtal_BW#'!$A:$Z,15,FALSE)+VLOOKUP($A391,A:AL,22,FALSE)-50),"-",VLOOKUP($A391,'SegEnds_NonXtal_BW#'!$A:$Z,15,FALSE)+VLOOKUP($A391,A:AL,22,FALSE)-50)</f>
        <v>134</v>
      </c>
      <c r="V391" s="3">
        <v>146</v>
      </c>
      <c r="W391" s="3">
        <f>IF(ISERROR(VLOOKUP($A391,'SegEnds_NonXtal_BW#'!$A:$Z,16,FALSE)+VLOOKUP($A391,A:AL,22,FALSE)-50),"-",(VLOOKUP($A391,'SegEnds_NonXtal_BW#'!$A:$Z,16,FALSE)+VLOOKUP($A391,A:AL,22,FALSE)-50))</f>
        <v>160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187</v>
      </c>
      <c r="AB391" s="3">
        <v>205</v>
      </c>
      <c r="AC391" s="3">
        <f>IF(ISERROR((VLOOKUP($A391,'SegEnds_NonXtal_BW#'!$A:$Z,20,FALSE)+VLOOKUP($A391,A:AL,28,FALSE)-50)),"-",(VLOOKUP($A391,'SegEnds_NonXtal_BW#'!$A:$Z,20,FALSE)+VLOOKUP($A391,A:AL,28,FALSE)-50))</f>
        <v>227</v>
      </c>
      <c r="AD391" s="3">
        <f>IF(ISERROR(VLOOKUP($A391,'SegEnds_NonXtal_BW#'!$A:$Z,21,FALSE)+VLOOKUP($A391,A:AL,31,FALSE)-50),"-",(VLOOKUP($A391,'SegEnds_NonXtal_BW#'!$A:$Z,21,FALSE)+VLOOKUP($A391,A:AL,31,FALSE)-50))</f>
        <v>237</v>
      </c>
      <c r="AE391" s="3">
        <v>258</v>
      </c>
      <c r="AF391" s="3">
        <f>IF(ISERROR((VLOOKUP($A391,'SegEnds_NonXtal_BW#'!$A:$Z,22,FALSE)+VLOOKUP($A391,A:AL,31,FALSE)-50)),"-",(VLOOKUP($A391,'SegEnds_NonXtal_BW#'!$A:$Z,22,FALSE)+VLOOKUP($A391,A:AL,31,FALSE)-50))</f>
        <v>269</v>
      </c>
      <c r="AG391" s="3">
        <f>IF(ISERROR(VLOOKUP($A391,'SegEnds_NonXtal_BW#'!$A:$Z,23,FALSE)+VLOOKUP($A391,A:AL,34,FALSE)-50),"-",(VLOOKUP($A391,'SegEnds_NonXtal_BW#'!$A:$Z,23,FALSE)+VLOOKUP($A391,A:AL,34,FALSE)-50))</f>
        <v>275</v>
      </c>
      <c r="AH391" s="3">
        <v>294</v>
      </c>
      <c r="AI391" s="3">
        <f>IF(ISERROR((VLOOKUP($A391,'SegEnds_NonXtal_BW#'!$A:$Z,24,FALSE)+VLOOKUP($A391,A:AL,34,FALSE)-50)),"-",(VLOOKUP($A391,'SegEnds_NonXtal_BW#'!$A:$Z,24,FALSE)+VLOOKUP($A391,A:AL,34,FALSE)-50))</f>
        <v>300</v>
      </c>
      <c r="AJ391" s="3">
        <f>IF(ISERROR(VLOOKUP($A391,'SegEnds_NonXtal_BW#'!$A:$Z,25,FALSE)+VLOOKUP($A391,A:AL,37,FALSE)-50),"-",(VLOOKUP($A391,'SegEnds_NonXtal_BW#'!$A:$Z,25,FALSE)+VLOOKUP($A391,A:AL,37,FALSE)-50))</f>
        <v>301</v>
      </c>
      <c r="AK391" s="3">
        <v>304</v>
      </c>
      <c r="AL391" s="3">
        <f>IF(ISERROR((VLOOKUP($A391,'SegEnds_NonXtal_BW#'!$A:$Z,26,FALSE)+VLOOKUP($A391,A:AL,37,FALSE)-50)),"-",(VLOOKUP($A391,'SegEnds_NonXtal_BW#'!$A:$Z,26,FALSE)+VLOOKUP($A391,A:AL,37,FALSE)-50))</f>
        <v>314</v>
      </c>
      <c r="AM391" s="28" t="str">
        <f>VLOOKUP(A391,Classification!A:B,2,FALSE)</f>
        <v>T</v>
      </c>
      <c r="AN391" s="28" t="b">
        <f>AND(IF(Y391="-",IF(AA391-W391&gt;3,TRUE,FALSE),TRUE),IF(M391="-",IF(O391-K391&gt;3,TRUE,FALSE),TRU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>IF(ISERROR(F391-E391),"-",F391-E391)</f>
        <v>1</v>
      </c>
      <c r="AQ391" s="3">
        <f>IF(ISERROR(I391-H391),"-",I391-H391)</f>
        <v>1</v>
      </c>
      <c r="AR391" s="3" t="str">
        <f>IF(ISERROR(L391-K391),"-",L391-K391)</f>
        <v>-</v>
      </c>
      <c r="AS391" s="3" t="str">
        <f>IF(ISERROR(O391-N391),"-",O391-N391)</f>
        <v>-</v>
      </c>
      <c r="AT391" s="3">
        <f>IF(ISERROR(R391-Q391),"-",R391-Q391)</f>
        <v>3</v>
      </c>
      <c r="AU391" s="3">
        <f>IF(ISERROR(U391-T391),"-",U391-T391)</f>
        <v>1</v>
      </c>
      <c r="AV391" s="3" t="str">
        <f>IF(ISERROR(X391-W391),"-",X391-W391)</f>
        <v>-</v>
      </c>
      <c r="AW391" s="3" t="str">
        <f>IF(ISERROR(AA391-Z391),"-",AA391-Z391)</f>
        <v>-</v>
      </c>
      <c r="AX391" s="3">
        <f>IF(ISERROR(AD391-AC391),"-",AD391-AC391)</f>
        <v>10</v>
      </c>
      <c r="AY391" s="3">
        <f>IF(ISERROR(AG391-AF391),"-",AG391-AF391)</f>
        <v>6</v>
      </c>
      <c r="AZ391" s="3">
        <f>IF(ISERROR(AJ391-AI391),"-",AJ391-AI391)</f>
        <v>1</v>
      </c>
      <c r="BA391" s="3">
        <f>IF(ISERROR(LEN(VLOOKUP(A391,Seqs!A:E,2,FALSE))-AL391),"-",LEN(VLOOKUP(A391,Seqs!A:E,2,FALSE))-AL391)</f>
        <v>19</v>
      </c>
      <c r="BB391" s="16">
        <f>J391-D391</f>
        <v>31</v>
      </c>
      <c r="BC391" s="9">
        <f>IF(ISERROR(V391-S391),"-",V391-S391)</f>
        <v>20</v>
      </c>
      <c r="BD391" s="3">
        <f>J391-D391</f>
        <v>31</v>
      </c>
      <c r="BE391" s="3">
        <f>AE391-AB391</f>
        <v>53</v>
      </c>
      <c r="BF391" s="3">
        <f>AH391-AE391</f>
        <v>36</v>
      </c>
    </row>
    <row r="392" spans="1:58" s="3" customFormat="1" x14ac:dyDescent="0.2">
      <c r="A392" s="3" t="s">
        <v>465</v>
      </c>
      <c r="B392" s="3" t="str">
        <f>LOWER(VLOOKUP(A392,Xtal_Templ!A:B,2,FALSE))</f>
        <v>agtr1_human</v>
      </c>
      <c r="C392" s="3">
        <f>VLOOKUP($A392,'SegEnds_NonXtal_BW#'!$A:$Z,3,FALSE)+D392-50</f>
        <v>34</v>
      </c>
      <c r="D392" s="3">
        <v>52</v>
      </c>
      <c r="E392" s="3">
        <f>F392-1</f>
        <v>64</v>
      </c>
      <c r="F392" s="3">
        <f>G392-2</f>
        <v>65</v>
      </c>
      <c r="G392" s="3">
        <v>67</v>
      </c>
      <c r="H392" s="3">
        <f>G392+1</f>
        <v>68</v>
      </c>
      <c r="I392" s="3">
        <f>H392+1</f>
        <v>69</v>
      </c>
      <c r="J392" s="3">
        <v>83</v>
      </c>
      <c r="K392" s="3">
        <f>VLOOKUP($A392,'SegEnds_NonXtal_BW#'!$A:$Z,8,FALSE)+VLOOKUP($A392,A:AL,10,FALSE)-50</f>
        <v>99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103</v>
      </c>
      <c r="P392" s="3">
        <v>135</v>
      </c>
      <c r="Q392" s="3">
        <f>VLOOKUP($A392,'SegEnds_NonXtal_BW#'!$A:$Z,12,FALSE)+VLOOKUP($A392,A:AL,16,FALSE)-50</f>
        <v>141</v>
      </c>
      <c r="R392" s="3">
        <f>S392</f>
        <v>144</v>
      </c>
      <c r="S392" s="3">
        <v>144</v>
      </c>
      <c r="T392" s="103">
        <f>S392+7</f>
        <v>151</v>
      </c>
      <c r="U392" s="9">
        <f>IF(ISERROR(VLOOKUP($A392,'SegEnds_NonXtal_BW#'!$A:$Z,15,FALSE)+VLOOKUP($A392,A:AL,22,FALSE)-50),"-",VLOOKUP($A392,'SegEnds_NonXtal_BW#'!$A:$Z,15,FALSE)+VLOOKUP($A392,A:AL,22,FALSE)-50)</f>
        <v>152</v>
      </c>
      <c r="V392" s="3">
        <v>164</v>
      </c>
      <c r="W392" s="3">
        <f>IF(ISERROR(VLOOKUP($A392,'SegEnds_NonXtal_BW#'!$A:$Z,16,FALSE)+VLOOKUP($A392,A:AL,22,FALSE)-50),"-",(VLOOKUP($A392,'SegEnds_NonXtal_BW#'!$A:$Z,16,FALSE)+VLOOKUP($A392,A:AL,22,FALSE)-50))</f>
        <v>178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202</v>
      </c>
      <c r="AB392" s="3">
        <v>220</v>
      </c>
      <c r="AC392" s="3">
        <f>IF(ISERROR((VLOOKUP($A392,'SegEnds_NonXtal_BW#'!$A:$Z,20,FALSE)+VLOOKUP($A392,A:AL,28,FALSE)-50)),"-",(VLOOKUP($A392,'SegEnds_NonXtal_BW#'!$A:$Z,20,FALSE)+VLOOKUP($A392,A:AL,28,FALSE)-50))</f>
        <v>242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284</v>
      </c>
      <c r="AG392" s="3">
        <f>IF(ISERROR(VLOOKUP($A392,'SegEnds_NonXtal_BW#'!$A:$Z,23,FALSE)+VLOOKUP($A392,A:AL,34,FALSE)-50),"-",(VLOOKUP($A392,'SegEnds_NonXtal_BW#'!$A:$Z,23,FALSE)+VLOOKUP($A392,A:AL,34,FALSE)-50))</f>
        <v>289</v>
      </c>
      <c r="AH392" s="3">
        <v>308</v>
      </c>
      <c r="AI392" s="3">
        <f>IF(ISERROR((VLOOKUP($A392,'SegEnds_NonXtal_BW#'!$A:$Z,24,FALSE)+VLOOKUP($A392,A:AL,34,FALSE)-50)),"-",(VLOOKUP($A392,'SegEnds_NonXtal_BW#'!$A:$Z,24,FALSE)+VLOOKUP($A392,A:AL,34,FALSE)-50))</f>
        <v>314</v>
      </c>
      <c r="AJ392" s="3">
        <f>IF(ISERROR(VLOOKUP($A392,'SegEnds_NonXtal_BW#'!$A:$Z,25,FALSE)+VLOOKUP($A392,A:AL,37,FALSE)-50),"-",(VLOOKUP($A392,'SegEnds_NonXtal_BW#'!$A:$Z,25,FALSE)+VLOOKUP($A392,A:AL,37,FALSE)-50))</f>
        <v>315</v>
      </c>
      <c r="AK392" s="3">
        <v>318</v>
      </c>
      <c r="AL392" s="3">
        <f>IF(ISERROR((VLOOKUP($A392,'SegEnds_NonXtal_BW#'!$A:$Z,26,FALSE)+VLOOKUP($A392,A:AL,37,FALSE)-50)),"-",(VLOOKUP($A392,'SegEnds_NonXtal_BW#'!$A:$Z,26,FALSE)+VLOOKUP($A392,A:AL,37,FALSE)-50))</f>
        <v>328</v>
      </c>
      <c r="AM392" s="28" t="str">
        <f>VLOOKUP(A392,Classification!A:B,2,FALSE)</f>
        <v>T</v>
      </c>
      <c r="AN392" s="28" t="b">
        <f>AND(IF(Y392="-",IF(AA392-W392&gt;3,TRUE,FALSE),TRUE),IF(M392="-",IF(O392-K392&gt;3,TRUE,FALSE),TRUE),C392&lt;E392,OR(E392&lt;F392,F392="-"),OR(F392&lt;H392,F392="-"),OR(H392&lt;I392,H392="-"),I392&lt;K392,OR(K392&lt;L392,L392="-"),OR(L392&lt;N392,L392="-"),OR(N392&lt;O392,N392="-"),O392&lt;Q392,OR(Q392&lt;R392,R392="-"),OR(R392&lt;T392,R392="-"),OR(T392&lt;U392,T392="-"),U392&lt;W392,OR(W392&lt;X392,X392="-"),OR(X392&lt;Z392,X392="-"),OR(Z392&lt;AA392,Z392="-"),AA392&lt;AC392,AC392&lt;AD392,AD392&lt;AF392,AF392&lt;AG392,AG392&lt;AI392,OR(AI392&lt;AJ392,AJ392="-"),OR(AJ392&lt;AL392,AJ392="-"))</f>
        <v>1</v>
      </c>
      <c r="AO392" s="3" t="str">
        <f>IF(ISERROR(MATCH(A392,'SegEnds_Xtal_Prot#'!B:B, 0)), "NoXtal", "Xtal")</f>
        <v>NoXtal</v>
      </c>
      <c r="AP392" s="3">
        <f>IF(ISERROR(F392-E392),"-",F392-E392)</f>
        <v>1</v>
      </c>
      <c r="AQ392" s="3">
        <f>IF(ISERROR(I392-H392),"-",I392-H392)</f>
        <v>1</v>
      </c>
      <c r="AR392" s="3" t="str">
        <f>IF(ISERROR(L392-K392),"-",L392-K392)</f>
        <v>-</v>
      </c>
      <c r="AS392" s="3" t="str">
        <f>IF(ISERROR(O392-N392),"-",O392-N392)</f>
        <v>-</v>
      </c>
      <c r="AT392" s="3">
        <f>IF(ISERROR(R392-Q392),"-",R392-Q392)</f>
        <v>3</v>
      </c>
      <c r="AU392" s="3">
        <f>IF(ISERROR(U392-T392),"-",U392-T392)</f>
        <v>1</v>
      </c>
      <c r="AV392" s="3" t="str">
        <f>IF(ISERROR(X392-W392),"-",X392-W392)</f>
        <v>-</v>
      </c>
      <c r="AW392" s="3" t="str">
        <f>IF(ISERROR(AA392-Z392),"-",AA392-Z392)</f>
        <v>-</v>
      </c>
      <c r="AX392" s="3">
        <f>IF(ISERROR(AD392-AC392),"-",AD392-AC392)</f>
        <v>10</v>
      </c>
      <c r="AY392" s="3">
        <f>IF(ISERROR(AG392-AF392),"-",AG392-AF392)</f>
        <v>5</v>
      </c>
      <c r="AZ392" s="3">
        <f>IF(ISERROR(AJ392-AI392),"-",AJ392-AI392)</f>
        <v>1</v>
      </c>
      <c r="BA392" s="3">
        <f>IF(ISERROR(LEN(VLOOKUP(A392,Seqs!A:E,2,FALSE))-AL392),"-",LEN(VLOOKUP(A392,Seqs!A:E,2,FALSE))-AL392)</f>
        <v>10</v>
      </c>
      <c r="BB392" s="16">
        <f>J392-D392</f>
        <v>31</v>
      </c>
      <c r="BC392" s="9">
        <f>IF(ISERROR(V392-S392),"-",V392-S392)</f>
        <v>20</v>
      </c>
      <c r="BD392" s="3">
        <f>J392-D392</f>
        <v>31</v>
      </c>
      <c r="BE392" s="3">
        <f>AE392-AB392</f>
        <v>53</v>
      </c>
      <c r="BF392" s="3">
        <f>AH392-AE392</f>
        <v>35</v>
      </c>
    </row>
    <row r="393" spans="1:58" s="3" customFormat="1" x14ac:dyDescent="0.2">
      <c r="A393" s="3" t="s">
        <v>466</v>
      </c>
      <c r="B393" s="3" t="str">
        <f>LOWER(VLOOKUP(A393,Xtal_Templ!A:B,2,FALSE))</f>
        <v>cxcr4_human</v>
      </c>
      <c r="C393" s="3">
        <f>VLOOKUP($A393,'SegEnds_NonXtal_BW#'!$A:$Z,3,FALSE)+D393-50</f>
        <v>18</v>
      </c>
      <c r="D393" s="3">
        <v>36</v>
      </c>
      <c r="E393" s="3">
        <f>F393-1</f>
        <v>48</v>
      </c>
      <c r="F393" s="3">
        <f>G393-2</f>
        <v>49</v>
      </c>
      <c r="G393" s="3">
        <v>51</v>
      </c>
      <c r="H393" s="3">
        <f>G393+1</f>
        <v>52</v>
      </c>
      <c r="I393" s="3">
        <f>H393+1</f>
        <v>53</v>
      </c>
      <c r="J393" s="3">
        <v>67</v>
      </c>
      <c r="K393" s="3">
        <f>VLOOKUP($A393,'SegEnds_NonXtal_BW#'!$A:$Z,8,FALSE)+VLOOKUP($A393,A:AL,10,FALSE)-50</f>
        <v>83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87</v>
      </c>
      <c r="P393" s="3">
        <v>119</v>
      </c>
      <c r="Q393" s="3">
        <f>VLOOKUP($A393,'SegEnds_NonXtal_BW#'!$A:$Z,12,FALSE)+VLOOKUP($A393,A:AL,16,FALSE)-50</f>
        <v>125</v>
      </c>
      <c r="R393" s="3">
        <f>S393</f>
        <v>128</v>
      </c>
      <c r="S393" s="3">
        <v>128</v>
      </c>
      <c r="T393" s="103">
        <f>S393+7</f>
        <v>135</v>
      </c>
      <c r="U393" s="9">
        <f>IF(ISERROR(VLOOKUP($A393,'SegEnds_NonXtal_BW#'!$A:$Z,15,FALSE)+VLOOKUP($A393,A:AL,22,FALSE)-50),"-",VLOOKUP($A393,'SegEnds_NonXtal_BW#'!$A:$Z,15,FALSE)+VLOOKUP($A393,A:AL,22,FALSE)-50)</f>
        <v>136</v>
      </c>
      <c r="V393" s="3">
        <v>148</v>
      </c>
      <c r="W393" s="3">
        <f>IF(ISERROR(VLOOKUP($A393,'SegEnds_NonXtal_BW#'!$A:$Z,16,FALSE)+VLOOKUP($A393,A:AL,22,FALSE)-50),"-",(VLOOKUP($A393,'SegEnds_NonXtal_BW#'!$A:$Z,16,FALSE)+VLOOKUP($A393,A:AL,22,FALSE)-50))</f>
        <v>162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274</v>
      </c>
      <c r="AH393" s="3">
        <v>293</v>
      </c>
      <c r="AI393" s="3">
        <f>IF(ISERROR((VLOOKUP($A393,'SegEnds_NonXtal_BW#'!$A:$Z,24,FALSE)+VLOOKUP($A393,A:AL,34,FALSE)-50)),"-",(VLOOKUP($A393,'SegEnds_NonXtal_BW#'!$A:$Z,24,FALSE)+VLOOKUP($A393,A:AL,34,FALSE)-50))</f>
        <v>299</v>
      </c>
      <c r="AJ393" s="3">
        <f>IF(ISERROR(VLOOKUP($A393,'SegEnds_NonXtal_BW#'!$A:$Z,25,FALSE)+VLOOKUP($A393,A:AL,37,FALSE)-50),"-",(VLOOKUP($A393,'SegEnds_NonXtal_BW#'!$A:$Z,25,FALSE)+VLOOKUP($A393,A:AL,37,FALSE)-50))</f>
        <v>300</v>
      </c>
      <c r="AK393" s="3">
        <v>303</v>
      </c>
      <c r="AL393" s="3">
        <f>IF(ISERROR((VLOOKUP($A393,'SegEnds_NonXtal_BW#'!$A:$Z,26,FALSE)+VLOOKUP($A393,A:AL,37,FALSE)-50)),"-",(VLOOKUP($A393,'SegEnds_NonXtal_BW#'!$A:$Z,26,FALSE)+VLOOKUP($A393,A:AL,37,FALSE)-50))</f>
        <v>313</v>
      </c>
      <c r="AM393" s="28" t="str">
        <f>VLOOKUP(A393,Classification!A:B,2,FALSE)</f>
        <v>T</v>
      </c>
      <c r="AN393" s="28" t="b">
        <f>AND(IF(Y393="-",IF(AA393-W393&gt;3,TRUE,FALSE),TRUE),IF(M393="-",IF(O393-K393&gt;3,TRUE,FALSE),TRUE),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    <v>1</v>
      </c>
      <c r="AO393" s="3" t="str">
        <f>IF(ISERROR(MATCH(A393,'SegEnds_Xtal_Prot#'!B:B, 0)), "NoXtal", "Xtal")</f>
        <v>NoXtal</v>
      </c>
      <c r="AP393" s="3">
        <f>IF(ISERROR(F393-E393),"-",F393-E393)</f>
        <v>1</v>
      </c>
      <c r="AQ393" s="3">
        <f>IF(ISERROR(I393-H393),"-",I393-H393)</f>
        <v>1</v>
      </c>
      <c r="AR393" s="3" t="str">
        <f>IF(ISERROR(L393-K393),"-",L393-K393)</f>
        <v>-</v>
      </c>
      <c r="AS393" s="3" t="str">
        <f>IF(ISERROR(O393-N393),"-",O393-N393)</f>
        <v>-</v>
      </c>
      <c r="AT393" s="3">
        <f>IF(ISERROR(R393-Q393),"-",R393-Q393)</f>
        <v>3</v>
      </c>
      <c r="AU393" s="3">
        <f>IF(ISERROR(U393-T393),"-",U393-T393)</f>
        <v>1</v>
      </c>
      <c r="AV393" s="3" t="str">
        <f>IF(ISERROR(X393-W393),"-",X393-W393)</f>
        <v>-</v>
      </c>
      <c r="AW393" s="3" t="str">
        <f>IF(ISERROR(AA393-Z393),"-",AA393-Z393)</f>
        <v>-</v>
      </c>
      <c r="AX393" s="3">
        <f>IF(ISERROR(AD393-AC393),"-",AD393-AC393)</f>
        <v>10</v>
      </c>
      <c r="AY393" s="3">
        <f>IF(ISERROR(AG393-AF393),"-",AG393-AF393)</f>
        <v>5</v>
      </c>
      <c r="AZ393" s="3">
        <f>IF(ISERROR(AJ393-AI393),"-",AJ393-AI393)</f>
        <v>1</v>
      </c>
      <c r="BA393" s="3">
        <f>IF(ISERROR(LEN(VLOOKUP(A393,Seqs!A:E,2,FALSE))-AL393),"-",LEN(VLOOKUP(A393,Seqs!A:E,2,FALSE))-AL393)</f>
        <v>10</v>
      </c>
      <c r="BB393" s="16">
        <f>J393-D393</f>
        <v>31</v>
      </c>
      <c r="BC393" s="9">
        <f>IF(ISERROR(V393-S393),"-",V393-S393)</f>
        <v>20</v>
      </c>
      <c r="BD393" s="3">
        <f>J393-D393</f>
        <v>31</v>
      </c>
      <c r="BE393" s="3">
        <f>AE393-AB393</f>
        <v>53</v>
      </c>
      <c r="BF393" s="3">
        <f>AH393-AE393</f>
        <v>35</v>
      </c>
    </row>
    <row r="394" spans="1:58" s="3" customFormat="1" x14ac:dyDescent="0.2">
      <c r="A394" s="3" t="s">
        <v>467</v>
      </c>
      <c r="B394" s="3" t="str">
        <f>LOWER(VLOOKUP(A394,Xtal_Templ!A:B,2,FALSE))</f>
        <v>hrh1_human</v>
      </c>
      <c r="C394" s="3">
        <f>VLOOKUP($A394,'SegEnds_NonXtal_BW#'!$A:$Z,3,FALSE)+D394-50</f>
        <v>6</v>
      </c>
      <c r="D394" s="3">
        <v>24</v>
      </c>
      <c r="E394" s="3">
        <f>F394-1</f>
        <v>36</v>
      </c>
      <c r="F394" s="3">
        <f>G394-2</f>
        <v>37</v>
      </c>
      <c r="G394" s="3">
        <v>39</v>
      </c>
      <c r="H394" s="3">
        <f>G394+1</f>
        <v>40</v>
      </c>
      <c r="I394" s="3">
        <f>H394+1</f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>S394</f>
        <v>116</v>
      </c>
      <c r="S394" s="3">
        <v>116</v>
      </c>
      <c r="T394" s="103">
        <f>S394+7</f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148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174</v>
      </c>
      <c r="AB394" s="3">
        <v>192</v>
      </c>
      <c r="AC394" s="3">
        <f>IF(ISERROR((VLOOKUP($A394,'SegEnds_NonXtal_BW#'!$A:$Z,20,FALSE)+VLOOKUP($A394,A:AL,28,FALSE)-50)),"-",(VLOOKUP($A394,'SegEnds_NonXtal_BW#'!$A:$Z,20,FALSE)+VLOOKUP($A394,A:AL,28,FALSE)-50))</f>
        <v>214</v>
      </c>
      <c r="AD394" s="3">
        <f>IF(ISERROR(VLOOKUP($A394,'SegEnds_NonXtal_BW#'!$A:$Z,21,FALSE)+VLOOKUP($A394,A:AL,31,FALSE)-50),"-",(VLOOKUP($A394,'SegEnds_NonXtal_BW#'!$A:$Z,21,FALSE)+VLOOKUP($A394,A:AL,31,FALSE)-50))</f>
        <v>224</v>
      </c>
      <c r="AE394" s="3">
        <v>245</v>
      </c>
      <c r="AF394" s="3">
        <f>IF(ISERROR((VLOOKUP($A394,'SegEnds_NonXtal_BW#'!$A:$Z,22,FALSE)+VLOOKUP($A394,A:AL,31,FALSE)-50)),"-",(VLOOKUP($A394,'SegEnds_NonXtal_BW#'!$A:$Z,22,FALSE)+VLOOKUP($A394,A:AL,31,FALSE)-50))</f>
        <v>256</v>
      </c>
      <c r="AG394" s="3">
        <f>IF(ISERROR(VLOOKUP($A394,'SegEnds_NonXtal_BW#'!$A:$Z,23,FALSE)+VLOOKUP($A394,A:AL,34,FALSE)-50),"-",(VLOOKUP($A394,'SegEnds_NonXtal_BW#'!$A:$Z,23,FALSE)+VLOOKUP($A394,A:AL,34,FALSE)-50))</f>
        <v>261</v>
      </c>
      <c r="AH394" s="3">
        <v>280</v>
      </c>
      <c r="AI394" s="3">
        <f>IF(ISERROR((VLOOKUP($A394,'SegEnds_NonXtal_BW#'!$A:$Z,24,FALSE)+VLOOKUP($A394,A:AL,34,FALSE)-50)),"-",(VLOOKUP($A394,'SegEnds_NonXtal_BW#'!$A:$Z,24,FALSE)+VLOOKUP($A394,A:AL,34,FALSE)-50))</f>
        <v>286</v>
      </c>
      <c r="AJ394" s="3">
        <f>IF(ISERROR(VLOOKUP($A394,'SegEnds_NonXtal_BW#'!$A:$Z,25,FALSE)+VLOOKUP($A394,A:AL,37,FALSE)-50),"-",(VLOOKUP($A394,'SegEnds_NonXtal_BW#'!$A:$Z,25,FALSE)+VLOOKUP($A394,A:AL,37,FALSE)-50))</f>
        <v>287</v>
      </c>
      <c r="AK394" s="3">
        <v>290</v>
      </c>
      <c r="AL394" s="3">
        <f>IF(ISERROR((VLOOKUP($A394,'SegEnds_NonXtal_BW#'!$A:$Z,26,FALSE)+VLOOKUP($A394,A:AL,37,FALSE)-50)),"-",(VLOOKUP($A394,'SegEnds_NonXtal_BW#'!$A:$Z,26,FALSE)+VLOOKUP($A394,A:AL,37,FALSE)-50))</f>
        <v>300</v>
      </c>
      <c r="AM394" s="28" t="str">
        <f>VLOOKUP(A394,Classification!A:B,2,FALSE)</f>
        <v>T</v>
      </c>
      <c r="AN394" s="28" t="b">
        <f>AND(IF(Y394="-",IF(AA394-W394&gt;3,TRUE,FALSE),TRUE),IF(M394="-",IF(O394-K394&gt;3,TRUE,FALSE),TRUE),C394&lt;E394,OR(E394&lt;F394,F394="-"),OR(F394&lt;H394,F394="-"),OR(H394&lt;I394,H394="-"),I394&lt;K394,OR(K394&lt;L394,L394="-"),OR(L394&lt;N394,L394="-"),OR(N394&lt;O394,N394="-"),O394&lt;Q394,OR(Q394&lt;R394,R394="-"),OR(R394&lt;T394,R394="-"),OR(T394&lt;U394,T394="-"),U394&lt;W394,OR(W394&lt;X394,X394="-"),OR(X394&lt;Z394,X394="-"),OR(Z394&lt;AA394,Z394="-"),AA394&lt;AC394,AC394&lt;AD394,AD394&lt;AF394,AF394&lt;AG394,AG394&lt;AI394,OR(AI394&lt;AJ394,AJ394="-"),OR(AJ394&lt;AL394,AJ394="-"))</f>
        <v>1</v>
      </c>
      <c r="AO394" s="3" t="str">
        <f>IF(ISERROR(MATCH(A394,'SegEnds_Xtal_Prot#'!B:B, 0)), "NoXtal", "Xtal")</f>
        <v>NoXtal</v>
      </c>
      <c r="AP394" s="3">
        <f>IF(ISERROR(F394-E394),"-",F394-E394)</f>
        <v>1</v>
      </c>
      <c r="AQ394" s="3">
        <f>IF(ISERROR(I394-H394),"-",I394-H394)</f>
        <v>1</v>
      </c>
      <c r="AR394" s="3" t="str">
        <f>IF(ISERROR(L394-K394),"-",L394-K394)</f>
        <v>-</v>
      </c>
      <c r="AS394" s="3" t="str">
        <f>IF(ISERROR(O394-N394),"-",O394-N394)</f>
        <v>-</v>
      </c>
      <c r="AT394" s="3">
        <f>IF(ISERROR(R394-Q394),"-",R394-Q394)</f>
        <v>3</v>
      </c>
      <c r="AU394" s="3">
        <f>IF(ISERROR(U394-T394),"-",U394-T394)</f>
        <v>1</v>
      </c>
      <c r="AV394" s="3" t="str">
        <f>IF(ISERROR(X394-W394),"-",X394-W394)</f>
        <v>-</v>
      </c>
      <c r="AW394" s="3" t="str">
        <f>IF(ISERROR(AA394-Z394),"-",AA394-Z394)</f>
        <v>-</v>
      </c>
      <c r="AX394" s="3">
        <f>IF(ISERROR(AD394-AC394),"-",AD394-AC394)</f>
        <v>10</v>
      </c>
      <c r="AY394" s="3">
        <f>IF(ISERROR(AG394-AF394),"-",AG394-AF394)</f>
        <v>5</v>
      </c>
      <c r="AZ394" s="3">
        <f>IF(ISERROR(AJ394-AI394),"-",AJ394-AI394)</f>
        <v>1</v>
      </c>
      <c r="BA394" s="3">
        <f>IF(ISERROR(LEN(VLOOKUP(A394,Seqs!A:E,2,FALSE))-AL394),"-",LEN(VLOOKUP(A394,Seqs!A:E,2,FALSE))-AL394)</f>
        <v>7</v>
      </c>
      <c r="BB394" s="16">
        <f>J394-D394</f>
        <v>31</v>
      </c>
      <c r="BC394" s="9">
        <f>IF(ISERROR(V394-S394),"-",V394-S394)</f>
        <v>20</v>
      </c>
      <c r="BD394" s="3">
        <f>J394-D394</f>
        <v>31</v>
      </c>
      <c r="BE394" s="3">
        <f>AE394-AB394</f>
        <v>53</v>
      </c>
      <c r="BF394" s="3">
        <f>AH394-AE394</f>
        <v>35</v>
      </c>
    </row>
    <row r="395" spans="1:58" s="3" customFormat="1" x14ac:dyDescent="0.2">
      <c r="A395" s="3" t="s">
        <v>468</v>
      </c>
      <c r="B395" s="3" t="str">
        <f>LOWER(VLOOKUP(A395,Xtal_Templ!A:B,2,FALSE))</f>
        <v>hrh1_human</v>
      </c>
      <c r="C395" s="3">
        <f>VLOOKUP($A395,'SegEnds_NonXtal_BW#'!$A:$Z,3,FALSE)+D395-50</f>
        <v>6</v>
      </c>
      <c r="D395" s="3">
        <v>24</v>
      </c>
      <c r="E395" s="3">
        <f>F395-1</f>
        <v>36</v>
      </c>
      <c r="F395" s="3">
        <f>G395-2</f>
        <v>37</v>
      </c>
      <c r="G395" s="3">
        <v>39</v>
      </c>
      <c r="H395" s="3">
        <f>G395+1</f>
        <v>40</v>
      </c>
      <c r="I395" s="3">
        <f>H395+1</f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>S395</f>
        <v>116</v>
      </c>
      <c r="S395" s="3">
        <v>116</v>
      </c>
      <c r="T395" s="103">
        <f>S395+7</f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148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174</v>
      </c>
      <c r="AB395" s="3">
        <v>192</v>
      </c>
      <c r="AC395" s="3">
        <f>IF(ISERROR((VLOOKUP($A395,'SegEnds_NonXtal_BW#'!$A:$Z,20,FALSE)+VLOOKUP($A395,A:AL,28,FALSE)-50)),"-",(VLOOKUP($A395,'SegEnds_NonXtal_BW#'!$A:$Z,20,FALSE)+VLOOKUP($A395,A:AL,28,FALSE)-50))</f>
        <v>214</v>
      </c>
      <c r="AD395" s="3">
        <f>IF(ISERROR(VLOOKUP($A395,'SegEnds_NonXtal_BW#'!$A:$Z,21,FALSE)+VLOOKUP($A395,A:AL,31,FALSE)-50),"-",(VLOOKUP($A395,'SegEnds_NonXtal_BW#'!$A:$Z,21,FALSE)+VLOOKUP($A395,A:AL,31,FALSE)-50))</f>
        <v>224</v>
      </c>
      <c r="AE395" s="3">
        <v>245</v>
      </c>
      <c r="AF395" s="3">
        <f>IF(ISERROR((VLOOKUP($A395,'SegEnds_NonXtal_BW#'!$A:$Z,22,FALSE)+VLOOKUP($A395,A:AL,31,FALSE)-50)),"-",(VLOOKUP($A395,'SegEnds_NonXtal_BW#'!$A:$Z,22,FALSE)+VLOOKUP($A395,A:AL,31,FALSE)-50))</f>
        <v>256</v>
      </c>
      <c r="AG395" s="3">
        <f>IF(ISERROR(VLOOKUP($A395,'SegEnds_NonXtal_BW#'!$A:$Z,23,FALSE)+VLOOKUP($A395,A:AL,34,FALSE)-50),"-",(VLOOKUP($A395,'SegEnds_NonXtal_BW#'!$A:$Z,23,FALSE)+VLOOKUP($A395,A:AL,34,FALSE)-50))</f>
        <v>262</v>
      </c>
      <c r="AH395" s="3">
        <v>281</v>
      </c>
      <c r="AI395" s="3">
        <f>IF(ISERROR((VLOOKUP($A395,'SegEnds_NonXtal_BW#'!$A:$Z,24,FALSE)+VLOOKUP($A395,A:AL,34,FALSE)-50)),"-",(VLOOKUP($A395,'SegEnds_NonXtal_BW#'!$A:$Z,24,FALSE)+VLOOKUP($A395,A:AL,34,FALSE)-50))</f>
        <v>287</v>
      </c>
      <c r="AJ395" s="3">
        <f>IF(ISERROR(VLOOKUP($A395,'SegEnds_NonXtal_BW#'!$A:$Z,25,FALSE)+VLOOKUP($A395,A:AL,37,FALSE)-50),"-",(VLOOKUP($A395,'SegEnds_NonXtal_BW#'!$A:$Z,25,FALSE)+VLOOKUP($A395,A:AL,37,FALSE)-50))</f>
        <v>288</v>
      </c>
      <c r="AK395" s="3">
        <v>291</v>
      </c>
      <c r="AL395" s="3">
        <f>IF(ISERROR((VLOOKUP($A395,'SegEnds_NonXtal_BW#'!$A:$Z,26,FALSE)+VLOOKUP($A395,A:AL,37,FALSE)-50)),"-",(VLOOKUP($A395,'SegEnds_NonXtal_BW#'!$A:$Z,26,FALSE)+VLOOKUP($A395,A:AL,37,FALSE)-50))</f>
        <v>301</v>
      </c>
      <c r="AM395" s="28" t="str">
        <f>VLOOKUP(A395,Classification!A:B,2,FALSE)</f>
        <v>T</v>
      </c>
      <c r="AN395" s="28" t="b">
        <f>AND(IF(Y395="-",IF(AA395-W395&gt;3,TRUE,FALSE),TRUE),IF(M395="-",IF(O395-K395&gt;3,TRUE,FALSE),TRUE),C395&lt;E395,OR(E395&lt;F395,F395="-"),OR(F395&lt;H395,F395="-"),OR(H395&lt;I395,H395="-"),I395&lt;K395,OR(K395&lt;L395,L395="-"),OR(L395&lt;N395,L395="-"),OR(N395&lt;O395,N395="-"),O395&lt;Q395,OR(Q395&lt;R395,R395="-"),OR(R395&lt;T395,R395="-"),OR(T395&lt;U395,T395="-"),U395&lt;W395,OR(W395&lt;X395,X395="-"),OR(X395&lt;Z395,X395="-"),OR(Z395&lt;AA395,Z395="-"),AA395&lt;AC395,AC395&lt;AD395,AD395&lt;AF395,AF395&lt;AG395,AG395&lt;AI395,OR(AI395&lt;AJ395,AJ395="-"),OR(AJ395&lt;AL395,AJ395="-"))</f>
        <v>1</v>
      </c>
      <c r="AO395" s="3" t="str">
        <f>IF(ISERROR(MATCH(A395,'SegEnds_Xtal_Prot#'!B:B, 0)), "NoXtal", "Xtal")</f>
        <v>NoXtal</v>
      </c>
      <c r="AP395" s="3">
        <f>IF(ISERROR(F395-E395),"-",F395-E395)</f>
        <v>1</v>
      </c>
      <c r="AQ395" s="3">
        <f>IF(ISERROR(I395-H395),"-",I395-H395)</f>
        <v>1</v>
      </c>
      <c r="AR395" s="3" t="str">
        <f>IF(ISERROR(L395-K395),"-",L395-K395)</f>
        <v>-</v>
      </c>
      <c r="AS395" s="3" t="str">
        <f>IF(ISERROR(O395-N395),"-",O395-N395)</f>
        <v>-</v>
      </c>
      <c r="AT395" s="3">
        <f>IF(ISERROR(R395-Q395),"-",R395-Q395)</f>
        <v>3</v>
      </c>
      <c r="AU395" s="3">
        <f>IF(ISERROR(U395-T395),"-",U395-T395)</f>
        <v>1</v>
      </c>
      <c r="AV395" s="3" t="str">
        <f>IF(ISERROR(X395-W395),"-",X395-W395)</f>
        <v>-</v>
      </c>
      <c r="AW395" s="3" t="str">
        <f>IF(ISERROR(AA395-Z395),"-",AA395-Z395)</f>
        <v>-</v>
      </c>
      <c r="AX395" s="3">
        <f>IF(ISERROR(AD395-AC395),"-",AD395-AC395)</f>
        <v>10</v>
      </c>
      <c r="AY395" s="3">
        <f>IF(ISERROR(AG395-AF395),"-",AG395-AF395)</f>
        <v>6</v>
      </c>
      <c r="AZ395" s="3">
        <f>IF(ISERROR(AJ395-AI395),"-",AJ395-AI395)</f>
        <v>1</v>
      </c>
      <c r="BA395" s="3">
        <f>IF(ISERROR(LEN(VLOOKUP(A395,Seqs!A:E,2,FALSE))-AL395),"-",LEN(VLOOKUP(A395,Seqs!A:E,2,FALSE))-AL395)</f>
        <v>13</v>
      </c>
      <c r="BB395" s="16">
        <f>J395-D395</f>
        <v>31</v>
      </c>
      <c r="BC395" s="9">
        <f>IF(ISERROR(V395-S395),"-",V395-S395)</f>
        <v>20</v>
      </c>
      <c r="BD395" s="3">
        <f>J395-D395</f>
        <v>31</v>
      </c>
      <c r="BE395" s="3">
        <f>AE395-AB395</f>
        <v>53</v>
      </c>
      <c r="BF395" s="3">
        <f>AH395-AE395</f>
        <v>36</v>
      </c>
    </row>
    <row r="396" spans="1:58" s="3" customFormat="1" x14ac:dyDescent="0.2">
      <c r="A396" s="3" t="s">
        <v>469</v>
      </c>
      <c r="B396" s="3" t="str">
        <f>LOWER(VLOOKUP(A396,Xtal_Templ!A:B,2,FALSE))</f>
        <v>agtr1_human</v>
      </c>
      <c r="C396" s="3">
        <f>VLOOKUP($A396,'SegEnds_NonXtal_BW#'!$A:$Z,3,FALSE)+D396-50</f>
        <v>6</v>
      </c>
      <c r="D396" s="3">
        <v>24</v>
      </c>
      <c r="E396" s="3">
        <f>F396-1</f>
        <v>36</v>
      </c>
      <c r="F396" s="3">
        <f>G396-2</f>
        <v>37</v>
      </c>
      <c r="G396" s="3">
        <v>39</v>
      </c>
      <c r="H396" s="3">
        <f>G396+1</f>
        <v>40</v>
      </c>
      <c r="I396" s="3">
        <f>H396+1</f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>S396</f>
        <v>115</v>
      </c>
      <c r="S396" s="3">
        <v>115</v>
      </c>
      <c r="T396" s="103">
        <f>S396+7</f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149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>AND(IF(Y396="-",IF(AA396-W396&gt;3,TRUE,FALSE),TRUE),IF(M396="-",IF(O396-K396&gt;3,TRUE,FALSE),TRU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    <v>1</v>
      </c>
      <c r="AO396" s="3" t="str">
        <f>IF(ISERROR(MATCH(A396,'SegEnds_Xtal_Prot#'!B:B, 0)), "NoXtal", "Xtal")</f>
        <v>NoXtal</v>
      </c>
      <c r="AP396" s="3">
        <f>IF(ISERROR(F396-E396),"-",F396-E396)</f>
        <v>1</v>
      </c>
      <c r="AQ396" s="3">
        <f>IF(ISERROR(I396-H396),"-",I396-H396)</f>
        <v>1</v>
      </c>
      <c r="AR396" s="3" t="str">
        <f>IF(ISERROR(L396-K396),"-",L396-K396)</f>
        <v>-</v>
      </c>
      <c r="AS396" s="3" t="str">
        <f>IF(ISERROR(O396-N396),"-",O396-N396)</f>
        <v>-</v>
      </c>
      <c r="AT396" s="3">
        <f>IF(ISERROR(R396-Q396),"-",R396-Q396)</f>
        <v>3</v>
      </c>
      <c r="AU396" s="3">
        <f>IF(ISERROR(U396-T396),"-",U396-T396)</f>
        <v>1</v>
      </c>
      <c r="AV396" s="3" t="str">
        <f>IF(ISERROR(X396-W396),"-",X396-W396)</f>
        <v>-</v>
      </c>
      <c r="AW396" s="3" t="str">
        <f>IF(ISERROR(AA396-Z396),"-",AA396-Z396)</f>
        <v>-</v>
      </c>
      <c r="AX396" s="3">
        <f>IF(ISERROR(AD396-AC396),"-",AD396-AC396)</f>
        <v>10</v>
      </c>
      <c r="AY396" s="3">
        <f>IF(ISERROR(AG396-AF396),"-",AG396-AF396)</f>
        <v>6</v>
      </c>
      <c r="AZ396" s="3">
        <f>IF(ISERROR(AJ396-AI396),"-",AJ396-AI396)</f>
        <v>1</v>
      </c>
      <c r="BA396" s="3">
        <f>IF(ISERROR(LEN(VLOOKUP(A396,Seqs!A:E,2,FALSE))-AL396),"-",LEN(VLOOKUP(A396,Seqs!A:E,2,FALSE))-AL396)</f>
        <v>13</v>
      </c>
      <c r="BB396" s="16">
        <f>J396-D396</f>
        <v>31</v>
      </c>
      <c r="BC396" s="9">
        <f>IF(ISERROR(V396-S396),"-",V396-S396)</f>
        <v>20</v>
      </c>
      <c r="BD396" s="3">
        <f>J396-D396</f>
        <v>31</v>
      </c>
      <c r="BE396" s="3">
        <f>AE396-AB396</f>
        <v>53</v>
      </c>
      <c r="BF396" s="3">
        <f>AH396-AE396</f>
        <v>36</v>
      </c>
    </row>
    <row r="397" spans="1:58" s="3" customFormat="1" x14ac:dyDescent="0.2">
      <c r="A397" s="3" t="s">
        <v>930</v>
      </c>
      <c r="B397" s="3" t="str">
        <f>LOWER(VLOOKUP(A397,Xtal_Templ!A:B,2,FALSE))</f>
        <v>agtr1_human</v>
      </c>
      <c r="C397" s="3">
        <f>VLOOKUP($A397,'SegEnds_NonXtal_BW#'!$A:$Z,3,FALSE)+D397-50</f>
        <v>6</v>
      </c>
      <c r="D397" s="3">
        <v>24</v>
      </c>
      <c r="E397" s="3">
        <f>F397-1</f>
        <v>36</v>
      </c>
      <c r="F397" s="3">
        <f>G397-2</f>
        <v>37</v>
      </c>
      <c r="G397" s="3">
        <v>39</v>
      </c>
      <c r="H397" s="3">
        <f>G397+1</f>
        <v>40</v>
      </c>
      <c r="I397" s="3">
        <f>H397+1</f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>S397</f>
        <v>115</v>
      </c>
      <c r="S397" s="3">
        <v>115</v>
      </c>
      <c r="T397" s="103">
        <f>S397+7</f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149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222</v>
      </c>
      <c r="AE397" s="3">
        <v>243</v>
      </c>
      <c r="AF397" s="3">
        <f>IF(ISERROR((VLOOKUP($A397,'SegEnds_NonXtal_BW#'!$A:$Z,22,FALSE)+VLOOKUP($A397,A:AL,31,FALSE)-50)),"-",(VLOOKUP($A397,'SegEnds_NonXtal_BW#'!$A:$Z,22,FALSE)+VLOOKUP($A397,A:AL,31,FALSE)-50))</f>
        <v>254</v>
      </c>
      <c r="AG397" s="3">
        <f>IF(ISERROR(VLOOKUP($A397,'SegEnds_NonXtal_BW#'!$A:$Z,23,FALSE)+VLOOKUP($A397,A:AL,34,FALSE)-50),"-",(VLOOKUP($A397,'SegEnds_NonXtal_BW#'!$A:$Z,23,FALSE)+VLOOKUP($A397,A:AL,34,FALSE)-50))</f>
        <v>259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>AND(IF(Y397="-",IF(AA397-W397&gt;3,TRUE,FALSE),TRUE),IF(M397="-",IF(O397-K397&gt;3,TRUE,FALSE),TRU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>IF(ISERROR(F397-E397),"-",F397-E397)</f>
        <v>1</v>
      </c>
      <c r="AQ397" s="3">
        <f>IF(ISERROR(I397-H397),"-",I397-H397)</f>
        <v>1</v>
      </c>
      <c r="AR397" s="3" t="str">
        <f>IF(ISERROR(L397-K397),"-",L397-K397)</f>
        <v>-</v>
      </c>
      <c r="AS397" s="3" t="str">
        <f>IF(ISERROR(O397-N397),"-",O397-N397)</f>
        <v>-</v>
      </c>
      <c r="AT397" s="3">
        <f>IF(ISERROR(R397-Q397),"-",R397-Q397)</f>
        <v>3</v>
      </c>
      <c r="AU397" s="3">
        <f>IF(ISERROR(U397-T397),"-",U397-T397)</f>
        <v>1</v>
      </c>
      <c r="AV397" s="3" t="str">
        <f>IF(ISERROR(X397-W397),"-",X397-W397)</f>
        <v>-</v>
      </c>
      <c r="AW397" s="3" t="str">
        <f>IF(ISERROR(AA397-Z397),"-",AA397-Z397)</f>
        <v>-</v>
      </c>
      <c r="AX397" s="3">
        <f>IF(ISERROR(AD397-AC397),"-",AD397-AC397)</f>
        <v>13</v>
      </c>
      <c r="AY397" s="3">
        <f>IF(ISERROR(AG397-AF397),"-",AG397-AF397)</f>
        <v>5</v>
      </c>
      <c r="AZ397" s="3">
        <f>IF(ISERROR(AJ397-AI397),"-",AJ397-AI397)</f>
        <v>1</v>
      </c>
      <c r="BA397" s="3">
        <f>IF(ISERROR(LEN(VLOOKUP(A397,Seqs!A:E,2,FALSE))-AL397),"-",LEN(VLOOKUP(A397,Seqs!A:E,2,FALSE))-AL397)</f>
        <v>3</v>
      </c>
      <c r="BB397" s="16">
        <f>J397-D397</f>
        <v>31</v>
      </c>
      <c r="BC397" s="9">
        <f>IF(ISERROR(V397-S397),"-",V397-S397)</f>
        <v>20</v>
      </c>
      <c r="BD397" s="3">
        <f>J397-D397</f>
        <v>31</v>
      </c>
      <c r="BE397" s="3">
        <f>AE397-AB397</f>
        <v>56</v>
      </c>
      <c r="BF397" s="3">
        <f>AH397-AE397</f>
        <v>33</v>
      </c>
    </row>
    <row r="398" spans="1:58" s="3" customFormat="1" x14ac:dyDescent="0.2">
      <c r="A398" s="3" t="s">
        <v>470</v>
      </c>
      <c r="B398" s="3" t="str">
        <f>LOWER(VLOOKUP(A398,Xtal_Templ!A:B,2,FALSE))</f>
        <v>agtr1_human</v>
      </c>
      <c r="C398" s="3">
        <f>VLOOKUP($A398,'SegEnds_NonXtal_BW#'!$A:$Z,3,FALSE)+D398-50</f>
        <v>6</v>
      </c>
      <c r="D398" s="3">
        <v>24</v>
      </c>
      <c r="E398" s="3">
        <f>F398-1</f>
        <v>36</v>
      </c>
      <c r="F398" s="3">
        <f>G398-2</f>
        <v>37</v>
      </c>
      <c r="G398" s="3">
        <v>39</v>
      </c>
      <c r="H398" s="3">
        <f>G398+1</f>
        <v>40</v>
      </c>
      <c r="I398" s="3">
        <f>H398+1</f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>S398</f>
        <v>115</v>
      </c>
      <c r="S398" s="3">
        <v>115</v>
      </c>
      <c r="T398" s="103">
        <f>S398+7</f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149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>AND(IF(Y398="-",IF(AA398-W398&gt;3,TRUE,FALSE),TRUE),IF(M398="-",IF(O398-K398&gt;3,TRUE,FALSE),TRUE),C398&lt;E398,OR(E398&lt;F398,F398="-"),OR(F398&lt;H398,F398="-"),OR(H398&lt;I398,H398="-"),I398&lt;K398,OR(K398&lt;L398,L398="-"),OR(L398&lt;N398,L398="-"),OR(N398&lt;O398,N398="-"),O398&lt;Q398,OR(Q398&lt;R398,R398="-"),OR(R398&lt;T398,R398="-"),OR(T398&lt;U398,T398="-"),U398&lt;W398,OR(W398&lt;X398,X398="-"),OR(X398&lt;Z398,X398="-"),OR(Z398&lt;AA398,Z398="-"),AA398&lt;AC398,AC398&lt;AD398,AD398&lt;AF398,AF398&lt;AG398,AG398&lt;AI398,OR(AI398&lt;AJ398,AJ398="-"),OR(AJ398&lt;AL398,AJ398="-"))</f>
        <v>1</v>
      </c>
      <c r="AO398" s="3" t="str">
        <f>IF(ISERROR(MATCH(A398,'SegEnds_Xtal_Prot#'!B:B, 0)), "NoXtal", "Xtal")</f>
        <v>NoXtal</v>
      </c>
      <c r="AP398" s="3">
        <f>IF(ISERROR(F398-E398),"-",F398-E398)</f>
        <v>1</v>
      </c>
      <c r="AQ398" s="3">
        <f>IF(ISERROR(I398-H398),"-",I398-H398)</f>
        <v>1</v>
      </c>
      <c r="AR398" s="3" t="str">
        <f>IF(ISERROR(L398-K398),"-",L398-K398)</f>
        <v>-</v>
      </c>
      <c r="AS398" s="3" t="str">
        <f>IF(ISERROR(O398-N398),"-",O398-N398)</f>
        <v>-</v>
      </c>
      <c r="AT398" s="3">
        <f>IF(ISERROR(R398-Q398),"-",R398-Q398)</f>
        <v>3</v>
      </c>
      <c r="AU398" s="3">
        <f>IF(ISERROR(U398-T398),"-",U398-T398)</f>
        <v>1</v>
      </c>
      <c r="AV398" s="3" t="str">
        <f>IF(ISERROR(X398-W398),"-",X398-W398)</f>
        <v>-</v>
      </c>
      <c r="AW398" s="3" t="str">
        <f>IF(ISERROR(AA398-Z398),"-",AA398-Z398)</f>
        <v>-</v>
      </c>
      <c r="AX398" s="3">
        <f>IF(ISERROR(AD398-AC398),"-",AD398-AC398)</f>
        <v>10</v>
      </c>
      <c r="AY398" s="3">
        <f>IF(ISERROR(AG398-AF398),"-",AG398-AF398)</f>
        <v>6</v>
      </c>
      <c r="AZ398" s="3">
        <f>IF(ISERROR(AJ398-AI398),"-",AJ398-AI398)</f>
        <v>1</v>
      </c>
      <c r="BA398" s="3">
        <f>IF(ISERROR(LEN(VLOOKUP(A398,Seqs!A:E,2,FALSE))-AL398),"-",LEN(VLOOKUP(A398,Seqs!A:E,2,FALSE))-AL398)</f>
        <v>13</v>
      </c>
      <c r="BB398" s="16">
        <f>J398-D398</f>
        <v>31</v>
      </c>
      <c r="BC398" s="9">
        <f>IF(ISERROR(V398-S398),"-",V398-S398)</f>
        <v>20</v>
      </c>
      <c r="BD398" s="3">
        <f>J398-D398</f>
        <v>31</v>
      </c>
      <c r="BE398" s="3">
        <f>AE398-AB398</f>
        <v>53</v>
      </c>
      <c r="BF398" s="3">
        <f>AH398-AE398</f>
        <v>36</v>
      </c>
    </row>
    <row r="399" spans="1:58" s="3" customFormat="1" x14ac:dyDescent="0.2">
      <c r="A399" s="3" t="s">
        <v>471</v>
      </c>
      <c r="B399" s="3" t="str">
        <f>LOWER(VLOOKUP(A399,Xtal_Templ!A:B,2,FALSE))</f>
        <v>drd3_human</v>
      </c>
      <c r="C399" s="3">
        <f>VLOOKUP($A399,'SegEnds_NonXtal_BW#'!$A:$Z,3,FALSE)+D399-50</f>
        <v>6</v>
      </c>
      <c r="D399" s="3">
        <v>24</v>
      </c>
      <c r="E399" s="3">
        <f>F399-1</f>
        <v>36</v>
      </c>
      <c r="F399" s="3">
        <f>G399-2</f>
        <v>37</v>
      </c>
      <c r="G399" s="3">
        <v>39</v>
      </c>
      <c r="H399" s="3">
        <f>G399+1</f>
        <v>40</v>
      </c>
      <c r="I399" s="3">
        <f>H399+1</f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>S399</f>
        <v>115</v>
      </c>
      <c r="S399" s="3">
        <v>115</v>
      </c>
      <c r="T399" s="103">
        <f>S399+7</f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>AND(IF(Y399="-",IF(AA399-W399&gt;3,TRUE,FALSE),TRUE),IF(M399="-",IF(O399-K399&gt;3,TRUE,FALSE),TRUE),C399&lt;E399,OR(E399&lt;F399,F399="-"),OR(F399&lt;H399,F399="-"),OR(H399&lt;I399,H399="-"),I399&lt;K399,OR(K399&lt;L399,L399="-"),OR(L399&lt;N399,L399="-"),OR(N399&lt;O399,N399="-"),O399&lt;Q399,OR(Q399&lt;R399,R399="-"),OR(R399&lt;T399,R399="-"),OR(T399&lt;U399,T399="-"),U399&lt;W399,OR(W399&lt;X399,X399="-"),OR(X399&lt;Z399,X399="-"),OR(Z399&lt;AA399,Z399="-"),AA399&lt;AC399,AC399&lt;AD399,AD399&lt;AF399,AF399&lt;AG399,AG399&lt;AI399,OR(AI399&lt;AJ399,AJ399="-"),OR(AJ399&lt;AL399,AJ399="-"))</f>
        <v>1</v>
      </c>
      <c r="AO399" s="3" t="str">
        <f>IF(ISERROR(MATCH(A399,'SegEnds_Xtal_Prot#'!B:B, 0)), "NoXtal", "Xtal")</f>
        <v>NoXtal</v>
      </c>
      <c r="AP399" s="3">
        <f>IF(ISERROR(F399-E399),"-",F399-E399)</f>
        <v>1</v>
      </c>
      <c r="AQ399" s="3">
        <f>IF(ISERROR(I399-H399),"-",I399-H399)</f>
        <v>1</v>
      </c>
      <c r="AR399" s="3" t="str">
        <f>IF(ISERROR(L399-K399),"-",L399-K399)</f>
        <v>-</v>
      </c>
      <c r="AS399" s="3" t="str">
        <f>IF(ISERROR(O399-N399),"-",O399-N399)</f>
        <v>-</v>
      </c>
      <c r="AT399" s="3">
        <f>IF(ISERROR(R399-Q399),"-",R399-Q399)</f>
        <v>3</v>
      </c>
      <c r="AU399" s="3">
        <f>IF(ISERROR(U399-T399),"-",U399-T399)</f>
        <v>1</v>
      </c>
      <c r="AV399" s="3" t="str">
        <f>IF(ISERROR(X399-W399),"-",X399-W399)</f>
        <v>-</v>
      </c>
      <c r="AW399" s="3" t="str">
        <f>IF(ISERROR(AA399-Z399),"-",AA399-Z399)</f>
        <v>-</v>
      </c>
      <c r="AX399" s="3">
        <f>IF(ISERROR(AD399-AC399),"-",AD399-AC399)</f>
        <v>10</v>
      </c>
      <c r="AY399" s="3">
        <f>IF(ISERROR(AG399-AF399),"-",AG399-AF399)</f>
        <v>6</v>
      </c>
      <c r="AZ399" s="3">
        <f>IF(ISERROR(AJ399-AI399),"-",AJ399-AI399)</f>
        <v>1</v>
      </c>
      <c r="BA399" s="3">
        <f>IF(ISERROR(LEN(VLOOKUP(A399,Seqs!A:E,2,FALSE))-AL399),"-",LEN(VLOOKUP(A399,Seqs!A:E,2,FALSE))-AL399)</f>
        <v>3</v>
      </c>
      <c r="BB399" s="16">
        <f>J399-D399</f>
        <v>31</v>
      </c>
      <c r="BC399" s="9">
        <f>IF(ISERROR(V399-S399),"-",V399-S399)</f>
        <v>20</v>
      </c>
      <c r="BD399" s="3">
        <f>J399-D399</f>
        <v>31</v>
      </c>
      <c r="BE399" s="3">
        <f>AE399-AB399</f>
        <v>53</v>
      </c>
      <c r="BF399" s="3">
        <f>AH399-AE399</f>
        <v>36</v>
      </c>
    </row>
    <row r="400" spans="1:58" s="3" customFormat="1" x14ac:dyDescent="0.2">
      <c r="A400" s="3" t="s">
        <v>472</v>
      </c>
      <c r="B400" s="3" t="str">
        <f>LOWER(VLOOKUP(A400,Xtal_Templ!A:B,2,FALSE))</f>
        <v>oprk_human</v>
      </c>
      <c r="C400" s="3">
        <f>VLOOKUP($A400,'SegEnds_NonXtal_BW#'!$A:$Z,3,FALSE)+D400-50</f>
        <v>17</v>
      </c>
      <c r="D400" s="3">
        <v>35</v>
      </c>
      <c r="E400" s="3">
        <f>F400-1</f>
        <v>47</v>
      </c>
      <c r="F400" s="3">
        <f>G400-2</f>
        <v>48</v>
      </c>
      <c r="G400" s="3">
        <v>50</v>
      </c>
      <c r="H400" s="3">
        <f>G400+1</f>
        <v>51</v>
      </c>
      <c r="I400" s="3">
        <f>H400+1</f>
        <v>52</v>
      </c>
      <c r="J400" s="3">
        <v>66</v>
      </c>
      <c r="K400" s="3">
        <f>VLOOKUP($A400,'SegEnds_NonXtal_BW#'!$A:$Z,8,FALSE)+VLOOKUP($A400,A:AL,10,FALSE)-50</f>
        <v>82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86</v>
      </c>
      <c r="P400" s="3">
        <v>118</v>
      </c>
      <c r="Q400" s="3">
        <f>VLOOKUP($A400,'SegEnds_NonXtal_BW#'!$A:$Z,12,FALSE)+VLOOKUP($A400,A:AL,16,FALSE)-50</f>
        <v>124</v>
      </c>
      <c r="R400" s="3">
        <f>S400</f>
        <v>127</v>
      </c>
      <c r="S400" s="3">
        <v>127</v>
      </c>
      <c r="T400" s="103">
        <f>S400+7</f>
        <v>134</v>
      </c>
      <c r="U400" s="9">
        <f>IF(ISERROR(VLOOKUP($A400,'SegEnds_NonXtal_BW#'!$A:$Z,15,FALSE)+VLOOKUP($A400,A:AL,22,FALSE)-50),"-",VLOOKUP($A400,'SegEnds_NonXtal_BW#'!$A:$Z,15,FALSE)+VLOOKUP($A400,A:AL,22,FALSE)-50)</f>
        <v>135</v>
      </c>
      <c r="V400" s="3">
        <v>147</v>
      </c>
      <c r="W400" s="3">
        <f>IF(ISERROR(VLOOKUP($A400,'SegEnds_NonXtal_BW#'!$A:$Z,16,FALSE)+VLOOKUP($A400,A:AL,22,FALSE)-50),"-",(VLOOKUP($A400,'SegEnds_NonXtal_BW#'!$A:$Z,16,FALSE)+VLOOKUP($A400,A:AL,22,FALSE)-50))</f>
        <v>161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205</v>
      </c>
      <c r="AC400" s="3">
        <f>IF(ISERROR((VLOOKUP($A400,'SegEnds_NonXtal_BW#'!$A:$Z,20,FALSE)+VLOOKUP($A400,A:AL,28,FALSE)-50)),"-",(VLOOKUP($A400,'SegEnds_NonXtal_BW#'!$A:$Z,20,FALSE)+VLOOKUP($A400,A:AL,28,FALSE)-50))</f>
        <v>227</v>
      </c>
      <c r="AD400" s="3">
        <f>IF(ISERROR(VLOOKUP($A400,'SegEnds_NonXtal_BW#'!$A:$Z,21,FALSE)+VLOOKUP($A400,A:AL,31,FALSE)-50),"-",(VLOOKUP($A400,'SegEnds_NonXtal_BW#'!$A:$Z,21,FALSE)+VLOOKUP($A400,A:AL,31,FALSE)-50))</f>
        <v>237</v>
      </c>
      <c r="AE400" s="3">
        <v>258</v>
      </c>
      <c r="AF400" s="3">
        <f>IF(ISERROR((VLOOKUP($A400,'SegEnds_NonXtal_BW#'!$A:$Z,22,FALSE)+VLOOKUP($A400,A:AL,31,FALSE)-50)),"-",(VLOOKUP($A400,'SegEnds_NonXtal_BW#'!$A:$Z,22,FALSE)+VLOOKUP($A400,A:AL,31,FALSE)-50))</f>
        <v>269</v>
      </c>
      <c r="AG400" s="3">
        <f>IF(ISERROR(VLOOKUP($A400,'SegEnds_NonXtal_BW#'!$A:$Z,23,FALSE)+VLOOKUP($A400,A:AL,34,FALSE)-50),"-",(VLOOKUP($A400,'SegEnds_NonXtal_BW#'!$A:$Z,23,FALSE)+VLOOKUP($A400,A:AL,34,FALSE)-50))</f>
        <v>274</v>
      </c>
      <c r="AH400" s="3">
        <v>293</v>
      </c>
      <c r="AI400" s="3">
        <f>IF(ISERROR((VLOOKUP($A400,'SegEnds_NonXtal_BW#'!$A:$Z,24,FALSE)+VLOOKUP($A400,A:AL,34,FALSE)-50)),"-",(VLOOKUP($A400,'SegEnds_NonXtal_BW#'!$A:$Z,24,FALSE)+VLOOKUP($A400,A:AL,34,FALSE)-50))</f>
        <v>299</v>
      </c>
      <c r="AJ400" s="3">
        <f>IF(ISERROR(VLOOKUP($A400,'SegEnds_NonXtal_BW#'!$A:$Z,25,FALSE)+VLOOKUP($A400,A:AL,37,FALSE)-50),"-",(VLOOKUP($A400,'SegEnds_NonXtal_BW#'!$A:$Z,25,FALSE)+VLOOKUP($A400,A:AL,37,FALSE)-50))</f>
        <v>300</v>
      </c>
      <c r="AK400" s="3">
        <v>303</v>
      </c>
      <c r="AL400" s="3">
        <f>IF(ISERROR((VLOOKUP($A400,'SegEnds_NonXtal_BW#'!$A:$Z,26,FALSE)+VLOOKUP($A400,A:AL,37,FALSE)-50)),"-",(VLOOKUP($A400,'SegEnds_NonXtal_BW#'!$A:$Z,26,FALSE)+VLOOKUP($A400,A:AL,37,FALSE)-50))</f>
        <v>313</v>
      </c>
      <c r="AM400" s="28" t="str">
        <f>VLOOKUP(A400,Classification!A:B,2,FALSE)</f>
        <v>T</v>
      </c>
      <c r="AN400" s="28" t="b">
        <f>AND(IF(Y400="-",IF(AA400-W400&gt;3,TRUE,FALSE),TRUE),IF(M400="-",IF(O400-K400&gt;3,TRUE,FALSE),TRUE),C400&lt;E400,OR(E400&lt;F400,F400="-"),OR(F400&lt;H400,F400="-"),OR(H400&lt;I400,H400="-"),I400&lt;K400,OR(K400&lt;L400,L400="-"),OR(L400&lt;N400,L400="-"),OR(N400&lt;O400,N400="-"),O400&lt;Q400,OR(Q400&lt;R400,R400="-"),OR(R400&lt;T400,R400="-"),OR(T400&lt;U400,T400="-"),U400&lt;W400,OR(W400&lt;X400,X400="-"),OR(X400&lt;Z400,X400="-"),OR(Z400&lt;AA400,Z400="-"),AA400&lt;AC400,AC400&lt;AD400,AD400&lt;AF400,AF400&lt;AG400,AG400&lt;AI400,OR(AI400&lt;AJ400,AJ400="-"),OR(AJ400&lt;AL400,AJ400="-"))</f>
        <v>1</v>
      </c>
      <c r="AO400" s="3" t="str">
        <f>IF(ISERROR(MATCH(A400,'SegEnds_Xtal_Prot#'!B:B, 0)), "NoXtal", "Xtal")</f>
        <v>NoXtal</v>
      </c>
      <c r="AP400" s="3">
        <f>IF(ISERROR(F400-E400),"-",F400-E400)</f>
        <v>1</v>
      </c>
      <c r="AQ400" s="3">
        <f>IF(ISERROR(I400-H400),"-",I400-H400)</f>
        <v>1</v>
      </c>
      <c r="AR400" s="3" t="str">
        <f>IF(ISERROR(L400-K400),"-",L400-K400)</f>
        <v>-</v>
      </c>
      <c r="AS400" s="3" t="str">
        <f>IF(ISERROR(O400-N400),"-",O400-N400)</f>
        <v>-</v>
      </c>
      <c r="AT400" s="3">
        <f>IF(ISERROR(R400-Q400),"-",R400-Q400)</f>
        <v>3</v>
      </c>
      <c r="AU400" s="3">
        <f>IF(ISERROR(U400-T400),"-",U400-T400)</f>
        <v>1</v>
      </c>
      <c r="AV400" s="3" t="str">
        <f>IF(ISERROR(X400-W400),"-",X400-W400)</f>
        <v>-</v>
      </c>
      <c r="AW400" s="3" t="str">
        <f>IF(ISERROR(AA400-Z400),"-",AA400-Z400)</f>
        <v>-</v>
      </c>
      <c r="AX400" s="3">
        <f>IF(ISERROR(AD400-AC400),"-",AD400-AC400)</f>
        <v>10</v>
      </c>
      <c r="AY400" s="3">
        <f>IF(ISERROR(AG400-AF400),"-",AG400-AF400)</f>
        <v>5</v>
      </c>
      <c r="AZ400" s="3">
        <f>IF(ISERROR(AJ400-AI400),"-",AJ400-AI400)</f>
        <v>1</v>
      </c>
      <c r="BA400" s="3">
        <f>IF(ISERROR(LEN(VLOOKUP(A400,Seqs!A:E,2,FALSE))-AL400),"-",LEN(VLOOKUP(A400,Seqs!A:E,2,FALSE))-AL400)</f>
        <v>5</v>
      </c>
      <c r="BB400" s="16">
        <f>J400-D400</f>
        <v>31</v>
      </c>
      <c r="BC400" s="9">
        <f>IF(ISERROR(V400-S400),"-",V400-S400)</f>
        <v>20</v>
      </c>
      <c r="BD400" s="3">
        <f>J400-D400</f>
        <v>31</v>
      </c>
      <c r="BE400" s="3">
        <f>AE400-AB400</f>
        <v>53</v>
      </c>
      <c r="BF400" s="3">
        <f>AH400-AE400</f>
        <v>35</v>
      </c>
    </row>
    <row r="401" spans="1:58" s="3" customFormat="1" x14ac:dyDescent="0.2">
      <c r="A401" s="3" t="s">
        <v>474</v>
      </c>
      <c r="B401" s="3" t="str">
        <f>LOWER(VLOOKUP(A401,Xtal_Templ!A:B,2,FALSE))</f>
        <v>cxcr4_human</v>
      </c>
      <c r="C401" s="3">
        <f>VLOOKUP($A401,'SegEnds_NonXtal_BW#'!$A:$Z,3,FALSE)+D401-50</f>
        <v>6</v>
      </c>
      <c r="D401" s="3">
        <v>24</v>
      </c>
      <c r="E401" s="3">
        <f>F401-1</f>
        <v>36</v>
      </c>
      <c r="F401" s="3">
        <f>G401-2</f>
        <v>37</v>
      </c>
      <c r="G401" s="3">
        <v>39</v>
      </c>
      <c r="H401" s="3">
        <f>G401+1</f>
        <v>40</v>
      </c>
      <c r="I401" s="3">
        <f>H401+1</f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103</v>
      </c>
      <c r="Q401" s="3">
        <f>VLOOKUP($A401,'SegEnds_NonXtal_BW#'!$A:$Z,12,FALSE)+VLOOKUP($A401,A:AL,16,FALSE)-50</f>
        <v>109</v>
      </c>
      <c r="R401" s="3">
        <f>S401</f>
        <v>112</v>
      </c>
      <c r="S401" s="3">
        <v>112</v>
      </c>
      <c r="T401" s="103">
        <f>S401+7</f>
        <v>119</v>
      </c>
      <c r="U401" s="9">
        <f>IF(ISERROR(VLOOKUP($A401,'SegEnds_NonXtal_BW#'!$A:$Z,15,FALSE)+VLOOKUP($A401,A:AL,22,FALSE)-50),"-",VLOOKUP($A401,'SegEnds_NonXtal_BW#'!$A:$Z,15,FALSE)+VLOOKUP($A401,A:AL,22,FALSE)-50)</f>
        <v>120</v>
      </c>
      <c r="V401" s="3">
        <v>132</v>
      </c>
      <c r="W401" s="3">
        <f>IF(ISERROR(VLOOKUP($A401,'SegEnds_NonXtal_BW#'!$A:$Z,16,FALSE)+VLOOKUP($A401,A:AL,22,FALSE)-50),"-",(VLOOKUP($A401,'SegEnds_NonXtal_BW#'!$A:$Z,16,FALSE)+VLOOKUP($A401,A:AL,22,FALSE)-50))</f>
        <v>146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168</v>
      </c>
      <c r="AB401" s="3">
        <v>186</v>
      </c>
      <c r="AC401" s="3">
        <f>IF(ISERROR((VLOOKUP($A401,'SegEnds_NonXtal_BW#'!$A:$Z,20,FALSE)+VLOOKUP($A401,A:AL,28,FALSE)-50)),"-",(VLOOKUP($A401,'SegEnds_NonXtal_BW#'!$A:$Z,20,FALSE)+VLOOKUP($A401,A:AL,28,FALSE)-50))</f>
        <v>208</v>
      </c>
      <c r="AD401" s="3">
        <f>IF(ISERROR(VLOOKUP($A401,'SegEnds_NonXtal_BW#'!$A:$Z,21,FALSE)+VLOOKUP($A401,A:AL,31,FALSE)-50),"-",(VLOOKUP($A401,'SegEnds_NonXtal_BW#'!$A:$Z,21,FALSE)+VLOOKUP($A401,A:AL,31,FALSE)-50))</f>
        <v>218</v>
      </c>
      <c r="AE401" s="3">
        <v>239</v>
      </c>
      <c r="AF401" s="3">
        <f>IF(ISERROR((VLOOKUP($A401,'SegEnds_NonXtal_BW#'!$A:$Z,22,FALSE)+VLOOKUP($A401,A:AL,31,FALSE)-50)),"-",(VLOOKUP($A401,'SegEnds_NonXtal_BW#'!$A:$Z,22,FALSE)+VLOOKUP($A401,A:AL,31,FALSE)-50))</f>
        <v>250</v>
      </c>
      <c r="AG401" s="3">
        <f>IF(ISERROR(VLOOKUP($A401,'SegEnds_NonXtal_BW#'!$A:$Z,23,FALSE)+VLOOKUP($A401,A:AL,34,FALSE)-50),"-",(VLOOKUP($A401,'SegEnds_NonXtal_BW#'!$A:$Z,23,FALSE)+VLOOKUP($A401,A:AL,34,FALSE)-50))</f>
        <v>255</v>
      </c>
      <c r="AH401" s="3">
        <v>274</v>
      </c>
      <c r="AI401" s="3">
        <f>IF(ISERROR((VLOOKUP($A401,'SegEnds_NonXtal_BW#'!$A:$Z,24,FALSE)+VLOOKUP($A401,A:AL,34,FALSE)-50)),"-",(VLOOKUP($A401,'SegEnds_NonXtal_BW#'!$A:$Z,24,FALSE)+VLOOKUP($A401,A:AL,34,FALSE)-50))</f>
        <v>280</v>
      </c>
      <c r="AJ401" s="3">
        <f>IF(ISERROR(VLOOKUP($A401,'SegEnds_NonXtal_BW#'!$A:$Z,25,FALSE)+VLOOKUP($A401,A:AL,37,FALSE)-50),"-",(VLOOKUP($A401,'SegEnds_NonXtal_BW#'!$A:$Z,25,FALSE)+VLOOKUP($A401,A:AL,37,FALSE)-50))</f>
        <v>281</v>
      </c>
      <c r="AK401" s="3">
        <v>284</v>
      </c>
      <c r="AL401" s="3">
        <f>IF(ISERROR((VLOOKUP($A401,'SegEnds_NonXtal_BW#'!$A:$Z,26,FALSE)+VLOOKUP($A401,A:AL,37,FALSE)-50)),"-",(VLOOKUP($A401,'SegEnds_NonXtal_BW#'!$A:$Z,26,FALSE)+VLOOKUP($A401,A:AL,37,FALSE)-50))</f>
        <v>294</v>
      </c>
      <c r="AM401" s="28" t="str">
        <f>VLOOKUP(A401,Classification!A:B,2,FALSE)</f>
        <v>T</v>
      </c>
      <c r="AN401" s="28" t="b">
        <f>AND(IF(Y401="-",IF(AA401-W401&gt;3,TRUE,FALSE),TRUE),IF(M401="-",IF(O401-K401&gt;3,TRUE,FALSE),TRUE),C401&lt;E401,OR(E401&lt;F401,F401="-"),OR(F401&lt;H401,F401="-"),OR(H401&lt;I401,H401="-"),I401&lt;K401,OR(K401&lt;L401,L401="-"),OR(L401&lt;N401,L401="-"),OR(N401&lt;O401,N401="-"),O401&lt;Q401,OR(Q401&lt;R401,R401="-"),OR(R401&lt;T401,R401="-"),OR(T401&lt;U401,T401="-"),U401&lt;W401,OR(W401&lt;X401,X401="-"),OR(X401&lt;Z401,X401="-"),OR(Z401&lt;AA401,Z401="-"),AA401&lt;AC401,AC401&lt;AD401,AD401&lt;AF401,AF401&lt;AG401,AG401&lt;AI401,OR(AI401&lt;AJ401,AJ401="-"),OR(AJ401&lt;AL401,AJ401="-"))</f>
        <v>1</v>
      </c>
      <c r="AO401" s="3" t="str">
        <f>IF(ISERROR(MATCH(A401,'SegEnds_Xtal_Prot#'!B:B, 0)), "NoXtal", "Xtal")</f>
        <v>NoXtal</v>
      </c>
      <c r="AP401" s="3">
        <f>IF(ISERROR(F401-E401),"-",F401-E401)</f>
        <v>1</v>
      </c>
      <c r="AQ401" s="3">
        <f>IF(ISERROR(I401-H401),"-",I401-H401)</f>
        <v>1</v>
      </c>
      <c r="AR401" s="3" t="str">
        <f>IF(ISERROR(L401-K401),"-",L401-K401)</f>
        <v>-</v>
      </c>
      <c r="AS401" s="3" t="str">
        <f>IF(ISERROR(O401-N401),"-",O401-N401)</f>
        <v>-</v>
      </c>
      <c r="AT401" s="3">
        <f>IF(ISERROR(R401-Q401),"-",R401-Q401)</f>
        <v>3</v>
      </c>
      <c r="AU401" s="3">
        <f>IF(ISERROR(U401-T401),"-",U401-T401)</f>
        <v>1</v>
      </c>
      <c r="AV401" s="3" t="str">
        <f>IF(ISERROR(X401-W401),"-",X401-W401)</f>
        <v>-</v>
      </c>
      <c r="AW401" s="3" t="str">
        <f>IF(ISERROR(AA401-Z401),"-",AA401-Z401)</f>
        <v>-</v>
      </c>
      <c r="AX401" s="3">
        <f>IF(ISERROR(AD401-AC401),"-",AD401-AC401)</f>
        <v>10</v>
      </c>
      <c r="AY401" s="3">
        <f>IF(ISERROR(AG401-AF401),"-",AG401-AF401)</f>
        <v>5</v>
      </c>
      <c r="AZ401" s="3">
        <f>IF(ISERROR(AJ401-AI401),"-",AJ401-AI401)</f>
        <v>1</v>
      </c>
      <c r="BA401" s="3">
        <f>IF(ISERROR(LEN(VLOOKUP(A401,Seqs!A:E,2,FALSE))-AL401),"-",LEN(VLOOKUP(A401,Seqs!A:E,2,FALSE))-AL401)</f>
        <v>5</v>
      </c>
      <c r="BB401" s="16">
        <f>J401-D401</f>
        <v>31</v>
      </c>
      <c r="BC401" s="9">
        <f>IF(ISERROR(V401-S401),"-",V401-S401)</f>
        <v>20</v>
      </c>
      <c r="BD401" s="3">
        <f>J401-D401</f>
        <v>31</v>
      </c>
      <c r="BE401" s="3">
        <f>AE401-AB401</f>
        <v>53</v>
      </c>
      <c r="BF401" s="3">
        <f>AH401-AE401</f>
        <v>35</v>
      </c>
    </row>
    <row r="402" spans="1:58" s="3" customFormat="1" x14ac:dyDescent="0.2">
      <c r="A402" s="3" t="s">
        <v>475</v>
      </c>
      <c r="B402" s="3" t="str">
        <f>LOWER(VLOOKUP(A402,Xtal_Templ!A:B,2,FALSE))</f>
        <v>agtr1_human</v>
      </c>
      <c r="C402" s="3">
        <f>VLOOKUP($A402,'SegEnds_NonXtal_BW#'!$A:$Z,3,FALSE)+D402-50</f>
        <v>6</v>
      </c>
      <c r="D402" s="3">
        <v>24</v>
      </c>
      <c r="E402" s="3">
        <f>F402-1</f>
        <v>36</v>
      </c>
      <c r="F402" s="3">
        <f>G402-2</f>
        <v>37</v>
      </c>
      <c r="G402" s="3">
        <v>39</v>
      </c>
      <c r="H402" s="3">
        <f>G402+1</f>
        <v>40</v>
      </c>
      <c r="I402" s="3">
        <f>H402+1</f>
        <v>41</v>
      </c>
      <c r="J402" s="3">
        <v>55</v>
      </c>
      <c r="K402" s="3">
        <f>VLOOKUP($A402,'SegEnds_NonXtal_BW#'!$A:$Z,8,FALSE)+VLOOKUP($A402,A:AL,10,FALSE)-50</f>
        <v>72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78</v>
      </c>
      <c r="P402" s="3">
        <v>107</v>
      </c>
      <c r="Q402" s="3">
        <f>VLOOKUP($A402,'SegEnds_NonXtal_BW#'!$A:$Z,12,FALSE)+VLOOKUP($A402,A:AL,16,FALSE)-50</f>
        <v>113</v>
      </c>
      <c r="R402" s="3">
        <f>S402</f>
        <v>116</v>
      </c>
      <c r="S402" s="3">
        <v>116</v>
      </c>
      <c r="T402" s="103">
        <f>S402+7</f>
        <v>123</v>
      </c>
      <c r="U402" s="9">
        <f>IF(ISERROR(VLOOKUP($A402,'SegEnds_NonXtal_BW#'!$A:$Z,15,FALSE)+VLOOKUP($A402,A:AL,22,FALSE)-50),"-",VLOOKUP($A402,'SegEnds_NonXtal_BW#'!$A:$Z,15,FALSE)+VLOOKUP($A402,A:AL,22,FALSE)-50)</f>
        <v>124</v>
      </c>
      <c r="V402" s="3">
        <v>136</v>
      </c>
      <c r="W402" s="3">
        <f>IF(ISERROR(VLOOKUP($A402,'SegEnds_NonXtal_BW#'!$A:$Z,16,FALSE)+VLOOKUP($A402,A:AL,22,FALSE)-50),"-",(VLOOKUP($A402,'SegEnds_NonXtal_BW#'!$A:$Z,16,FALSE)+VLOOKUP($A402,A:AL,22,FALSE)-50))</f>
        <v>150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174</v>
      </c>
      <c r="AB402" s="3">
        <v>192</v>
      </c>
      <c r="AC402" s="3">
        <f>IF(ISERROR((VLOOKUP($A402,'SegEnds_NonXtal_BW#'!$A:$Z,20,FALSE)+VLOOKUP($A402,A:AL,28,FALSE)-50)),"-",(VLOOKUP($A402,'SegEnds_NonXtal_BW#'!$A:$Z,20,FALSE)+VLOOKUP($A402,A:AL,28,FALSE)-50))</f>
        <v>214</v>
      </c>
      <c r="AD402" s="3">
        <f>IF(ISERROR(VLOOKUP($A402,'SegEnds_NonXtal_BW#'!$A:$Z,21,FALSE)+VLOOKUP($A402,A:AL,31,FALSE)-50),"-",(VLOOKUP($A402,'SegEnds_NonXtal_BW#'!$A:$Z,21,FALSE)+VLOOKUP($A402,A:AL,31,FALSE)-50))</f>
        <v>224</v>
      </c>
      <c r="AE402" s="3">
        <v>245</v>
      </c>
      <c r="AF402" s="3">
        <f>IF(ISERROR((VLOOKUP($A402,'SegEnds_NonXtal_BW#'!$A:$Z,22,FALSE)+VLOOKUP($A402,A:AL,31,FALSE)-50)),"-",(VLOOKUP($A402,'SegEnds_NonXtal_BW#'!$A:$Z,22,FALSE)+VLOOKUP($A402,A:AL,31,FALSE)-50))</f>
        <v>256</v>
      </c>
      <c r="AG402" s="3">
        <f>IF(ISERROR(VLOOKUP($A402,'SegEnds_NonXtal_BW#'!$A:$Z,23,FALSE)+VLOOKUP($A402,A:AL,34,FALSE)-50),"-",(VLOOKUP($A402,'SegEnds_NonXtal_BW#'!$A:$Z,23,FALSE)+VLOOKUP($A402,A:AL,34,FALSE)-50))</f>
        <v>262</v>
      </c>
      <c r="AH402" s="3">
        <v>281</v>
      </c>
      <c r="AI402" s="3">
        <f>IF(ISERROR((VLOOKUP($A402,'SegEnds_NonXtal_BW#'!$A:$Z,24,FALSE)+VLOOKUP($A402,A:AL,34,FALSE)-50)),"-",(VLOOKUP($A402,'SegEnds_NonXtal_BW#'!$A:$Z,24,FALSE)+VLOOKUP($A402,A:AL,34,FALSE)-50))</f>
        <v>287</v>
      </c>
      <c r="AJ402" s="3">
        <f>IF(ISERROR(VLOOKUP($A402,'SegEnds_NonXtal_BW#'!$A:$Z,25,FALSE)+VLOOKUP($A402,A:AL,37,FALSE)-50),"-",(VLOOKUP($A402,'SegEnds_NonXtal_BW#'!$A:$Z,25,FALSE)+VLOOKUP($A402,A:AL,37,FALSE)-50))</f>
        <v>288</v>
      </c>
      <c r="AK402" s="3">
        <v>291</v>
      </c>
      <c r="AL402" s="3">
        <f>IF(ISERROR((VLOOKUP($A402,'SegEnds_NonXtal_BW#'!$A:$Z,26,FALSE)+VLOOKUP($A402,A:AL,37,FALSE)-50)),"-",(VLOOKUP($A402,'SegEnds_NonXtal_BW#'!$A:$Z,26,FALSE)+VLOOKUP($A402,A:AL,37,FALSE)-50))</f>
        <v>301</v>
      </c>
      <c r="AM402" s="28" t="str">
        <f>VLOOKUP(A402,Classification!A:B,2,FALSE)</f>
        <v>T</v>
      </c>
      <c r="AN402" s="28" t="b">
        <f>AND(IF(Y402="-",IF(AA402-W402&gt;3,TRUE,FALSE),TRUE),IF(M402="-",IF(O402-K402&gt;3,TRUE,FALSE),TRUE),C402&lt;E402,OR(E402&lt;F402,F402="-"),OR(F402&lt;H402,F402="-"),OR(H402&lt;I402,H402="-"),I402&lt;K402,OR(K402&lt;L402,L402="-"),OR(L402&lt;N402,L402="-"),OR(N402&lt;O402,N402="-"),O402&lt;Q402,OR(Q402&lt;R402,R402="-"),OR(R402&lt;T402,R402="-"),OR(T402&lt;U402,T402="-"),U402&lt;W402,OR(W402&lt;X402,X402="-"),OR(X402&lt;Z402,X402="-"),OR(Z402&lt;AA402,Z402="-"),AA402&lt;AC402,AC402&lt;AD402,AD402&lt;AF402,AF402&lt;AG402,AG402&lt;AI402,OR(AI402&lt;AJ402,AJ402="-"),OR(AJ402&lt;AL402,AJ402="-"))</f>
        <v>1</v>
      </c>
      <c r="AO402" s="3" t="str">
        <f>IF(ISERROR(MATCH(A402,'SegEnds_Xtal_Prot#'!B:B, 0)), "NoXtal", "Xtal")</f>
        <v>NoXtal</v>
      </c>
      <c r="AP402" s="3">
        <f>IF(ISERROR(F402-E402),"-",F402-E402)</f>
        <v>1</v>
      </c>
      <c r="AQ402" s="3">
        <f>IF(ISERROR(I402-H402),"-",I402-H402)</f>
        <v>1</v>
      </c>
      <c r="AR402" s="3" t="str">
        <f>IF(ISERROR(L402-K402),"-",L402-K402)</f>
        <v>-</v>
      </c>
      <c r="AS402" s="3" t="str">
        <f>IF(ISERROR(O402-N402),"-",O402-N402)</f>
        <v>-</v>
      </c>
      <c r="AT402" s="3">
        <f>IF(ISERROR(R402-Q402),"-",R402-Q402)</f>
        <v>3</v>
      </c>
      <c r="AU402" s="3">
        <f>IF(ISERROR(U402-T402),"-",U402-T402)</f>
        <v>1</v>
      </c>
      <c r="AV402" s="3" t="str">
        <f>IF(ISERROR(X402-W402),"-",X402-W402)</f>
        <v>-</v>
      </c>
      <c r="AW402" s="3" t="str">
        <f>IF(ISERROR(AA402-Z402),"-",AA402-Z402)</f>
        <v>-</v>
      </c>
      <c r="AX402" s="3">
        <f>IF(ISERROR(AD402-AC402),"-",AD402-AC402)</f>
        <v>10</v>
      </c>
      <c r="AY402" s="3">
        <f>IF(ISERROR(AG402-AF402),"-",AG402-AF402)</f>
        <v>6</v>
      </c>
      <c r="AZ402" s="3">
        <f>IF(ISERROR(AJ402-AI402),"-",AJ402-AI402)</f>
        <v>1</v>
      </c>
      <c r="BA402" s="3">
        <f>IF(ISERROR(LEN(VLOOKUP(A402,Seqs!A:E,2,FALSE))-AL402),"-",LEN(VLOOKUP(A402,Seqs!A:E,2,FALSE))-AL402)</f>
        <v>15</v>
      </c>
      <c r="BB402" s="16">
        <f>J402-D402</f>
        <v>31</v>
      </c>
      <c r="BC402" s="9">
        <f>IF(ISERROR(V402-S402),"-",V402-S402)</f>
        <v>20</v>
      </c>
      <c r="BD402" s="3">
        <f>J402-D402</f>
        <v>31</v>
      </c>
      <c r="BE402" s="3">
        <f>AE402-AB402</f>
        <v>53</v>
      </c>
      <c r="BF402" s="3">
        <f>AH402-AE402</f>
        <v>36</v>
      </c>
    </row>
    <row r="403" spans="1:58" s="3" customFormat="1" x14ac:dyDescent="0.2">
      <c r="A403" s="3" t="s">
        <v>476</v>
      </c>
      <c r="B403" s="3" t="str">
        <f>LOWER(VLOOKUP(A403,Xtal_Templ!A:B,2,FALSE))</f>
        <v>5ht1b_human</v>
      </c>
      <c r="C403" s="3">
        <f>VLOOKUP($A403,'SegEnds_NonXtal_BW#'!$A:$Z,3,FALSE)+D403-50</f>
        <v>6</v>
      </c>
      <c r="D403" s="3">
        <v>24</v>
      </c>
      <c r="E403" s="3">
        <f>F403-1</f>
        <v>36</v>
      </c>
      <c r="F403" s="3">
        <f>G403-2</f>
        <v>37</v>
      </c>
      <c r="G403" s="3">
        <v>39</v>
      </c>
      <c r="H403" s="3">
        <f>G403+1</f>
        <v>40</v>
      </c>
      <c r="I403" s="3">
        <f>H403+1</f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>S403</f>
        <v>115</v>
      </c>
      <c r="S403" s="3">
        <v>115</v>
      </c>
      <c r="T403" s="103">
        <f>S403+7</f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170</v>
      </c>
      <c r="AB403" s="3">
        <v>188</v>
      </c>
      <c r="AC403" s="3">
        <f>IF(ISERROR((VLOOKUP($A403,'SegEnds_NonXtal_BW#'!$A:$Z,20,FALSE)+VLOOKUP($A403,A:AL,28,FALSE)-50)),"-",(VLOOKUP($A403,'SegEnds_NonXtal_BW#'!$A:$Z,20,FALSE)+VLOOKUP($A403,A:AL,28,FALSE)-50))</f>
        <v>210</v>
      </c>
      <c r="AD403" s="3">
        <f>IF(ISERROR(VLOOKUP($A403,'SegEnds_NonXtal_BW#'!$A:$Z,21,FALSE)+VLOOKUP($A403,A:AL,31,FALSE)-50),"-",(VLOOKUP($A403,'SegEnds_NonXtal_BW#'!$A:$Z,21,FALSE)+VLOOKUP($A403,A:AL,31,FALSE)-50))</f>
        <v>220</v>
      </c>
      <c r="AE403" s="3">
        <v>241</v>
      </c>
      <c r="AF403" s="3">
        <f>IF(ISERROR((VLOOKUP($A403,'SegEnds_NonXtal_BW#'!$A:$Z,22,FALSE)+VLOOKUP($A403,A:AL,31,FALSE)-50)),"-",(VLOOKUP($A403,'SegEnds_NonXtal_BW#'!$A:$Z,22,FALSE)+VLOOKUP($A403,A:AL,31,FALSE)-50))</f>
        <v>252</v>
      </c>
      <c r="AG403" s="3">
        <f>IF(ISERROR(VLOOKUP($A403,'SegEnds_NonXtal_BW#'!$A:$Z,23,FALSE)+VLOOKUP($A403,A:AL,34,FALSE)-50),"-",(VLOOKUP($A403,'SegEnds_NonXtal_BW#'!$A:$Z,23,FALSE)+VLOOKUP($A403,A:AL,34,FALSE)-50))</f>
        <v>258</v>
      </c>
      <c r="AH403" s="3">
        <v>277</v>
      </c>
      <c r="AI403" s="3">
        <f>IF(ISERROR((VLOOKUP($A403,'SegEnds_NonXtal_BW#'!$A:$Z,24,FALSE)+VLOOKUP($A403,A:AL,34,FALSE)-50)),"-",(VLOOKUP($A403,'SegEnds_NonXtal_BW#'!$A:$Z,24,FALSE)+VLOOKUP($A403,A:AL,34,FALSE)-50))</f>
        <v>283</v>
      </c>
      <c r="AJ403" s="3">
        <f>IF(ISERROR(VLOOKUP($A403,'SegEnds_NonXtal_BW#'!$A:$Z,25,FALSE)+VLOOKUP($A403,A:AL,37,FALSE)-50),"-",(VLOOKUP($A403,'SegEnds_NonXtal_BW#'!$A:$Z,25,FALSE)+VLOOKUP($A403,A:AL,37,FALSE)-50))</f>
        <v>284</v>
      </c>
      <c r="AK403" s="3">
        <v>287</v>
      </c>
      <c r="AL403" s="3">
        <f>IF(ISERROR((VLOOKUP($A403,'SegEnds_NonXtal_BW#'!$A:$Z,26,FALSE)+VLOOKUP($A403,A:AL,37,FALSE)-50)),"-",(VLOOKUP($A403,'SegEnds_NonXtal_BW#'!$A:$Z,26,FALSE)+VLOOKUP($A403,A:AL,37,FALSE)-50))</f>
        <v>297</v>
      </c>
      <c r="AM403" s="28" t="str">
        <f>VLOOKUP(A403,Classification!A:B,2,FALSE)</f>
        <v>T</v>
      </c>
      <c r="AN403" s="28" t="b">
        <f>AND(IF(Y403="-",IF(AA403-W403&gt;3,TRUE,FALSE),TRUE),IF(M403="-",IF(O403-K403&gt;3,TRUE,FALSE),TRUE),C403&lt;E403,OR(E403&lt;F403,F403="-"),OR(F403&lt;H403,F403="-"),OR(H403&lt;I403,H403="-"),I403&lt;K403,OR(K403&lt;L403,L403="-"),OR(L403&lt;N403,L403="-"),OR(N403&lt;O403,N403="-"),O403&lt;Q403,OR(Q403&lt;R403,R403="-"),OR(R403&lt;T403,R403="-"),OR(T403&lt;U403,T403="-"),U403&lt;W403,OR(W403&lt;X403,X403="-"),OR(X403&lt;Z403,X403="-"),OR(Z403&lt;AA403,Z403="-"),AA403&lt;AC403,AC403&lt;AD403,AD403&lt;AF403,AF403&lt;AG403,AG403&lt;AI403,OR(AI403&lt;AJ403,AJ403="-"),OR(AJ403&lt;AL403,AJ403="-"))</f>
        <v>1</v>
      </c>
      <c r="AO403" s="3" t="str">
        <f>IF(ISERROR(MATCH(A403,'SegEnds_Xtal_Prot#'!B:B, 0)), "NoXtal", "Xtal")</f>
        <v>NoXtal</v>
      </c>
      <c r="AP403" s="3">
        <f>IF(ISERROR(F403-E403),"-",F403-E403)</f>
        <v>1</v>
      </c>
      <c r="AQ403" s="3">
        <f>IF(ISERROR(I403-H403),"-",I403-H403)</f>
        <v>1</v>
      </c>
      <c r="AR403" s="3" t="str">
        <f>IF(ISERROR(L403-K403),"-",L403-K403)</f>
        <v>-</v>
      </c>
      <c r="AS403" s="3" t="str">
        <f>IF(ISERROR(O403-N403),"-",O403-N403)</f>
        <v>-</v>
      </c>
      <c r="AT403" s="3">
        <f>IF(ISERROR(R403-Q403),"-",R403-Q403)</f>
        <v>3</v>
      </c>
      <c r="AU403" s="3">
        <f>IF(ISERROR(U403-T403),"-",U403-T403)</f>
        <v>1</v>
      </c>
      <c r="AV403" s="3" t="str">
        <f>IF(ISERROR(X403-W403),"-",X403-W403)</f>
        <v>-</v>
      </c>
      <c r="AW403" s="3" t="str">
        <f>IF(ISERROR(AA403-Z403),"-",AA403-Z403)</f>
        <v>-</v>
      </c>
      <c r="AX403" s="3">
        <f>IF(ISERROR(AD403-AC403),"-",AD403-AC403)</f>
        <v>10</v>
      </c>
      <c r="AY403" s="3">
        <f>IF(ISERROR(AG403-AF403),"-",AG403-AF403)</f>
        <v>6</v>
      </c>
      <c r="AZ403" s="3">
        <f>IF(ISERROR(AJ403-AI403),"-",AJ403-AI403)</f>
        <v>1</v>
      </c>
      <c r="BA403" s="3">
        <f>IF(ISERROR(LEN(VLOOKUP(A403,Seqs!A:E,2,FALSE))-AL403),"-",LEN(VLOOKUP(A403,Seqs!A:E,2,FALSE))-AL403)</f>
        <v>2</v>
      </c>
      <c r="BB403" s="16">
        <f>J403-D403</f>
        <v>31</v>
      </c>
      <c r="BC403" s="9">
        <f>IF(ISERROR(V403-S403),"-",V403-S403)</f>
        <v>20</v>
      </c>
      <c r="BD403" s="3">
        <f>J403-D403</f>
        <v>31</v>
      </c>
      <c r="BE403" s="3">
        <f>AE403-AB403</f>
        <v>53</v>
      </c>
      <c r="BF403" s="3">
        <f>AH403-AE403</f>
        <v>36</v>
      </c>
    </row>
    <row r="404" spans="1:58" s="3" customFormat="1" x14ac:dyDescent="0.2">
      <c r="A404" s="3" t="s">
        <v>477</v>
      </c>
      <c r="B404" s="3" t="str">
        <f>LOWER(VLOOKUP(A404,Xtal_Templ!A:B,2,FALSE))</f>
        <v>hrh1_human</v>
      </c>
      <c r="C404" s="3">
        <f>VLOOKUP($A404,'SegEnds_NonXtal_BW#'!$A:$Z,3,FALSE)+D404-50</f>
        <v>6</v>
      </c>
      <c r="D404" s="3">
        <v>24</v>
      </c>
      <c r="E404" s="3">
        <f>F404-1</f>
        <v>36</v>
      </c>
      <c r="F404" s="3">
        <f>G404-2</f>
        <v>37</v>
      </c>
      <c r="G404" s="3">
        <v>39</v>
      </c>
      <c r="H404" s="3">
        <f>G404+1</f>
        <v>40</v>
      </c>
      <c r="I404" s="3">
        <f>H404+1</f>
        <v>41</v>
      </c>
      <c r="J404" s="3">
        <v>55</v>
      </c>
      <c r="K404" s="3">
        <f>VLOOKUP($A404,'SegEnds_NonXtal_BW#'!$A:$Z,8,FALSE)+VLOOKUP($A404,A:AL,10,FALSE)-50</f>
        <v>71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77</v>
      </c>
      <c r="P404" s="3">
        <v>103</v>
      </c>
      <c r="Q404" s="3">
        <f>VLOOKUP($A404,'SegEnds_NonXtal_BW#'!$A:$Z,12,FALSE)+VLOOKUP($A404,A:AL,16,FALSE)-50</f>
        <v>109</v>
      </c>
      <c r="R404" s="3">
        <f>S404</f>
        <v>112</v>
      </c>
      <c r="S404" s="3">
        <v>112</v>
      </c>
      <c r="T404" s="103">
        <f>S404+7</f>
        <v>119</v>
      </c>
      <c r="U404" s="9">
        <f>IF(ISERROR(VLOOKUP($A404,'SegEnds_NonXtal_BW#'!$A:$Z,15,FALSE)+VLOOKUP($A404,A:AL,22,FALSE)-50),"-",VLOOKUP($A404,'SegEnds_NonXtal_BW#'!$A:$Z,15,FALSE)+VLOOKUP($A404,A:AL,22,FALSE)-50)</f>
        <v>120</v>
      </c>
      <c r="V404" s="3">
        <v>132</v>
      </c>
      <c r="W404" s="3">
        <f>IF(ISERROR(VLOOKUP($A404,'SegEnds_NonXtal_BW#'!$A:$Z,16,FALSE)+VLOOKUP($A404,A:AL,22,FALSE)-50),"-",(VLOOKUP($A404,'SegEnds_NonXtal_BW#'!$A:$Z,16,FALSE)+VLOOKUP($A404,A:AL,22,FALSE)-50))</f>
        <v>144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162</v>
      </c>
      <c r="AB404" s="3">
        <v>180</v>
      </c>
      <c r="AC404" s="3">
        <f>IF(ISERROR((VLOOKUP($A404,'SegEnds_NonXtal_BW#'!$A:$Z,20,FALSE)+VLOOKUP($A404,A:AL,28,FALSE)-50)),"-",(VLOOKUP($A404,'SegEnds_NonXtal_BW#'!$A:$Z,20,FALSE)+VLOOKUP($A404,A:AL,28,FALSE)-50))</f>
        <v>202</v>
      </c>
      <c r="AD404" s="3">
        <f>IF(ISERROR(VLOOKUP($A404,'SegEnds_NonXtal_BW#'!$A:$Z,21,FALSE)+VLOOKUP($A404,A:AL,31,FALSE)-50),"-",(VLOOKUP($A404,'SegEnds_NonXtal_BW#'!$A:$Z,21,FALSE)+VLOOKUP($A404,A:AL,31,FALSE)-50))</f>
        <v>212</v>
      </c>
      <c r="AE404" s="3">
        <v>233</v>
      </c>
      <c r="AF404" s="3">
        <f>IF(ISERROR((VLOOKUP($A404,'SegEnds_NonXtal_BW#'!$A:$Z,22,FALSE)+VLOOKUP($A404,A:AL,31,FALSE)-50)),"-",(VLOOKUP($A404,'SegEnds_NonXtal_BW#'!$A:$Z,22,FALSE)+VLOOKUP($A404,A:AL,31,FALSE)-50))</f>
        <v>244</v>
      </c>
      <c r="AG404" s="3">
        <f>IF(ISERROR(VLOOKUP($A404,'SegEnds_NonXtal_BW#'!$A:$Z,23,FALSE)+VLOOKUP($A404,A:AL,34,FALSE)-50),"-",(VLOOKUP($A404,'SegEnds_NonXtal_BW#'!$A:$Z,23,FALSE)+VLOOKUP($A404,A:AL,34,FALSE)-50))</f>
        <v>250</v>
      </c>
      <c r="AH404" s="3">
        <v>269</v>
      </c>
      <c r="AI404" s="3">
        <f>IF(ISERROR((VLOOKUP($A404,'SegEnds_NonXtal_BW#'!$A:$Z,24,FALSE)+VLOOKUP($A404,A:AL,34,FALSE)-50)),"-",(VLOOKUP($A404,'SegEnds_NonXtal_BW#'!$A:$Z,24,FALSE)+VLOOKUP($A404,A:AL,34,FALSE)-50))</f>
        <v>275</v>
      </c>
      <c r="AJ404" s="3">
        <f>IF(ISERROR(VLOOKUP($A404,'SegEnds_NonXtal_BW#'!$A:$Z,25,FALSE)+VLOOKUP($A404,A:AL,37,FALSE)-50),"-",(VLOOKUP($A404,'SegEnds_NonXtal_BW#'!$A:$Z,25,FALSE)+VLOOKUP($A404,A:AL,37,FALSE)-50))</f>
        <v>276</v>
      </c>
      <c r="AK404" s="3">
        <v>279</v>
      </c>
      <c r="AL404" s="3">
        <f>IF(ISERROR((VLOOKUP($A404,'SegEnds_NonXtal_BW#'!$A:$Z,26,FALSE)+VLOOKUP($A404,A:AL,37,FALSE)-50)),"-",(VLOOKUP($A404,'SegEnds_NonXtal_BW#'!$A:$Z,26,FALSE)+VLOOKUP($A404,A:AL,37,FALSE)-50))</f>
        <v>289</v>
      </c>
      <c r="AM404" s="28" t="str">
        <f>VLOOKUP(A404,Classification!A:B,2,FALSE)</f>
        <v>T</v>
      </c>
      <c r="AN404" s="28" t="b">
        <f>AND(IF(Y404="-",IF(AA404-W404&gt;3,TRUE,FALSE),TRUE),IF(M404="-",IF(O404-K404&gt;3,TRUE,FALSE),TRUE),C404&lt;E404,OR(E404&lt;F404,F404="-"),OR(F404&lt;H404,F404="-"),OR(H404&lt;I404,H404="-"),I404&lt;K404,OR(K404&lt;L404,L404="-"),OR(L404&lt;N404,L404="-"),OR(N404&lt;O404,N404="-"),O404&lt;Q404,OR(Q404&lt;R404,R404="-"),OR(R404&lt;T404,R404="-"),OR(T404&lt;U404,T404="-"),U404&lt;W404,OR(W404&lt;X404,X404="-"),OR(X404&lt;Z404,X404="-"),OR(Z404&lt;AA404,Z404="-"),AA404&lt;AC404,AC404&lt;AD404,AD404&lt;AF404,AF404&lt;AG404,AG404&lt;AI404,OR(AI404&lt;AJ404,AJ404="-"),OR(AJ404&lt;AL404,AJ404="-"))</f>
        <v>1</v>
      </c>
      <c r="AO404" s="3" t="str">
        <f>IF(ISERROR(MATCH(A404,'SegEnds_Xtal_Prot#'!B:B, 0)), "NoXtal", "Xtal")</f>
        <v>NoXtal</v>
      </c>
      <c r="AP404" s="3">
        <f>IF(ISERROR(F404-E404),"-",F404-E404)</f>
        <v>1</v>
      </c>
      <c r="AQ404" s="3">
        <f>IF(ISERROR(I404-H404),"-",I404-H404)</f>
        <v>1</v>
      </c>
      <c r="AR404" s="3" t="str">
        <f>IF(ISERROR(L404-K404),"-",L404-K404)</f>
        <v>-</v>
      </c>
      <c r="AS404" s="3" t="str">
        <f>IF(ISERROR(O404-N404),"-",O404-N404)</f>
        <v>-</v>
      </c>
      <c r="AT404" s="3">
        <f>IF(ISERROR(R404-Q404),"-",R404-Q404)</f>
        <v>3</v>
      </c>
      <c r="AU404" s="3">
        <f>IF(ISERROR(U404-T404),"-",U404-T404)</f>
        <v>1</v>
      </c>
      <c r="AV404" s="3" t="str">
        <f>IF(ISERROR(X404-W404),"-",X404-W404)</f>
        <v>-</v>
      </c>
      <c r="AW404" s="3" t="str">
        <f>IF(ISERROR(AA404-Z404),"-",AA404-Z404)</f>
        <v>-</v>
      </c>
      <c r="AX404" s="3">
        <f>IF(ISERROR(AD404-AC404),"-",AD404-AC404)</f>
        <v>10</v>
      </c>
      <c r="AY404" s="3">
        <f>IF(ISERROR(AG404-AF404),"-",AG404-AF404)</f>
        <v>6</v>
      </c>
      <c r="AZ404" s="3">
        <f>IF(ISERROR(AJ404-AI404),"-",AJ404-AI404)</f>
        <v>1</v>
      </c>
      <c r="BA404" s="3">
        <f>IF(ISERROR(LEN(VLOOKUP(A404,Seqs!A:E,2,FALSE))-AL404),"-",LEN(VLOOKUP(A404,Seqs!A:E,2,FALSE))-AL404)</f>
        <v>10</v>
      </c>
      <c r="BB404" s="16">
        <f>J404-D404</f>
        <v>31</v>
      </c>
      <c r="BC404" s="9">
        <f>IF(ISERROR(V404-S404),"-",V404-S404)</f>
        <v>20</v>
      </c>
      <c r="BD404" s="3">
        <f>J404-D404</f>
        <v>31</v>
      </c>
      <c r="BE404" s="3">
        <f>AE404-AB404</f>
        <v>53</v>
      </c>
      <c r="BF404" s="3">
        <f>AH404-AE404</f>
        <v>36</v>
      </c>
    </row>
    <row r="405" spans="1:58" s="3" customFormat="1" x14ac:dyDescent="0.2">
      <c r="A405" s="3" t="s">
        <v>478</v>
      </c>
      <c r="B405" s="3" t="str">
        <f>LOWER(VLOOKUP(A405,Xtal_Templ!A:B,2,FALSE))</f>
        <v>ednrb_human</v>
      </c>
      <c r="C405" s="3">
        <f>VLOOKUP($A405,'SegEnds_NonXtal_BW#'!$A:$Z,3,FALSE)+D405-50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>S405</f>
        <v>116</v>
      </c>
      <c r="S405" s="3">
        <v>116</v>
      </c>
      <c r="T405" s="103">
        <f>S405+7</f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150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175</v>
      </c>
      <c r="AB405" s="3">
        <v>193</v>
      </c>
      <c r="AC405" s="3">
        <f>IF(ISERROR((VLOOKUP($A405,'SegEnds_NonXtal_BW#'!$A:$Z,20,FALSE)+VLOOKUP($A405,A:AL,28,FALSE)-50)),"-",(VLOOKUP($A405,'SegEnds_NonXtal_BW#'!$A:$Z,20,FALSE)+VLOOKUP($A405,A:AL,28,FALSE)-50))</f>
        <v>215</v>
      </c>
      <c r="AD405" s="3">
        <f>IF(ISERROR(VLOOKUP($A405,'SegEnds_NonXtal_BW#'!$A:$Z,21,FALSE)+VLOOKUP($A405,A:AL,31,FALSE)-50),"-",(VLOOKUP($A405,'SegEnds_NonXtal_BW#'!$A:$Z,21,FALSE)+VLOOKUP($A405,A:AL,31,FALSE)-50))</f>
        <v>225</v>
      </c>
      <c r="AE405" s="3">
        <v>246</v>
      </c>
      <c r="AF405" s="3">
        <f>IF(ISERROR((VLOOKUP($A405,'SegEnds_NonXtal_BW#'!$A:$Z,22,FALSE)+VLOOKUP($A405,A:AL,31,FALSE)-50)),"-",(VLOOKUP($A405,'SegEnds_NonXtal_BW#'!$A:$Z,22,FALSE)+VLOOKUP($A405,A:AL,31,FALSE)-50))</f>
        <v>257</v>
      </c>
      <c r="AG405" s="3">
        <f>IF(ISERROR(VLOOKUP($A405,'SegEnds_NonXtal_BW#'!$A:$Z,23,FALSE)+VLOOKUP($A405,A:AL,34,FALSE)-50),"-",(VLOOKUP($A405,'SegEnds_NonXtal_BW#'!$A:$Z,23,FALSE)+VLOOKUP($A405,A:AL,34,FALSE)-50))</f>
        <v>263</v>
      </c>
      <c r="AH405" s="3">
        <v>282</v>
      </c>
      <c r="AI405" s="3">
        <f>IF(ISERROR((VLOOKUP($A405,'SegEnds_NonXtal_BW#'!$A:$Z,24,FALSE)+VLOOKUP($A405,A:AL,34,FALSE)-50)),"-",(VLOOKUP($A405,'SegEnds_NonXtal_BW#'!$A:$Z,24,FALSE)+VLOOKUP($A405,A:AL,34,FALSE)-50))</f>
        <v>288</v>
      </c>
      <c r="AJ405" s="3">
        <f>IF(ISERROR(VLOOKUP($A405,'SegEnds_NonXtal_BW#'!$A:$Z,25,FALSE)+VLOOKUP($A405,A:AL,37,FALSE)-50),"-",(VLOOKUP($A405,'SegEnds_NonXtal_BW#'!$A:$Z,25,FALSE)+VLOOKUP($A405,A:AL,37,FALSE)-50))</f>
        <v>289</v>
      </c>
      <c r="AK405" s="3">
        <v>292</v>
      </c>
      <c r="AL405" s="3">
        <f>IF(ISERROR((VLOOKUP($A405,'SegEnds_NonXtal_BW#'!$A:$Z,26,FALSE)+VLOOKUP($A405,A:AL,37,FALSE)-50)),"-",(VLOOKUP($A405,'SegEnds_NonXtal_BW#'!$A:$Z,26,FALSE)+VLOOKUP($A405,A:AL,37,FALSE)-50))</f>
        <v>302</v>
      </c>
      <c r="AM405" s="28" t="str">
        <f>VLOOKUP(A405,Classification!A:B,2,FALSE)</f>
        <v>T</v>
      </c>
      <c r="AN405" s="28" t="b">
        <f>AND(IF(Y405="-",IF(AA405-W405&gt;3,TRUE,FALSE),TRUE),IF(M405="-",IF(O405-K405&gt;3,TRUE,FALSE),TRUE),C405&lt;E405,OR(E405&lt;F405,F405="-"),OR(F405&lt;H405,F405="-"),OR(H405&lt;I405,H405="-"),I405&lt;K405,OR(K405&lt;L405,L405="-"),OR(L405&lt;N405,L405="-"),OR(N405&lt;O405,N405="-"),O405&lt;Q405,OR(Q405&lt;R405,R405="-"),OR(R405&lt;T405,R405="-"),OR(T405&lt;U405,T405="-"),U405&lt;W405,OR(W405&lt;X405,X405="-"),OR(X405&lt;Z405,X405="-"),OR(Z405&lt;AA405,Z405="-"),AA405&lt;AC405,AC405&lt;AD405,AD405&lt;AF405,AF405&lt;AG405,AG405&lt;AI405,OR(AI405&lt;AJ405,AJ405="-"),OR(AJ405&lt;AL405,AJ405="-"))</f>
        <v>1</v>
      </c>
      <c r="AO405" s="3" t="str">
        <f>IF(ISERROR(MATCH(A405,'SegEnds_Xtal_Prot#'!B:B, 0)), "NoXtal", "Xtal")</f>
        <v>NoXtal</v>
      </c>
      <c r="AP405" s="3">
        <f>IF(ISERROR(F405-E405),"-",F405-E405)</f>
        <v>1</v>
      </c>
      <c r="AQ405" s="3">
        <f>IF(ISERROR(I405-H405),"-",I405-H405)</f>
        <v>1</v>
      </c>
      <c r="AR405" s="3" t="str">
        <f>IF(ISERROR(L405-K405),"-",L405-K405)</f>
        <v>-</v>
      </c>
      <c r="AS405" s="3" t="str">
        <f>IF(ISERROR(O405-N405),"-",O405-N405)</f>
        <v>-</v>
      </c>
      <c r="AT405" s="3">
        <f>IF(ISERROR(R405-Q405),"-",R405-Q405)</f>
        <v>3</v>
      </c>
      <c r="AU405" s="3">
        <f>IF(ISERROR(U405-T405),"-",U405-T405)</f>
        <v>1</v>
      </c>
      <c r="AV405" s="3" t="str">
        <f>IF(ISERROR(X405-W405),"-",X405-W405)</f>
        <v>-</v>
      </c>
      <c r="AW405" s="3" t="str">
        <f>IF(ISERROR(AA405-Z405),"-",AA405-Z405)</f>
        <v>-</v>
      </c>
      <c r="AX405" s="3">
        <f>IF(ISERROR(AD405-AC405),"-",AD405-AC405)</f>
        <v>10</v>
      </c>
      <c r="AY405" s="3">
        <f>IF(ISERROR(AG405-AF405),"-",AG405-AF405)</f>
        <v>6</v>
      </c>
      <c r="AZ405" s="3">
        <f>IF(ISERROR(AJ405-AI405),"-",AJ405-AI405)</f>
        <v>1</v>
      </c>
      <c r="BA405" s="3">
        <f>IF(ISERROR(LEN(VLOOKUP(A405,Seqs!A:E,2,FALSE))-AL405),"-",LEN(VLOOKUP(A405,Seqs!A:E,2,FALSE))-AL405)</f>
        <v>16</v>
      </c>
      <c r="BB405" s="16">
        <f>J405-D405</f>
        <v>31</v>
      </c>
      <c r="BC405" s="9">
        <f>IF(ISERROR(V405-S405),"-",V405-S405)</f>
        <v>20</v>
      </c>
      <c r="BD405" s="3">
        <f>J405-D405</f>
        <v>31</v>
      </c>
      <c r="BE405" s="3">
        <f>AE405-AB405</f>
        <v>53</v>
      </c>
      <c r="BF405" s="3">
        <f>AH405-AE405</f>
        <v>36</v>
      </c>
    </row>
    <row r="406" spans="1:58" s="3" customFormat="1" x14ac:dyDescent="0.2">
      <c r="A406" s="3" t="s">
        <v>479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>F406-1</f>
        <v>36</v>
      </c>
      <c r="F406" s="3">
        <f>G406-2</f>
        <v>37</v>
      </c>
      <c r="G406" s="3">
        <v>39</v>
      </c>
      <c r="H406" s="3">
        <f>G406+1</f>
        <v>40</v>
      </c>
      <c r="I406" s="3">
        <f>H406+1</f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75</v>
      </c>
      <c r="P406" s="3">
        <v>107</v>
      </c>
      <c r="Q406" s="3">
        <f>VLOOKUP($A406,'SegEnds_NonXtal_BW#'!$A:$Z,12,FALSE)+VLOOKUP($A406,A:AL,16,FALSE)-50</f>
        <v>113</v>
      </c>
      <c r="R406" s="3">
        <f>S406</f>
        <v>116</v>
      </c>
      <c r="S406" s="3">
        <v>116</v>
      </c>
      <c r="T406" s="103">
        <f>S406+7</f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175</v>
      </c>
      <c r="AB406" s="3">
        <v>193</v>
      </c>
      <c r="AC406" s="3">
        <f>IF(ISERROR((VLOOKUP($A406,'SegEnds_NonXtal_BW#'!$A:$Z,20,FALSE)+VLOOKUP($A406,A:AL,28,FALSE)-50)),"-",(VLOOKUP($A406,'SegEnds_NonXtal_BW#'!$A:$Z,20,FALSE)+VLOOKUP($A406,A:AL,28,FALSE)-50))</f>
        <v>215</v>
      </c>
      <c r="AD406" s="3">
        <f>IF(ISERROR(VLOOKUP($A406,'SegEnds_NonXtal_BW#'!$A:$Z,21,FALSE)+VLOOKUP($A406,A:AL,31,FALSE)-50),"-",(VLOOKUP($A406,'SegEnds_NonXtal_BW#'!$A:$Z,21,FALSE)+VLOOKUP($A406,A:AL,31,FALSE)-50))</f>
        <v>225</v>
      </c>
      <c r="AE406" s="3">
        <v>246</v>
      </c>
      <c r="AF406" s="3">
        <f>IF(ISERROR((VLOOKUP($A406,'SegEnds_NonXtal_BW#'!$A:$Z,22,FALSE)+VLOOKUP($A406,A:AL,31,FALSE)-50)),"-",(VLOOKUP($A406,'SegEnds_NonXtal_BW#'!$A:$Z,22,FALSE)+VLOOKUP($A406,A:AL,31,FALSE)-50))</f>
        <v>257</v>
      </c>
      <c r="AG406" s="3">
        <f>IF(ISERROR(VLOOKUP($A406,'SegEnds_NonXtal_BW#'!$A:$Z,23,FALSE)+VLOOKUP($A406,A:AL,34,FALSE)-50),"-",(VLOOKUP($A406,'SegEnds_NonXtal_BW#'!$A:$Z,23,FALSE)+VLOOKUP($A406,A:AL,34,FALSE)-50))</f>
        <v>263</v>
      </c>
      <c r="AH406" s="3">
        <v>282</v>
      </c>
      <c r="AI406" s="3">
        <f>IF(ISERROR((VLOOKUP($A406,'SegEnds_NonXtal_BW#'!$A:$Z,24,FALSE)+VLOOKUP($A406,A:AL,34,FALSE)-50)),"-",(VLOOKUP($A406,'SegEnds_NonXtal_BW#'!$A:$Z,24,FALSE)+VLOOKUP($A406,A:AL,34,FALSE)-50))</f>
        <v>288</v>
      </c>
      <c r="AJ406" s="3">
        <f>IF(ISERROR(VLOOKUP($A406,'SegEnds_NonXtal_BW#'!$A:$Z,25,FALSE)+VLOOKUP($A406,A:AL,37,FALSE)-50),"-",(VLOOKUP($A406,'SegEnds_NonXtal_BW#'!$A:$Z,25,FALSE)+VLOOKUP($A406,A:AL,37,FALSE)-50))</f>
        <v>289</v>
      </c>
      <c r="AK406" s="3">
        <v>292</v>
      </c>
      <c r="AL406" s="3">
        <f>IF(ISERROR((VLOOKUP($A406,'SegEnds_NonXtal_BW#'!$A:$Z,26,FALSE)+VLOOKUP($A406,A:AL,37,FALSE)-50)),"-",(VLOOKUP($A406,'SegEnds_NonXtal_BW#'!$A:$Z,26,FALSE)+VLOOKUP($A406,A:AL,37,FALSE)-50))</f>
        <v>302</v>
      </c>
      <c r="AM406" s="28" t="str">
        <f>VLOOKUP(A406,Classification!A:B,2,FALSE)</f>
        <v>T</v>
      </c>
      <c r="AN406" s="28" t="b">
        <f>AND(IF(Y406="-",IF(AA406-W406&gt;3,TRUE,FALSE),TRUE),IF(M406="-",IF(O406-K406&gt;3,TRUE,FALSE),TRUE),C406&lt;E406,OR(E406&lt;F406,F406="-"),OR(F406&lt;H406,F406="-"),OR(H406&lt;I406,H406="-"),I406&lt;K406,OR(K406&lt;L406,L406="-"),OR(L406&lt;N406,L406="-"),OR(N406&lt;O406,N406="-"),O406&lt;Q406,OR(Q406&lt;R406,R406="-"),OR(R406&lt;T406,R406="-"),OR(T406&lt;U406,T406="-"),U406&lt;W406,OR(W406&lt;X406,X406="-"),OR(X406&lt;Z406,X406="-"),OR(Z406&lt;AA406,Z406="-"),AA406&lt;AC406,AC406&lt;AD406,AD406&lt;AF406,AF406&lt;AG406,AG406&lt;AI406,OR(AI406&lt;AJ406,AJ406="-"),OR(AJ406&lt;AL406,AJ406="-"))</f>
        <v>1</v>
      </c>
      <c r="AO406" s="3" t="str">
        <f>IF(ISERROR(MATCH(A406,'SegEnds_Xtal_Prot#'!B:B, 0)), "NoXtal", "Xtal")</f>
        <v>NoXtal</v>
      </c>
      <c r="AP406" s="3">
        <f>IF(ISERROR(F406-E406),"-",F406-E406)</f>
        <v>1</v>
      </c>
      <c r="AQ406" s="3">
        <f>IF(ISERROR(I406-H406),"-",I406-H406)</f>
        <v>1</v>
      </c>
      <c r="AR406" s="3" t="str">
        <f>IF(ISERROR(L406-K406),"-",L406-K406)</f>
        <v>-</v>
      </c>
      <c r="AS406" s="3" t="str">
        <f>IF(ISERROR(O406-N406),"-",O406-N406)</f>
        <v>-</v>
      </c>
      <c r="AT406" s="3">
        <f>IF(ISERROR(R406-Q406),"-",R406-Q406)</f>
        <v>3</v>
      </c>
      <c r="AU406" s="3">
        <f>IF(ISERROR(U406-T406),"-",U406-T406)</f>
        <v>1</v>
      </c>
      <c r="AV406" s="3" t="str">
        <f>IF(ISERROR(X406-W406),"-",X406-W406)</f>
        <v>-</v>
      </c>
      <c r="AW406" s="3" t="str">
        <f>IF(ISERROR(AA406-Z406),"-",AA406-Z406)</f>
        <v>-</v>
      </c>
      <c r="AX406" s="3">
        <f>IF(ISERROR(AD406-AC406),"-",AD406-AC406)</f>
        <v>10</v>
      </c>
      <c r="AY406" s="3">
        <f>IF(ISERROR(AG406-AF406),"-",AG406-AF406)</f>
        <v>6</v>
      </c>
      <c r="AZ406" s="3">
        <f>IF(ISERROR(AJ406-AI406),"-",AJ406-AI406)</f>
        <v>1</v>
      </c>
      <c r="BA406" s="3">
        <f>IF(ISERROR(LEN(VLOOKUP(A406,Seqs!A:E,2,FALSE))-AL406),"-",LEN(VLOOKUP(A406,Seqs!A:E,2,FALSE))-AL406)</f>
        <v>7</v>
      </c>
      <c r="BB406" s="16">
        <f>J406-D406</f>
        <v>31</v>
      </c>
      <c r="BC406" s="9">
        <f>IF(ISERROR(V406-S406),"-",V406-S406)</f>
        <v>20</v>
      </c>
      <c r="BD406" s="3">
        <f>J406-D406</f>
        <v>31</v>
      </c>
      <c r="BE406" s="3">
        <f>AE406-AB406</f>
        <v>53</v>
      </c>
      <c r="BF406" s="3">
        <f>AH406-AE406</f>
        <v>36</v>
      </c>
    </row>
    <row r="407" spans="1:58" s="3" customFormat="1" x14ac:dyDescent="0.2">
      <c r="A407" s="3" t="s">
        <v>480</v>
      </c>
      <c r="B407" s="3" t="str">
        <f>LOWER(VLOOKUP(A407,Xtal_Templ!A:B,2,FALSE))</f>
        <v>agtr1_human</v>
      </c>
      <c r="C407" s="3">
        <f>VLOOKUP($A407,'SegEnds_NonXtal_BW#'!$A:$Z,3,FALSE)+D407-50</f>
        <v>6</v>
      </c>
      <c r="D407" s="3">
        <v>24</v>
      </c>
      <c r="E407" s="3">
        <f>F407-1</f>
        <v>36</v>
      </c>
      <c r="F407" s="3">
        <f>G407-2</f>
        <v>37</v>
      </c>
      <c r="G407" s="3">
        <v>39</v>
      </c>
      <c r="H407" s="3">
        <f>G407+1</f>
        <v>40</v>
      </c>
      <c r="I407" s="3">
        <f>H407+1</f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75</v>
      </c>
      <c r="P407" s="3">
        <v>107</v>
      </c>
      <c r="Q407" s="3">
        <f>VLOOKUP($A407,'SegEnds_NonXtal_BW#'!$A:$Z,12,FALSE)+VLOOKUP($A407,A:AL,16,FALSE)-50</f>
        <v>113</v>
      </c>
      <c r="R407" s="3">
        <f>S407</f>
        <v>116</v>
      </c>
      <c r="S407" s="3">
        <v>116</v>
      </c>
      <c r="T407" s="103">
        <f>S407+7</f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150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172</v>
      </c>
      <c r="AB407" s="3">
        <v>190</v>
      </c>
      <c r="AC407" s="3">
        <f>IF(ISERROR((VLOOKUP($A407,'SegEnds_NonXtal_BW#'!$A:$Z,20,FALSE)+VLOOKUP($A407,A:AL,28,FALSE)-50)),"-",(VLOOKUP($A407,'SegEnds_NonXtal_BW#'!$A:$Z,20,FALSE)+VLOOKUP($A407,A:AL,28,FALSE)-50))</f>
        <v>212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260</v>
      </c>
      <c r="AH407" s="3">
        <v>279</v>
      </c>
      <c r="AI407" s="3">
        <f>IF(ISERROR((VLOOKUP($A407,'SegEnds_NonXtal_BW#'!$A:$Z,24,FALSE)+VLOOKUP($A407,A:AL,34,FALSE)-50)),"-",(VLOOKUP($A407,'SegEnds_NonXtal_BW#'!$A:$Z,24,FALSE)+VLOOKUP($A407,A:AL,34,FALSE)-50))</f>
        <v>285</v>
      </c>
      <c r="AJ407" s="3">
        <f>IF(ISERROR(VLOOKUP($A407,'SegEnds_NonXtal_BW#'!$A:$Z,25,FALSE)+VLOOKUP($A407,A:AL,37,FALSE)-50),"-",(VLOOKUP($A407,'SegEnds_NonXtal_BW#'!$A:$Z,25,FALSE)+VLOOKUP($A407,A:AL,37,FALSE)-50))</f>
        <v>286</v>
      </c>
      <c r="AK407" s="3">
        <v>289</v>
      </c>
      <c r="AL407" s="3">
        <f>IF(ISERROR((VLOOKUP($A407,'SegEnds_NonXtal_BW#'!$A:$Z,26,FALSE)+VLOOKUP($A407,A:AL,37,FALSE)-50)),"-",(VLOOKUP($A407,'SegEnds_NonXtal_BW#'!$A:$Z,26,FALSE)+VLOOKUP($A407,A:AL,37,FALSE)-50))</f>
        <v>299</v>
      </c>
      <c r="AM407" s="28" t="str">
        <f>VLOOKUP(A407,Classification!A:B,2,FALSE)</f>
        <v>T</v>
      </c>
      <c r="AN407" s="28" t="b">
        <f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NoXtal</v>
      </c>
      <c r="AP407" s="3">
        <f>IF(ISERROR(F407-E407),"-",F407-E407)</f>
        <v>1</v>
      </c>
      <c r="AQ407" s="3">
        <f>IF(ISERROR(I407-H407),"-",I407-H407)</f>
        <v>1</v>
      </c>
      <c r="AR407" s="3" t="str">
        <f>IF(ISERROR(L407-K407),"-",L407-K407)</f>
        <v>-</v>
      </c>
      <c r="AS407" s="3" t="str">
        <f>IF(ISERROR(O407-N407),"-",O407-N407)</f>
        <v>-</v>
      </c>
      <c r="AT407" s="3">
        <f>IF(ISERROR(R407-Q407),"-",R407-Q407)</f>
        <v>3</v>
      </c>
      <c r="AU407" s="3">
        <f>IF(ISERROR(U407-T407),"-",U407-T407)</f>
        <v>1</v>
      </c>
      <c r="AV407" s="3" t="str">
        <f>IF(ISERROR(X407-W407),"-",X407-W407)</f>
        <v>-</v>
      </c>
      <c r="AW407" s="3" t="str">
        <f>IF(ISERROR(AA407-Z407),"-",AA407-Z407)</f>
        <v>-</v>
      </c>
      <c r="AX407" s="3">
        <f>IF(ISERROR(AD407-AC407),"-",AD407-AC407)</f>
        <v>10</v>
      </c>
      <c r="AY407" s="3">
        <f>IF(ISERROR(AG407-AF407),"-",AG407-AF407)</f>
        <v>6</v>
      </c>
      <c r="AZ407" s="3">
        <f>IF(ISERROR(AJ407-AI407),"-",AJ407-AI407)</f>
        <v>1</v>
      </c>
      <c r="BA407" s="3">
        <f>IF(ISERROR(LEN(VLOOKUP(A407,Seqs!A:E,2,FALSE))-AL407),"-",LEN(VLOOKUP(A407,Seqs!A:E,2,FALSE))-AL407)</f>
        <v>13</v>
      </c>
      <c r="BB407" s="16">
        <f>J407-D407</f>
        <v>31</v>
      </c>
      <c r="BC407" s="9">
        <f>IF(ISERROR(V407-S407),"-",V407-S407)</f>
        <v>20</v>
      </c>
      <c r="BD407" s="3">
        <f>J407-D407</f>
        <v>31</v>
      </c>
      <c r="BE407" s="3">
        <f>AE407-AB407</f>
        <v>53</v>
      </c>
      <c r="BF407" s="3">
        <f>AH407-AE407</f>
        <v>36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7">
    <cfRule type="expression" dxfId="21" priority="25">
      <formula>NOT(OR(C2&lt;E2,C2="-",E2="-"))</formula>
    </cfRule>
  </conditionalFormatting>
  <conditionalFormatting sqref="K2:L2 K3 K4:L407">
    <cfRule type="expression" dxfId="20" priority="29">
      <formula>NOT(OR(G2&lt;K2,G2="-",K2="-"))</formula>
    </cfRule>
  </conditionalFormatting>
  <conditionalFormatting sqref="N2:O2 N4:N237 O3:O237 N238:O407">
    <cfRule type="expression" dxfId="19" priority="31">
      <formula>NOT(OR(I2&lt;N2,I2="-",N2="-"))</formula>
    </cfRule>
  </conditionalFormatting>
  <conditionalFormatting sqref="Q2:R407">
    <cfRule type="expression" dxfId="18" priority="33">
      <formula>NOT(OR(K2&lt;Q2,K2="-",Q2="-"))</formula>
    </cfRule>
  </conditionalFormatting>
  <conditionalFormatting sqref="T2:U407">
    <cfRule type="expression" dxfId="17" priority="35">
      <formula>NOT(OR(M2&lt;T2,M2="-",T2="-"))</formula>
    </cfRule>
  </conditionalFormatting>
  <conditionalFormatting sqref="W2:X407">
    <cfRule type="expression" dxfId="16" priority="37">
      <formula>NOT(OR(O2&lt;W2,O2="-",W2="-"))</formula>
    </cfRule>
  </conditionalFormatting>
  <conditionalFormatting sqref="Z2:AA407">
    <cfRule type="expression" dxfId="15" priority="39">
      <formula>NOT(OR(Q2&lt;Z2,Q2="-",Z2="-"))</formula>
    </cfRule>
  </conditionalFormatting>
  <conditionalFormatting sqref="AC2:AD407">
    <cfRule type="expression" dxfId="14" priority="41">
      <formula>NOT(OR(S2&lt;AC2,S2="-",AC2="-"))</formula>
    </cfRule>
  </conditionalFormatting>
  <conditionalFormatting sqref="AF2:AG407">
    <cfRule type="expression" dxfId="13" priority="43">
      <formula>NOT(OR(U2&lt;AF2,U2="-",AF2="-"))</formula>
    </cfRule>
  </conditionalFormatting>
  <conditionalFormatting sqref="AI2:AJ407">
    <cfRule type="expression" dxfId="12" priority="45">
      <formula>NOT(OR(W2&lt;AI2,W2="-",AI2="-"))</formula>
    </cfRule>
  </conditionalFormatting>
  <conditionalFormatting sqref="AL2:AL407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7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</v>
      </c>
      <c r="R2" s="5">
        <f>VLOOKUP($A2,'SegEnds_NonXtal_Prot#'!$A:$AL,3,FALSE)</f>
        <v>51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183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346</v>
      </c>
      <c r="AP2" s="5">
        <f t="shared" ref="AP2:AP65" si="13">IFERROR(AD2-R2,"-")</f>
        <v>26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12</v>
      </c>
    </row>
    <row r="3" spans="1:53" x14ac:dyDescent="0.2">
      <c r="A3" s="1" t="str">
        <f>'SegEnds_NonXtal_Prot#'!A12</f>
        <v>gp139_human</v>
      </c>
      <c r="B3" s="1" t="str">
        <f t="shared" si="0"/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CGLGFVPVVYYSLLLCLGLPANILTVIILSQL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</v>
      </c>
      <c r="M3" s="4" t="str">
        <f t="shared" si="8"/>
        <v/>
      </c>
      <c r="N3" s="4" t="str">
        <f t="shared" si="9"/>
        <v>TSVHHVLIWIHCFTVYLVPCSIFFILNSIIVYKLRRK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</v>
      </c>
      <c r="R3" s="5">
        <f>VLOOKUP($A3,'SegEnds_NonXtal_Prot#'!$A:$AL,3,FALSE)</f>
        <v>23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177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166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300</v>
      </c>
      <c r="AP3" s="5">
        <f t="shared" si="13"/>
        <v>31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26</v>
      </c>
      <c r="AW3" s="4" t="str">
        <f t="shared" si="20"/>
        <v>-</v>
      </c>
      <c r="AX3" s="4">
        <f t="shared" si="21"/>
        <v>36</v>
      </c>
      <c r="AY3" s="4">
        <f t="shared" si="22"/>
        <v>37</v>
      </c>
      <c r="AZ3" s="4">
        <f t="shared" si="23"/>
        <v>28</v>
      </c>
      <c r="BA3" s="4">
        <f t="shared" si="24"/>
        <v>11</v>
      </c>
    </row>
    <row r="4" spans="1:53" x14ac:dyDescent="0.2">
      <c r="A4" s="1" t="str">
        <f>'SegEnds_NonXtal_Prot#'!A26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'SegEnds_NonXtal_Prot#'!A29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'SegEnds_NonXtal_Prot#'!A46</f>
        <v>5ht6r_human</v>
      </c>
      <c r="B6" s="1" t="str">
        <f t="shared" si="0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SGWVAAALCVVIALTAAANSLLIALICTQ</v>
      </c>
      <c r="G6" s="4" t="str">
        <f t="shared" si="2"/>
        <v>PALR</v>
      </c>
      <c r="H6" s="4" t="str">
        <f t="shared" si="3"/>
        <v>NTSNFFLVSLFTSDLMVGLVVMPPAMLNALY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</v>
      </c>
      <c r="R6" s="5">
        <f>VLOOKUP($A6,'SegEnds_NonXtal_Prot#'!$A:$AL,3,FALSE)</f>
        <v>26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89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165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335</v>
      </c>
      <c r="AP6" s="5">
        <f t="shared" si="13"/>
        <v>28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11</v>
      </c>
    </row>
    <row r="7" spans="1:53" x14ac:dyDescent="0.2">
      <c r="A7" s="1" t="str">
        <f>'SegEnds_NonXtal_Prot#'!A47</f>
        <v>5ht7r_human</v>
      </c>
      <c r="B7" s="1" t="str">
        <f t="shared" si="0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RVEKVVIGSILTLITLLTIAGNCLVVISVCFV</v>
      </c>
      <c r="G7" s="4" t="str">
        <f t="shared" si="2"/>
        <v>KKLR</v>
      </c>
      <c r="H7" s="4" t="str">
        <f t="shared" si="3"/>
        <v>QPSNYLIVSLALADLSVAVAVMPFVSVTDLI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SCIPLWVERTFLWLGYANSLINPFIYAFF</v>
      </c>
      <c r="Q7" s="4" t="str">
        <f t="shared" si="12"/>
        <v>NRDLRTTYRSLL</v>
      </c>
      <c r="R7" s="5">
        <f>VLOOKUP($A7,'SegEnds_NonXtal_Prot#'!$A:$AL,3,FALSE)</f>
        <v>78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359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144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28</v>
      </c>
      <c r="BA7" s="4">
        <f t="shared" si="24"/>
        <v>11</v>
      </c>
    </row>
    <row r="8" spans="1:53" x14ac:dyDescent="0.2">
      <c r="A8" s="1" t="str">
        <f>'SegEnds_NonXtal_Prot#'!A111</f>
        <v>gasr_human</v>
      </c>
      <c r="B8" s="1" t="str">
        <f t="shared" si="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ARVRQTWSVLLLLLLFFIPGVVMAVAYGLISRELYLGLRFDGDSD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212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117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44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'SegEnds_NonXtal_Prot#'!A121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'SegEnds_NonXtal_Prot#'!A122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'SegEnds_NonXtal_Prot#'!A123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'SegEnds_NonXtal_Prot#'!A146</f>
        <v>gpr55_human</v>
      </c>
      <c r="B12" s="1" t="str">
        <f t="shared" si="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174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37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'SegEnds_NonXtal_Prot#'!A157</f>
        <v>hcar2_human</v>
      </c>
      <c r="B13" s="1" t="str">
        <f t="shared" si="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181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36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'SegEnds_NonXtal_Prot#'!A170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334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11</v>
      </c>
    </row>
    <row r="15" spans="1:53" x14ac:dyDescent="0.2">
      <c r="A15" s="1" t="str">
        <f>'SegEnds_NonXtal_Prot#'!A178</f>
        <v>mrgrd_human</v>
      </c>
      <c r="B15" s="1" t="str">
        <f t="shared" si="0"/>
        <v>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25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30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'SegEnds_NonXtal_Prot#'!A181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'SegEnds_NonXtal_Prot#'!A188</f>
        <v>mtr1a_human</v>
      </c>
      <c r="B17" s="1" t="str">
        <f t="shared" si="0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90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30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'SegEnds_NonXtal_Prot#'!A198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'SegEnds_NonXtal_Prot#'!A201</f>
        <v>oprk_human</v>
      </c>
      <c r="B19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219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'SegEnds_NonXtal_Prot#'!A202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'SegEnds_NonXtal_Prot#'!A203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'SegEnds_NonXtal_Prot#'!A226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'SegEnds_NonXtal_Prot#'!A245</f>
        <v>taar9_human</v>
      </c>
      <c r="B25" s="1" t="str">
        <f t="shared" si="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PGPRSILYAVLGFGAVLAAFGNLLVMIAILHF</v>
      </c>
      <c r="G25" s="4" t="str">
        <f t="shared" si="2"/>
        <v>KQLH</v>
      </c>
      <c r="H25" s="4" t="str">
        <f t="shared" si="3"/>
        <v>TPTNFLIASLACADFLVGVTVMPFSTVRSVE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29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95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31</v>
      </c>
      <c r="AQ25" s="4">
        <f t="shared" si="14"/>
        <v>3</v>
      </c>
      <c r="AR25" s="4">
        <f t="shared" si="15"/>
        <v>30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'SegEnds_NonXtal_Prot#'!A251</f>
        <v>drd2_human</v>
      </c>
      <c r="B26" s="1" t="str">
        <f t="shared" si="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6" s="29" t="str">
        <f>IF(ISERROR(MATCH(A26,'SegEnds_Xtal_Prot#'!B:B, 0)), "NoXtal", "Xtal")</f>
        <v>NoXtal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SKRRVTVMISIVWVLSFTISCPLLFG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97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173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30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25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'SegEnds_NonXtal_Prot#'!A262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'SegEnds_NonXtal_Prot#'!A276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'SegEnds_NonXtal_Prot#'!A293</f>
        <v>pkr2_human</v>
      </c>
      <c r="B29" s="1" t="str">
        <f t="shared" si="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'SegEnds_NonXtal_Prot#'!A318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'SegEnds_NonXtal_Prot#'!A324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ILMSPHILESLILTYITYVGLGISICSLILCLSIEVLVEITYLRHVCIVNIAATLLMADVWFIVAKGCVAATFFVHFFYLSVFFWMLAKALLILYGIMILVASLFSVGYGCPLAIAAITVAATEPGKMTKALLAFVIPALAIVVVNLITVTLVIVKTQRAAKNIAILTPLLGLTWGFGVATVIDDRSLAFHIIFSLLNAFQVSPDASDQVQS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KNIAILTPLLGLTWGFGVATVIDDR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674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'SegEnds_NonXtal_Prot#'!A344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'SegEnds_NonXtal_Prot#'!A355</f>
        <v>grm1_human</v>
      </c>
      <c r="B33" s="1" t="str">
        <f t="shared" si="0"/>
        <v>IESIIAIAFSCLGILVTLFVTLIFVLYSRELCYIILAGIFLGYVCPFTLITTSCYLQRLLVGLSSAMCYSALVTKTNRIARILSAWAQVIIASILISVQLTLVVTLIIMENLGVVAPLGYNGLLIMSCTYYAFKTEAKYIAFTMYTTCIIWLAFVPIYFGKIITTCFAVSLSVTVALGCMFTPKMYIIIAKPERNVRSAFTTS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NLGVVAPLGYNGLLIMSCTYYAFKT</v>
      </c>
      <c r="O33" s="4" t="str">
        <f t="shared" si="10"/>
        <v>EAKYIAFTMYTTCIIWLAFVPIYFG</v>
      </c>
      <c r="P33" s="4" t="str">
        <f t="shared" si="11"/>
        <v>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750</v>
      </c>
      <c r="AA33" s="5">
        <f>VLOOKUP($A33,'SegEnds_NonXtal_Prot#'!$A:$AL,30,FALSE)</f>
        <v>783</v>
      </c>
      <c r="AB33" s="5">
        <f>VLOOKUP($A33,'SegEnds_NonXtal_Prot#'!$A:$AL,33,FALSE)</f>
        <v>811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30</v>
      </c>
      <c r="BA33" s="4">
        <f t="shared" si="24"/>
        <v>11</v>
      </c>
    </row>
    <row r="34" spans="1:53" x14ac:dyDescent="0.2">
      <c r="A34" s="1" t="str">
        <f>'SegEnds_NonXtal_Prot#'!A363</f>
        <v>rai3_human</v>
      </c>
      <c r="B34" s="1" t="str">
        <f t="shared" si="0"/>
        <v>AWGIVLETVATAGVVTSVAFMLTLPILNRRKMLPTQFLFLLGVLGIFGLTFAFIGSTGPTRFFLFGILFSICFSCLLAHAVSLTKLVSLLVILGLAVGFSLVQDVIAIEYIVLTNEDFVLLLTYVLFLMALTFLMSSFTHGAHIYLTMLLSIAIWVAWITLLMLDDTILSSALAANGWVFLLAYVSPEFWLLTKQNPMDYPVEDAFCK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NEDFVLLLTYVLFLMALTFLMSSFT</v>
      </c>
      <c r="O34" s="4" t="str">
        <f t="shared" si="10"/>
        <v>HGAHIYLTMLLSIAIWVAWITLLML</v>
      </c>
      <c r="P34" s="4" t="str">
        <f t="shared" si="11"/>
        <v>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174</v>
      </c>
      <c r="AA34" s="5">
        <f>VLOOKUP($A34,'SegEnds_NonXtal_Prot#'!$A:$AL,30,FALSE)</f>
        <v>209</v>
      </c>
      <c r="AB34" s="5">
        <f>VLOOKUP($A34,'SegEnds_NonXtal_Prot#'!$A:$AL,33,FALSE)</f>
        <v>241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24</v>
      </c>
      <c r="AY34" s="4">
        <f t="shared" si="22"/>
        <v>24</v>
      </c>
      <c r="AZ34" s="4">
        <f t="shared" si="23"/>
        <v>30</v>
      </c>
      <c r="BA34" s="4">
        <f t="shared" si="24"/>
        <v>12</v>
      </c>
    </row>
    <row r="35" spans="1:53" x14ac:dyDescent="0.2">
      <c r="A35" s="1" t="str">
        <f>'SegEnds_NonXtal_Prot#'!A367</f>
        <v>fzd1_human</v>
      </c>
      <c r="B35" s="1" t="str">
        <f t="shared" si="0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VDALRGFVLAPLFVYLFIGTSFLLAGFVSLFRIRTIM</v>
      </c>
      <c r="O35" s="4" t="str">
        <f t="shared" si="10"/>
        <v>TEKLEKLMVRIGVFSVLYTVPATIVIACYFYEQAFRDQWERSWVAQSCKSYAIPC</v>
      </c>
      <c r="P35" s="4" t="str">
        <f t="shared" si="11"/>
        <v>FTVFMIKYLMTLIVGITSGFWIW</v>
      </c>
      <c r="Q35" s="4" t="str">
        <f t="shared" si="12"/>
        <v>SGKTLNSWRKFYTRLT</v>
      </c>
      <c r="R35" s="5">
        <f>VLOOKUP($A35,'SegEnds_NonXtal_Prot#'!$A:$AL,3,FALSE)</f>
        <v>313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484</v>
      </c>
      <c r="AA35" s="5">
        <f>VLOOKUP($A35,'SegEnds_NonXtal_Prot#'!$A:$AL,30,FALSE)</f>
        <v>527</v>
      </c>
      <c r="AB35" s="5">
        <f>VLOOKUP($A35,'SegEnds_NonXtal_Prot#'!$A:$AL,33,FALSE)</f>
        <v>600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31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36</v>
      </c>
      <c r="AY35" s="4">
        <f t="shared" si="22"/>
        <v>54</v>
      </c>
      <c r="AZ35" s="4">
        <f t="shared" si="23"/>
        <v>22</v>
      </c>
      <c r="BA35" s="4">
        <f t="shared" si="24"/>
        <v>15</v>
      </c>
    </row>
    <row r="36" spans="1:53" x14ac:dyDescent="0.2">
      <c r="A36" s="1" t="str">
        <f>'SegEnds_NonXtal_Prot#'!A383</f>
        <v>t2r10_human</v>
      </c>
      <c r="B36" s="1" t="str">
        <f t="shared" si="0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SRTNMVLPFMIVFLLISSLLNFAYIA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148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25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'SegEnds_NonXtal_Prot#'!A398</f>
        <v>t2r46_human</v>
      </c>
      <c r="B38" s="1" t="str">
        <f t="shared" si="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149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26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SWEGTAYTVIHFLVGFVIPSVLIILFYQKVIKYIWRIGTDGR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217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128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30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41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EIYPKMYHICFFLVTYMAPLCLMVLAYLQIFRKLWCRQIP</v>
      </c>
      <c r="O43" s="4" t="str">
        <f t="shared" si="10"/>
        <v>VAAEIKQIRARRKTARMLMIVLLVFAICYLPISILNVLKRVF</v>
      </c>
      <c r="P43" s="4" t="str">
        <f t="shared" si="11"/>
        <v>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217</v>
      </c>
      <c r="AA43" s="5">
        <f>VLOOKUP($A43,'SegEnds_NonXtal_Prot#'!$A:$AL,30,FALSE)</f>
        <v>289</v>
      </c>
      <c r="AB43" s="5">
        <f>VLOOKUP($A43,'SegEnds_NonXtal_Prot#'!$A:$AL,33,FALSE)</f>
        <v>339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117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39</v>
      </c>
      <c r="AY43" s="4">
        <f t="shared" si="22"/>
        <v>41</v>
      </c>
      <c r="AZ43" s="4">
        <f t="shared" si="23"/>
        <v>28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ERQRQLYAWGLLLVTYLLPLLVILLSYVRVSVKLRNRVVPGC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219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123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41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</v>
      </c>
      <c r="R48" s="5">
        <f>VLOOKUP($A48,'SegEnds_NonXtal_Prot#'!$A:$AL,3,FALSE)</f>
        <v>156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296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429</v>
      </c>
      <c r="AP48" s="5">
        <f t="shared" si="13"/>
        <v>28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26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11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'SegEnds_NonXtal_Prot#'!A19</f>
        <v>opn5_human</v>
      </c>
      <c r="B54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30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'SegEnds_NonXtal_Prot#'!A20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'SegEnds_NonXtal_Prot#'!A21</f>
        <v>opsd_bovin</v>
      </c>
      <c r="B56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34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'SegEnds_NonXtal_Prot#'!A22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'SegEnds_NonXtal_Prot#'!A23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'SegEnds_NonXtal_Prot#'!A24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'SegEnds_NonXtal_Prot#'!A25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'SegEnds_NonXtal_Prot#'!A27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'SegEnds_NonXtal_Prot#'!A28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'SegEnds_NonXtal_Prot#'!A30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'SegEnds_NonXtal_Prot#'!A31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'SegEnds_NonXtal_Prot#'!A32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'SegEnds_NonXtal_Prot#'!A33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v1ar_human</v>
      </c>
      <c r="B67" s="1" t="str">
        <f t="shared" si="25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SRMHLFIRHLSLADLAVAFFQVLPQMCWDIT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PWGSRAYVTWMTGGIFVAPVVILGTCYGFICYNIWCNVRGKTASR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210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114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30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44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v1br_human</v>
      </c>
      <c r="B68" s="1" t="str">
        <f t="shared" si="25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</v>
      </c>
      <c r="M68" s="4" t="str">
        <f t="shared" si="33"/>
        <v>CWA</v>
      </c>
      <c r="N68" s="4" t="str">
        <f t="shared" si="34"/>
        <v>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NSHLLPRPLRHLA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197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93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171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354</v>
      </c>
      <c r="AP68" s="5">
        <f t="shared" si="38"/>
        <v>31</v>
      </c>
      <c r="AQ68" s="4">
        <f t="shared" si="39"/>
        <v>3</v>
      </c>
      <c r="AR68" s="4">
        <f t="shared" si="40"/>
        <v>26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25</v>
      </c>
      <c r="AW68" s="4">
        <f t="shared" si="45"/>
        <v>2</v>
      </c>
      <c r="AX68" s="4">
        <f t="shared" si="46"/>
        <v>40</v>
      </c>
      <c r="AY68" s="4">
        <f t="shared" si="47"/>
        <v>37</v>
      </c>
      <c r="AZ68" s="4">
        <f t="shared" si="48"/>
        <v>28</v>
      </c>
      <c r="BA68" s="4">
        <f t="shared" si="49"/>
        <v>12</v>
      </c>
    </row>
    <row r="69" spans="1:53" x14ac:dyDescent="0.2">
      <c r="A69" s="1" t="str">
        <f>'SegEnds_NonXtal_Prot#'!A36</f>
        <v>5ht1a_human</v>
      </c>
      <c r="B69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VSYQVITSLLLGTLIFCAVLGNACVVAAIALE</v>
      </c>
      <c r="G69" s="4" t="str">
        <f t="shared" si="27"/>
        <v>RSLQ</v>
      </c>
      <c r="H69" s="4" t="str">
        <f t="shared" si="28"/>
        <v>NVANYLIGSLAVTDLMVSVLVLPMAALYQVL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33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99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31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'SegEnds_NonXtal_Prot#'!A37</f>
        <v>5ht1b_human</v>
      </c>
      <c r="B70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LPWKVLLVMLLALITLATTLSNAFVIATVYRT</v>
      </c>
      <c r="G70" s="4" t="str">
        <f t="shared" si="27"/>
        <v>RKLH</v>
      </c>
      <c r="H70" s="4" t="str">
        <f t="shared" si="28"/>
        <v>TPANYLIASLAVTDLLVSILVMPISTMYTVT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46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112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31</v>
      </c>
      <c r="AQ70" s="4">
        <f t="shared" si="39"/>
        <v>3</v>
      </c>
      <c r="AR70" s="4">
        <f t="shared" si="40"/>
        <v>30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'SegEnds_NonXtal_Prot#'!A38</f>
        <v>5ht1d_human</v>
      </c>
      <c r="B71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QALKISLAVVLSVITLATVLSNAFVLTTILLT</v>
      </c>
      <c r="G71" s="4" t="str">
        <f t="shared" si="27"/>
        <v>RKLH</v>
      </c>
      <c r="H71" s="4" t="str">
        <f t="shared" si="28"/>
        <v>TPANYLIGSLATTDLLVSILVMPISIAYTIT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35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101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5ht1e_human</v>
      </c>
      <c r="B72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ITEKMLICMTLVVITTLTTLLNLAVIMAIGTT</v>
      </c>
      <c r="G72" s="4" t="str">
        <f t="shared" si="27"/>
        <v>KKLH</v>
      </c>
      <c r="H72" s="4" t="str">
        <f t="shared" si="28"/>
        <v>QPANYLICSLAVTDLLVAVLVMPLSIIYIVM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19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85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5ht1f_human</v>
      </c>
      <c r="B73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MPSKILVSLTLSGLALMTTTINSLVIAAIIVT</v>
      </c>
      <c r="G73" s="4" t="str">
        <f t="shared" si="27"/>
        <v>RKLH</v>
      </c>
      <c r="H73" s="4" t="str">
        <f t="shared" si="28"/>
        <v>HPANYLICSLAVTDFLVAVLVMPFSIVYIVR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20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86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5ht2a_human</v>
      </c>
      <c r="B74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KNWSALLTAVVIILTIAGNILVIMAVSLE</v>
      </c>
      <c r="G74" s="4" t="str">
        <f t="shared" si="27"/>
        <v>KKLQ</v>
      </c>
      <c r="H74" s="4" t="str">
        <f t="shared" si="28"/>
        <v>NATNYFLMSLAIADMLLGFLVMPVSMLTILY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EDVIGALLNVFVWIGYLSSAVNPLVYTLF</v>
      </c>
      <c r="Q74" s="4" t="str">
        <f t="shared" si="37"/>
        <v>NKTYRSAFSRYI</v>
      </c>
      <c r="R74" s="5">
        <f>VLOOKUP($A74,'SegEnds_NonXtal_Prot#'!$A:$AL,3,FALSE)</f>
        <v>74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355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137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214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395</v>
      </c>
      <c r="AP74" s="5">
        <f t="shared" si="38"/>
        <v>28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26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28</v>
      </c>
      <c r="BA74" s="4">
        <f t="shared" si="49"/>
        <v>11</v>
      </c>
    </row>
    <row r="75" spans="1:53" x14ac:dyDescent="0.2">
      <c r="A75" s="1" t="str">
        <f>'SegEnds_NonXtal_Prot#'!A42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355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28</v>
      </c>
      <c r="BA75" s="4">
        <f t="shared" si="49"/>
        <v>11</v>
      </c>
    </row>
    <row r="76" spans="1:53" x14ac:dyDescent="0.2">
      <c r="A76" s="1" t="str">
        <f>'SegEnds_NonXtal_Prot#'!A43</f>
        <v>5ht2c_human</v>
      </c>
      <c r="B76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QNWPALSIVIIIIMTIGGNILVIMAVSME</v>
      </c>
      <c r="G76" s="4" t="str">
        <f t="shared" si="27"/>
        <v>KKLH</v>
      </c>
      <c r="H76" s="4" t="str">
        <f t="shared" si="28"/>
        <v>NATNYFLMSLAIADMLVGLLVMPLSLLAILY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QKLMEKLLNVFVWIGYVCSGINPLVYTLF</v>
      </c>
      <c r="Q76" s="4" t="str">
        <f t="shared" si="37"/>
        <v>NKIYRRAFSNYL</v>
      </c>
      <c r="R76" s="5">
        <f>VLOOKUP($A76,'SegEnds_NonXtal_Prot#'!$A:$AL,3,FALSE)</f>
        <v>53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343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116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193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383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'SegEnds_NonXtal_Prot#'!A45</f>
        <v>5ht5a_human</v>
      </c>
      <c r="B78" s="1" t="str">
        <f t="shared" si="25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SVFGVLILTLLGFLVAATFAWNLLVLATILRV</v>
      </c>
      <c r="G78" s="4" t="str">
        <f t="shared" si="27"/>
        <v>RTFH</v>
      </c>
      <c r="H78" s="4" t="str">
        <f t="shared" si="28"/>
        <v>RVPHNLVASMAVSDVLVAALVMPLSLVHELS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37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103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'SegEnds_NonXtal_Prot#'!A48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'SegEnds_NonXtal_Prot#'!A49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'SegEnds_NonXtal_Prot#'!A50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'SegEnds_NonXtal_Prot#'!A51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'SegEnds_NonXtal_Prot#'!A52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'SegEnds_NonXtal_Prot#'!A53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'SegEnds_NonXtal_Prot#'!A54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'SegEnds_NonXtal_Prot#'!A55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'SegEnds_NonXtal_Prot#'!A56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'SegEnds_NonXtal_Prot#'!A57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'SegEnds_NonXtal_Prot#'!A58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'SegEnds_NonXtal_Prot#'!A60</f>
        <v>ada1a_human</v>
      </c>
      <c r="B91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164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341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ada1b_human</v>
      </c>
      <c r="B92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TRRKAILALLSVWVLSTVISIGPLLG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108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183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25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'SegEnds_NonXtal_Prot#'!A62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'SegEnds_NonXtal_Prot#'!A63</f>
        <v>ada2a_human</v>
      </c>
      <c r="B94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TPRRIKAIIITVWVISAVISFPPLIS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96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171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'SegEnds_NonXtal_Prot#'!A64</f>
        <v>ada2b_human</v>
      </c>
      <c r="B95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TPRRIKCIILTVWLIAAVISLPPLIY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75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150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ada2c_human</v>
      </c>
      <c r="B96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TPRRVKATIVAVWLISAVISFPPLVS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114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189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'SegEnds_NonXtal_Prot#'!A66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'SegEnds_NonXtal_Prot#'!A67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'SegEnds_NonXtal_Prot#'!A68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'SegEnds_NonXtal_Prot#'!A71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'SegEnds_NonXtal_Prot#'!A72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'SegEnds_NonXtal_Prot#'!A75</f>
        <v>c3ar_human</v>
      </c>
      <c r="B106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PPVILSMVILSLTFLLGLPGNGLVLWVAGLK</v>
      </c>
      <c r="G106" s="4" t="str">
        <f t="shared" si="27"/>
        <v/>
      </c>
      <c r="H106" s="4" t="str">
        <f t="shared" si="28"/>
        <v>TVNTIWFLHLTLADLLCCLSLPFSLAHLAL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PLVAITITRLVVGFLLPSVIMIACYSFIVFRMQRG</v>
      </c>
      <c r="O106" s="4" t="str">
        <f t="shared" si="35"/>
        <v>KSQSKTFRVAVVVVAVFLVCWTPYHIFGVLSLLT</v>
      </c>
      <c r="P106" s="4" t="str">
        <f t="shared" si="36"/>
        <v>GKTLMSWDHVCIALASANSCFNPFLYALL</v>
      </c>
      <c r="Q106" s="4" t="str">
        <f t="shared" si="37"/>
        <v>GKDFRKKARQSIQGI</v>
      </c>
      <c r="R106" s="5">
        <f>VLOOKUP($A106,'SegEnds_NonXtal_Prot#'!$A:$AL,3,FALSE)</f>
        <v>21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332</v>
      </c>
      <c r="AA106" s="5">
        <f>VLOOKUP($A106,'SegEnds_NonXtal_Prot#'!$A:$AL,30,FALSE)</f>
        <v>370</v>
      </c>
      <c r="AB106" s="5">
        <f>VLOOKUP($A106,'SegEnds_NonXtal_Prot#'!$A:$AL,33,FALSE)</f>
        <v>410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84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453</v>
      </c>
      <c r="AP106" s="5">
        <f t="shared" si="38"/>
        <v>30</v>
      </c>
      <c r="AQ106" s="4" t="str">
        <f t="shared" si="39"/>
        <v>-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34</v>
      </c>
      <c r="AY106" s="4">
        <f t="shared" si="47"/>
        <v>33</v>
      </c>
      <c r="AZ106" s="4">
        <f t="shared" si="48"/>
        <v>28</v>
      </c>
      <c r="BA106" s="4">
        <f t="shared" si="49"/>
        <v>14</v>
      </c>
    </row>
    <row r="107" spans="1:53" x14ac:dyDescent="0.2">
      <c r="A107" s="1" t="str">
        <f>'SegEnds_NonXtal_Prot#'!A76</f>
        <v>c5ar1_human</v>
      </c>
      <c r="B107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VPDILALVIFAVVFLVGVLGNALVVWVTAFE</v>
      </c>
      <c r="G107" s="4" t="str">
        <f t="shared" si="27"/>
        <v/>
      </c>
      <c r="H107" s="4" t="str">
        <f t="shared" si="28"/>
        <v>TINAIWFLNLAVADFLSCLALPILFTSIVQ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RERAVAIVRLVLGFLWPLLTLTICYTFILLRTWSR</v>
      </c>
      <c r="O107" s="4" t="str">
        <f t="shared" si="35"/>
        <v>STKTLKVVVAVVASFFIFWLPYQVTGIMMSFL</v>
      </c>
      <c r="P107" s="4" t="str">
        <f t="shared" si="36"/>
        <v>FLLLKKLDSLCVSFAYINCCINPIIYVVA</v>
      </c>
      <c r="Q107" s="4" t="str">
        <f t="shared" si="37"/>
        <v>GQGFQGRLRKSLPSL</v>
      </c>
      <c r="R107" s="5">
        <f>VLOOKUP($A107,'SegEnds_NonXtal_Prot#'!$A:$AL,3,FALSE)</f>
        <v>35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198</v>
      </c>
      <c r="AA107" s="5">
        <f>VLOOKUP($A107,'SegEnds_NonXtal_Prot#'!$A:$AL,30,FALSE)</f>
        <v>237</v>
      </c>
      <c r="AB107" s="5">
        <f>VLOOKUP($A107,'SegEnds_NonXtal_Prot#'!$A:$AL,33,FALSE)</f>
        <v>275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98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318</v>
      </c>
      <c r="AP107" s="5">
        <f t="shared" si="38"/>
        <v>30</v>
      </c>
      <c r="AQ107" s="4" t="str">
        <f t="shared" si="39"/>
        <v>-</v>
      </c>
      <c r="AR107" s="4">
        <f t="shared" si="40"/>
        <v>29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34</v>
      </c>
      <c r="AY107" s="4">
        <f t="shared" si="47"/>
        <v>31</v>
      </c>
      <c r="AZ107" s="4">
        <f t="shared" si="48"/>
        <v>28</v>
      </c>
      <c r="BA107" s="4">
        <f t="shared" si="49"/>
        <v>14</v>
      </c>
    </row>
    <row r="108" spans="1:53" x14ac:dyDescent="0.2">
      <c r="A108" s="1" t="str">
        <f>'SegEnds_NonXtal_Prot#'!A77</f>
        <v>c5ar2_human</v>
      </c>
      <c r="B108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PLRVAPLPLYAAIFLVGVPGNAMVAWVAGKV</v>
      </c>
      <c r="G108" s="4" t="str">
        <f t="shared" si="27"/>
        <v/>
      </c>
      <c r="H108" s="4" t="str">
        <f t="shared" si="28"/>
        <v>RVGATWLLHLAVADLLCCLSLPILAVPIAR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TENAVTAIRFLFGFLGPLVAVASCHSALLCW</v>
      </c>
      <c r="O108" s="4" t="str">
        <f t="shared" si="35"/>
        <v>RPLGTAIVVGFFVCWAPYHLLGLVLTVA</v>
      </c>
      <c r="P108" s="4" t="str">
        <f t="shared" si="36"/>
        <v>LARALRAEPLIVGLALAHSCLNPMLFLYF</v>
      </c>
      <c r="Q108" s="4" t="str">
        <f t="shared" si="37"/>
        <v>GRAQLRRSLPAACHW</v>
      </c>
      <c r="R108" s="5">
        <f>VLOOKUP($A108,'SegEnds_NonXtal_Prot#'!$A:$AL,3,FALSE)</f>
        <v>33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196</v>
      </c>
      <c r="AA108" s="5">
        <f>VLOOKUP($A108,'SegEnds_NonXtal_Prot#'!$A:$AL,30,FALSE)</f>
        <v>232</v>
      </c>
      <c r="AB108" s="5">
        <f>VLOOKUP($A108,'SegEnds_NonXtal_Prot#'!$A:$AL,33,FALSE)</f>
        <v>266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96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309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30</v>
      </c>
      <c r="AY108" s="4">
        <f t="shared" si="47"/>
        <v>27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cckar_human</v>
      </c>
      <c r="B109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QPAVQILLYSLIFLLSVLGNTLVITVLIRN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40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29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'SegEnds_NonXtal_Prot#'!A79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'SegEnds_NonXtal_Prot#'!A80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'SegEnds_NonXtal_Prot#'!A81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'SegEnds_NonXtal_Prot#'!A83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'SegEnds_NonXtal_Prot#'!A87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'SegEnds_NonXtal_Prot#'!A88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'SegEnds_NonXtal_Prot#'!A90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'SegEnds_NonXtal_Prot#'!A91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'SegEnds_NonXtal_Prot#'!A92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'SegEnds_NonXtal_Prot#'!A95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419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36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'SegEnds_NonXtal_Prot#'!A96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'SegEnds_NonXtal_Prot#'!A97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'SegEnds_NonXtal_Prot#'!A98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'SegEnds_NonXtal_Prot#'!A99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'SegEnds_NonXtal_Prot#'!A101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'SegEnds_NonXtal_Prot#'!A102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'SegEnds_NonXtal_Prot#'!A103</f>
        <v>ffar4_human</v>
      </c>
      <c r="B134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IPGEISWDVSFVTLNFLVPGLVIVISYSKILQTSEHLLDARAVVT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201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44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'SegEnds_NonXtal_Prot#'!A104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'SegEnds_NonXtal_Prot#'!A105</f>
        <v>fpr2_human</v>
      </c>
      <c r="B136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ESAGYTVLRILPLVVLGVTFVLGVLGNGLVIWVAGFR</v>
      </c>
      <c r="G136" s="4" t="str">
        <f t="shared" si="52"/>
        <v/>
      </c>
      <c r="H136" s="4" t="str">
        <f t="shared" si="53"/>
        <v>TVTTICYLNLALADFSFTATLPFLIVSMAM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</v>
      </c>
      <c r="R136" s="5">
        <f>VLOOKUP($A136,'SegEnds_NonXtal_Prot#'!$A:$AL,3,FALSE)</f>
        <v>18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195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87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318</v>
      </c>
      <c r="AP136" s="5">
        <f t="shared" si="63"/>
        <v>36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36</v>
      </c>
      <c r="AY136" s="4">
        <f t="shared" si="72"/>
        <v>31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'SegEnds_NonXtal_Prot#'!A106</f>
        <v>fpr3_human</v>
      </c>
      <c r="B137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EPAGHTVLWIFSLLVHGVTFVFGVLGNGLVIWVAGFR</v>
      </c>
      <c r="G137" s="4" t="str">
        <f t="shared" si="52"/>
        <v/>
      </c>
      <c r="H137" s="4" t="str">
        <f t="shared" si="53"/>
        <v>TVNTICYLNLALADFSFSAILPFRMVSVAM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</v>
      </c>
      <c r="R137" s="5">
        <f>VLOOKUP($A137,'SegEnds_NonXtal_Prot#'!$A:$AL,3,FALSE)</f>
        <v>18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195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318</v>
      </c>
      <c r="AP137" s="5">
        <f t="shared" si="63"/>
        <v>36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36</v>
      </c>
      <c r="AY137" s="4">
        <f t="shared" si="72"/>
        <v>31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'SegEnds_NonXtal_Prot#'!A107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'SegEnds_NonXtal_Prot#'!A108</f>
        <v>galr1_human</v>
      </c>
      <c r="B139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193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97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41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'SegEnds_NonXtal_Prot#'!A109</f>
        <v>galr2_human</v>
      </c>
      <c r="B140" s="1" t="str">
        <f t="shared" si="5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180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87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41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'SegEnds_NonXtal_Prot#'!A110</f>
        <v>galr3_human</v>
      </c>
      <c r="B141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177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84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33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'SegEnds_NonXtal_Prot#'!A113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'SegEnds_NonXtal_Prot#'!A114</f>
        <v>gp119_human</v>
      </c>
      <c r="B144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</v>
      </c>
      <c r="R144" s="5">
        <f>VLOOKUP($A144,'SegEnds_NonXtal_Prot#'!$A:$AL,3,FALSE)</f>
        <v>4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144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294</v>
      </c>
      <c r="AP144" s="5">
        <f t="shared" si="63"/>
        <v>28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11</v>
      </c>
    </row>
    <row r="145" spans="1:53" x14ac:dyDescent="0.2">
      <c r="A145" s="1" t="str">
        <f>'SegEnds_NonXtal_Prot#'!A115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'SegEnds_NonXtal_Prot#'!A116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'SegEnds_NonXtal_Prot#'!A117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'SegEnds_NonXtal_Prot#'!A118</f>
        <v>gp153_human</v>
      </c>
      <c r="B148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'SegEnds_NonXtal_Prot#'!A119</f>
        <v>gp161_human</v>
      </c>
      <c r="B149" s="1" t="str">
        <f t="shared" si="5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GGVIITQFIAIIVITIFVCLGNLVIVVTLYKK</v>
      </c>
      <c r="G149" s="4" t="str">
        <f t="shared" si="52"/>
        <v>SYLL</v>
      </c>
      <c r="H149" s="4" t="str">
        <f t="shared" si="53"/>
        <v>TLSNKFVFSLTLSNFLLSVLVLPFVVTSSIR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24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90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31</v>
      </c>
      <c r="AQ149" s="4">
        <f t="shared" si="64"/>
        <v>3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'SegEnds_NonXtal_Prot#'!A120</f>
        <v>gp162_human</v>
      </c>
      <c r="B150" s="1" t="str">
        <f t="shared" si="5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SLRSNALSWLACGLLALLANAWIILSISAK</v>
      </c>
      <c r="G150" s="4" t="str">
        <f t="shared" si="52"/>
        <v>QQKH</v>
      </c>
      <c r="H150" s="4" t="str">
        <f t="shared" si="53"/>
        <v>KPLELLLCFLAGTHILMAAVPLTTFAVVQL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12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75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gp183_human</v>
      </c>
      <c r="B151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189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37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'SegEnds_NonXtal_Prot#'!A125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'SegEnds_NonXtal_Prot#'!A126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'SegEnds_NonXtal_Prot#'!A127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'SegEnds_NonXtal_Prot#'!A128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'SegEnds_NonXtal_Prot#'!A129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'SegEnds_NonXtal_Prot#'!A130</f>
        <v>gpr18_human</v>
      </c>
      <c r="B157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180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37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'SegEnds_NonXtal_Prot#'!A131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'SegEnds_NonXtal_Prot#'!A132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'SegEnds_NonXtal_Prot#'!A133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'SegEnds_NonXtal_Prot#'!A134</f>
        <v>gpr26_human</v>
      </c>
      <c r="B161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WDAGLAGLLVGTMGVSLLSNALVLLCLLHS</v>
      </c>
      <c r="G161" s="4" t="str">
        <f t="shared" si="52"/>
        <v>ADIR</v>
      </c>
      <c r="H161" s="4" t="str">
        <f t="shared" si="53"/>
        <v>RQAPALFTLNLTCGNLLCTVVNMPLTLAGVVA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RLRDAALMVAYTWLHALTFPAAALALS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</v>
      </c>
      <c r="R161" s="5">
        <f>VLOOKUP($A161,'SegEnds_NonXtal_Prot#'!$A:$AL,3,FALSE)</f>
        <v>4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69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145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309</v>
      </c>
      <c r="AP161" s="5">
        <f t="shared" si="63"/>
        <v>29</v>
      </c>
      <c r="AQ161" s="4">
        <f t="shared" si="64"/>
        <v>3</v>
      </c>
      <c r="AR161" s="4">
        <f t="shared" si="65"/>
        <v>31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11</v>
      </c>
    </row>
    <row r="162" spans="1:53" x14ac:dyDescent="0.2">
      <c r="A162" s="1" t="str">
        <f>'SegEnds_NonXtal_Prot#'!A135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'SegEnds_NonXtal_Prot#'!A136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'SegEnds_NonXtal_Prot#'!A137</f>
        <v>gpr32_human</v>
      </c>
      <c r="B164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'SegEnds_NonXtal_Prot#'!A138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'SegEnds_NonXtal_Prot#'!A139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'SegEnds_NonXtal_Prot#'!A140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'SegEnds_NonXtal_Prot#'!A141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'SegEnds_NonXtal_Prot#'!A142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'SegEnds_NonXtal_Prot#'!A143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'SegEnds_NonXtal_Prot#'!A144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'SegEnds_NonXtal_Prot#'!A145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'SegEnds_NonXtal_Prot#'!A147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'SegEnds_NonXtal_Prot#'!A148</f>
        <v>gpr61_human</v>
      </c>
      <c r="B174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103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30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'SegEnds_NonXtal_Prot#'!A149</f>
        <v>gpr78_human</v>
      </c>
      <c r="B175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EALLAGLLVMVLAVALLSNALVLLCCAYS</v>
      </c>
      <c r="G175" s="4" t="str">
        <f t="shared" si="52"/>
        <v>AELR</v>
      </c>
      <c r="H175" s="4" t="str">
        <f t="shared" si="53"/>
        <v>TRASGVLLVNLSLGHLLLAALDMPFTLLGVMR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RPRYAGLLLGCAWGQSLAFSGAALGCS</v>
      </c>
      <c r="M175" s="4" t="str">
        <f t="shared" si="58"/>
        <v>CSL</v>
      </c>
      <c r="N175" s="4" t="str">
        <f t="shared" si="59"/>
        <v>RPRFAAFTATLHAVGFVLPLAVLCLTSLQVHRVARRHCQRMDTVT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</v>
      </c>
      <c r="R175" s="5">
        <f>VLOOKUP($A175,'SegEnds_NonXtal_Prot#'!$A:$AL,3,FALSE)</f>
        <v>5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166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69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145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309</v>
      </c>
      <c r="AP175" s="5">
        <f t="shared" si="63"/>
        <v>28</v>
      </c>
      <c r="AQ175" s="4">
        <f t="shared" si="64"/>
        <v>3</v>
      </c>
      <c r="AR175" s="4">
        <f t="shared" si="65"/>
        <v>31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26</v>
      </c>
      <c r="AW175" s="4">
        <f t="shared" si="70"/>
        <v>2</v>
      </c>
      <c r="AX175" s="4">
        <f t="shared" si="71"/>
        <v>44</v>
      </c>
      <c r="AY175" s="4">
        <f t="shared" si="72"/>
        <v>37</v>
      </c>
      <c r="AZ175" s="4">
        <f t="shared" si="73"/>
        <v>25</v>
      </c>
      <c r="BA175" s="4">
        <f t="shared" si="74"/>
        <v>11</v>
      </c>
    </row>
    <row r="176" spans="1:53" x14ac:dyDescent="0.2">
      <c r="A176" s="1" t="str">
        <f>'SegEnds_NonXtal_Prot#'!A150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'SegEnds_NonXtal_Prot#'!A151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'SegEnds_NonXtal_Prot#'!A152</f>
        <v>gpr85_human</v>
      </c>
      <c r="B178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AFLKLTSLGFIIGVSVVGNLLISILLVKD</v>
      </c>
      <c r="G178" s="4" t="str">
        <f t="shared" si="52"/>
        <v>KTLH</v>
      </c>
      <c r="H178" s="4" t="str">
        <f t="shared" si="53"/>
        <v>RAPYYFLLDLCCSDILRSAICFPFVFNSVKN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</v>
      </c>
      <c r="R178" s="5">
        <f>VLOOKUP($A178,'SegEnds_NonXtal_Prot#'!$A:$AL,3,FALSE)</f>
        <v>20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83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160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354</v>
      </c>
      <c r="AP178" s="5">
        <f t="shared" si="63"/>
        <v>28</v>
      </c>
      <c r="AQ178" s="4">
        <f t="shared" si="64"/>
        <v>3</v>
      </c>
      <c r="AR178" s="4">
        <f t="shared" si="65"/>
        <v>30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26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11</v>
      </c>
    </row>
    <row r="179" spans="1:53" x14ac:dyDescent="0.2">
      <c r="A179" s="1" t="str">
        <f>'SegEnds_NonXtal_Prot#'!A153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'SegEnds_NonXtal_Prot#'!A154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'SegEnds_NonXtal_Prot#'!A155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'SegEnds_NonXtal_Prot#'!A156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'SegEnds_NonXtal_Prot#'!A158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'SegEnds_NonXtal_Prot#'!A159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'SegEnds_NonXtal_Prot#'!A160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'SegEnds_NonXtal_Prot#'!A161</f>
        <v>kissr_human</v>
      </c>
      <c r="B186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197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104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43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'SegEnds_NonXtal_Prot#'!A162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'SegEnds_NonXtal_Prot#'!A163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'SegEnds_NonXtal_Prot#'!A164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'SegEnds_NonXtal_Prot#'!A165</f>
        <v>lpar4_human</v>
      </c>
      <c r="B190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197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37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'SegEnds_NonXtal_Prot#'!A166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'SegEnds_NonXtal_Prot#'!A167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'SegEnds_NonXtal_Prot#'!A168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'SegEnds_NonXtal_Prot#'!A169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'SegEnds_NonXtal_Prot#'!A172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'SegEnds_NonXtal_Prot#'!A173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'SegEnds_NonXtal_Prot#'!A174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'SegEnds_NonXtal_Prot#'!A175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mchr1_human</v>
      </c>
      <c r="B200" s="1" t="str">
        <f t="shared" si="75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270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174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32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37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'SegEnds_NonXtal_Prot#'!A177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'SegEnds_NonXtal_Prot#'!A179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'SegEnds_NonXtal_Prot#'!A180</f>
        <v>mrgrf_human</v>
      </c>
      <c r="B203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PPPAVMNYIFLLLCLCGLVGNGLVLWFFGFS</v>
      </c>
      <c r="G203" s="4" t="str">
        <f t="shared" si="77"/>
        <v/>
      </c>
      <c r="H203" s="4" t="str">
        <f t="shared" si="78"/>
        <v>NPFSIYFLHLASADVGYLFSKAVFSILNTG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</v>
      </c>
      <c r="R203" s="5">
        <f>VLOOKUP($A203,'SegEnds_NonXtal_Prot#'!$A:$AL,3,FALSE)</f>
        <v>42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195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105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309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31</v>
      </c>
      <c r="AZ203" s="4">
        <f t="shared" si="98"/>
        <v>24</v>
      </c>
      <c r="BA203" s="4">
        <f t="shared" si="99"/>
        <v>14</v>
      </c>
    </row>
    <row r="204" spans="1:53" x14ac:dyDescent="0.2">
      <c r="A204" s="1" t="str">
        <f>'SegEnds_NonXtal_Prot#'!A182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'SegEnds_NonXtal_Prot#'!A183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'SegEnds_NonXtal_Prot#'!A184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288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12</v>
      </c>
    </row>
    <row r="208" spans="1:53" x14ac:dyDescent="0.2">
      <c r="A208" s="1" t="str">
        <f>'SegEnds_NonXtal_Prot#'!A186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'SegEnds_NonXtal_Prot#'!A187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'SegEnds_NonXtal_Prot#'!A189</f>
        <v>mtr1b_human</v>
      </c>
      <c r="B210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103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mtr1l_human</v>
      </c>
      <c r="B211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91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'SegEnds_NonXtal_Prot#'!A192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'SegEnds_NonXtal_Prot#'!A194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'SegEnds_NonXtal_Prot#'!A195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'SegEnds_NonXtal_Prot#'!A196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'SegEnds_NonXtal_Prot#'!A199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'SegEnds_NonXtal_Prot#'!A200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'SegEnds_NonXtal_Prot#'!A204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'SegEnds_NonXtal_Prot#'!A206</f>
        <v>oxer1_human</v>
      </c>
      <c r="B223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245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154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36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'SegEnds_NonXtal_Prot#'!A208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'SegEnds_NonXtal_Prot#'!A209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'SegEnds_NonXtal_Prot#'!A214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'SegEnds_NonXtal_Prot#'!A215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'SegEnds_NonXtal_Prot#'!A217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'SegEnds_NonXtal_Prot#'!A218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'SegEnds_NonXtal_Prot#'!A220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'SegEnds_NonXtal_Prot#'!A222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'SegEnds_NonXtal_Prot#'!A223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'SegEnds_NonXtal_Prot#'!A224</f>
        <v>pe2r4_human</v>
      </c>
      <c r="B239" s="1" t="str">
        <f t="shared" si="75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SPDRLNSPVTIPAVMFIFGVVGNLVAIVVLCKS</v>
      </c>
      <c r="G239" s="4" t="str">
        <f t="shared" si="77"/>
        <v/>
      </c>
      <c r="H239" s="4" t="str">
        <f t="shared" si="78"/>
        <v>TTFYTLVCGLAVTDLLGTLLVSPVTIATYM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</v>
      </c>
      <c r="M239" s="4" t="str">
        <f t="shared" si="83"/>
        <v>CFI</v>
      </c>
      <c r="N239" s="4" t="str">
        <f t="shared" si="84"/>
        <v>VTAHAAYSYMYAGFSSFLILATVLCNVLVCGALLRMHRQFMRRTSL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RKTVLSKAIEKIKCL</v>
      </c>
      <c r="R239" s="5">
        <f>VLOOKUP($A239,'SegEnds_NonXtal_Prot#'!$A:$AL,3,FALSE)</f>
        <v>13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81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156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347</v>
      </c>
      <c r="AP239" s="5">
        <f t="shared" si="88"/>
        <v>32</v>
      </c>
      <c r="AQ239" s="4" t="str">
        <f t="shared" si="89"/>
        <v>-</v>
      </c>
      <c r="AR239" s="4">
        <f t="shared" si="90"/>
        <v>29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24</v>
      </c>
      <c r="AW239" s="4">
        <f t="shared" si="95"/>
        <v>2</v>
      </c>
      <c r="AX239" s="4">
        <f t="shared" si="96"/>
        <v>45</v>
      </c>
      <c r="AY239" s="4">
        <f t="shared" si="97"/>
        <v>37</v>
      </c>
      <c r="AZ239" s="4">
        <f t="shared" si="98"/>
        <v>28</v>
      </c>
      <c r="BA239" s="4">
        <f t="shared" si="99"/>
        <v>14</v>
      </c>
    </row>
    <row r="240" spans="1:53" x14ac:dyDescent="0.2">
      <c r="A240" s="1" t="str">
        <f>'SegEnds_NonXtal_Prot#'!A225</f>
        <v>pf2r_human</v>
      </c>
      <c r="B240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TENRLSVFFSVIFMTVGILSNSLAIAILMKA</v>
      </c>
      <c r="G240" s="4" t="str">
        <f t="shared" si="77"/>
        <v>QRFR</v>
      </c>
      <c r="H240" s="4" t="str">
        <f t="shared" si="78"/>
        <v>QKSKASFLLLASGLVITDFFGHLINGAIAVF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</v>
      </c>
      <c r="R240" s="5">
        <f>VLOOKUP($A240,'SegEnds_NonXtal_Prot#'!$A:$AL,3,FALSE)</f>
        <v>24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90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320</v>
      </c>
      <c r="AP240" s="5">
        <f t="shared" si="88"/>
        <v>30</v>
      </c>
      <c r="AQ240" s="4">
        <f t="shared" si="89"/>
        <v>3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'SegEnds_NonXtal_Prot#'!A227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'SegEnds_NonXtal_Prot#'!A228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'SegEnds_NonXtal_Prot#'!A229</f>
        <v>qrfpr_human</v>
      </c>
      <c r="B243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PVHQKIYTTFILVILFLLPLMVMLILYSKIGYELWIKKRVGDG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208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108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30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42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'SegEnds_NonXtal_Prot#'!A230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'SegEnds_NonXtal_Prot#'!A231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'SegEnds_NonXtal_Prot#'!A232</f>
        <v>ssr1_human</v>
      </c>
      <c r="B246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216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37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'SegEnds_NonXtal_Prot#'!A233</f>
        <v>ssr2_human</v>
      </c>
      <c r="B247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201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37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'SegEnds_NonXtal_Prot#'!A234</f>
        <v>ssr3_human</v>
      </c>
      <c r="B248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199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41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'SegEnds_NonXtal_Prot#'!A235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'SegEnds_NonXtal_Prot#'!A236</f>
        <v>ssr5_human</v>
      </c>
      <c r="B250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194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'SegEnds_NonXtal_Prot#'!A238</f>
        <v>ta2r_human</v>
      </c>
      <c r="B252" s="1" t="str">
        <f t="shared" si="75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EERRLIASPWFAASFCVVGLASNLLALSVLAGA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</v>
      </c>
      <c r="R252" s="5">
        <f>VLOOKUP($A252,'SegEnds_NonXtal_Prot#'!$A:$AL,3,FALSE)</f>
        <v>20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204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324</v>
      </c>
      <c r="AP252" s="5">
        <f t="shared" si="88"/>
        <v>32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32</v>
      </c>
      <c r="AY252" s="4">
        <f t="shared" si="97"/>
        <v>34</v>
      </c>
      <c r="AZ252" s="4">
        <f t="shared" si="98"/>
        <v>32</v>
      </c>
      <c r="BA252" s="4">
        <f t="shared" si="99"/>
        <v>12</v>
      </c>
    </row>
    <row r="253" spans="1:53" x14ac:dyDescent="0.2">
      <c r="A253" s="1" t="str">
        <f>'SegEnds_NonXtal_Prot#'!A239</f>
        <v>taar1_human</v>
      </c>
      <c r="B253" s="1" t="str">
        <f t="shared" si="75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NILVICVMIFISWSVPAVFAFGMIFL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86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161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319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11</v>
      </c>
    </row>
    <row r="254" spans="1:53" x14ac:dyDescent="0.2">
      <c r="A254" s="1" t="str">
        <f>'SegEnds_NonXtal_Prot#'!A240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'SegEnds_NonXtal_Prot#'!A241</f>
        <v>taar3_human</v>
      </c>
      <c r="B255" s="1" t="str">
        <f t="shared" si="75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HQPLFSCPGDNVFGYDWSHDYPLFGNLVIMVSISHF</v>
      </c>
      <c r="G255" s="4" t="str">
        <f t="shared" si="77"/>
        <v>KQLH</v>
      </c>
      <c r="H255" s="4" t="str">
        <f t="shared" si="78"/>
        <v>SPTNFLILSMATTDFLLGFVIMPYSIMRSVE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TNSTIKQLLAFCWSVPALFSFGLVLSE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24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94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170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35</v>
      </c>
      <c r="AQ255" s="4">
        <f t="shared" si="89"/>
        <v>3</v>
      </c>
      <c r="AR255" s="4">
        <f t="shared" si="90"/>
        <v>30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'SegEnds_NonXtal_Prot#'!A242</f>
        <v>taar5_human</v>
      </c>
      <c r="B256" s="1" t="str">
        <f t="shared" si="75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LGIQLVIYLACAAGMLIIVLGNVFVAFAVSYF</v>
      </c>
      <c r="G256" s="4" t="str">
        <f t="shared" si="77"/>
        <v>KALH</v>
      </c>
      <c r="H256" s="4" t="str">
        <f t="shared" si="78"/>
        <v>TPTNFLLLSLALADMFLGLLVLPLSTIRSVE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31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97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31</v>
      </c>
      <c r="AQ256" s="4">
        <f t="shared" si="89"/>
        <v>3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'SegEnds_NonXtal_Prot#'!A243</f>
        <v>taar6_human</v>
      </c>
      <c r="B257" s="1" t="str">
        <f t="shared" si="75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PGSRVILYIVFGFGAVLAVFGNLLVMISILHF</v>
      </c>
      <c r="G257" s="4" t="str">
        <f t="shared" si="77"/>
        <v>KQLH</v>
      </c>
      <c r="H257" s="4" t="str">
        <f t="shared" si="78"/>
        <v>SPTNFLVASLACADFLVGVTVMPFSMVRTVE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29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95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31</v>
      </c>
      <c r="AQ257" s="4">
        <f t="shared" si="89"/>
        <v>3</v>
      </c>
      <c r="AR257" s="4">
        <f t="shared" si="90"/>
        <v>30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taar8_human</v>
      </c>
      <c r="B258" s="1" t="str">
        <f t="shared" ref="B258:B321" si="100">F258&amp;H258&amp;J258&amp;L258&amp;N258&amp;O258&amp;P258&amp;Q258</f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28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94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31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'SegEnds_NonXtal_Prot#'!A246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'SegEnds_NonXtal_Prot#'!A247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'SegEnds_NonXtal_Prot#'!A248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'SegEnds_NonXtal_Prot#'!A249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'SegEnds_NonXtal_Prot#'!A250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'SegEnds_NonXtal_Prot#'!A252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'SegEnds_NonXtal_Prot#'!A253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'SegEnds_NonXtal_Prot#'!A254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'SegEnds_NonXtal_Prot#'!A255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'SegEnds_NonXtal_Prot#'!A256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'SegEnds_NonXtal_Prot#'!A257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'SegEnds_NonXtal_Prot#'!A258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'SegEnds_NonXtal_Prot#'!A259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'SegEnds_NonXtal_Prot#'!A260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'SegEnds_NonXtal_Prot#'!A261</f>
        <v>ackr1_human</v>
      </c>
      <c r="B273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SCNLLDDSALPFFILTSVLGILASSTVLFMLFRP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CHQATRTLLPSLPLPEGWSSH</v>
      </c>
      <c r="R273" s="5">
        <f>VLOOKUP($A273,'SegEnds_NonXtal_Prot#'!$A:$AL,3,FALSE)</f>
        <v>53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201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328</v>
      </c>
      <c r="AP273" s="5">
        <f t="shared" si="113"/>
        <v>33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31</v>
      </c>
      <c r="AY273" s="4">
        <f t="shared" si="122"/>
        <v>30</v>
      </c>
      <c r="AZ273" s="4">
        <f t="shared" si="123"/>
        <v>32</v>
      </c>
      <c r="BA273" s="4">
        <f t="shared" si="124"/>
        <v>20</v>
      </c>
    </row>
    <row r="274" spans="1:53" x14ac:dyDescent="0.2">
      <c r="A274" s="1" t="str">
        <f>'SegEnds_NonXtal_Prot#'!A263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'SegEnds_NonXtal_Prot#'!A264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'SegEnds_NonXtal_Prot#'!A265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'SegEnds_NonXtal_Prot#'!A266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'SegEnds_NonXtal_Prot#'!A267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'SegEnds_NonXtal_Prot#'!A268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gp150_human</v>
      </c>
      <c r="B280" s="1" t="str">
        <f t="shared" si="100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'SegEnds_NonXtal_Prot#'!A270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'SegEnds_NonXtal_Prot#'!A271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'SegEnds_NonXtal_Prot#'!A273</f>
        <v>gpr45_human</v>
      </c>
      <c r="B284" s="1" t="str">
        <f t="shared" si="100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97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31</v>
      </c>
      <c r="AQ284" s="4">
        <f t="shared" si="114"/>
        <v>3</v>
      </c>
      <c r="AR284" s="4">
        <f t="shared" si="115"/>
        <v>30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'SegEnds_NonXtal_Prot#'!A274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'SegEnds_NonXtal_Prot#'!A275</f>
        <v>gpr63_human</v>
      </c>
      <c r="B286" s="1" t="str">
        <f t="shared" si="100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QITLSAIMIFILFVSFLGNLVVCLMVYQK</v>
      </c>
      <c r="G286" s="4" t="str">
        <f t="shared" si="102"/>
        <v>AAMR</v>
      </c>
      <c r="H286" s="4" t="str">
        <f t="shared" si="103"/>
        <v>SAINILLASLAFADMLLAVLNMPFALVTILT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</v>
      </c>
      <c r="R286" s="5">
        <f>VLOOKUP($A286,'SegEnds_NonXtal_Prot#'!$A:$AL,3,FALSE)</f>
        <v>81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144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217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386</v>
      </c>
      <c r="AP286" s="5">
        <f t="shared" si="113"/>
        <v>28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26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11</v>
      </c>
    </row>
    <row r="287" spans="1:53" x14ac:dyDescent="0.2">
      <c r="A287" s="1" t="str">
        <f>'SegEnds_NonXtal_Prot#'!A277</f>
        <v>gpr83_human</v>
      </c>
      <c r="B287" s="1" t="str">
        <f t="shared" si="100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DLFWKYLDLATFILLYILPLLIISVAYARVAKKLWLCNMIGD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233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134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30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41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'SegEnds_NonXtal_Prot#'!A278</f>
        <v>nk1r_human</v>
      </c>
      <c r="B288" s="1" t="str">
        <f t="shared" si="100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KIYEKVYHICVTVLIYFLPLLVIGYAYTVVGITLWASEIPGD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190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41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'SegEnds_NonXtal_Prot#'!A279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'SegEnds_NonXtal_Prot#'!A280</f>
        <v>nk3r_human</v>
      </c>
      <c r="B290" s="1" t="str">
        <f t="shared" si="100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PKQHFTYHIIVIILVYCFPLLIMGITYTIVGITLWGGEIPGD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241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41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'SegEnds_NonXtal_Prot#'!A281</f>
        <v>npbw1_human</v>
      </c>
      <c r="B291" s="1" t="str">
        <f t="shared" si="100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'SegEnds_NonXtal_Prot#'!A282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'SegEnds_NonXtal_Prot#'!A283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'SegEnds_NonXtal_Prot#'!A284</f>
        <v>npff2_human</v>
      </c>
      <c r="B294" s="1" t="str">
        <f t="shared" si="100"/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'SegEnds_NonXtal_Prot#'!A285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'SegEnds_NonXtal_Prot#'!A286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'SegEnds_NonXtal_Prot#'!A287</f>
        <v>npy4r_human</v>
      </c>
      <c r="B297" s="1" t="str">
        <f t="shared" si="10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208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104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40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'SegEnds_NonXtal_Prot#'!A288</f>
        <v>npy5r_human</v>
      </c>
      <c r="B298" s="1" t="str">
        <f t="shared" si="10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205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104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30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44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'SegEnds_NonXtal_Prot#'!A289</f>
        <v>npy6r_human</v>
      </c>
      <c r="B299" s="1" t="str">
        <f t="shared" si="100"/>
        <v>ALLLLCIAYTVVLIVGLFGNLSLIIIIFKKNFTSILIANLSLSDTLVCVMCIHFTIIYTLMGDTMCRLTSYVQSVSISVSIFSLVFTAVERYQLIVNSVTHAYWGITLIWLFSLLLSIPFFLSYKKDRLLFTTSLFLLQYFVPLGFILICYLKIVICLRRRNAKVDENEGRLNENKRINTMLISIVVTFGACWLPRISSMSSLTGI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203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99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41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'SegEnds_NonXtal_Prot#'!A290</f>
        <v>opn3_human</v>
      </c>
      <c r="B300" s="1" t="str">
        <f t="shared" si="10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38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31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'SegEnds_NonXtal_Prot#'!A291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'SegEnds_NonXtal_Prot#'!A292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'SegEnds_NonXtal_Prot#'!A294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'SegEnds_NonXtal_Prot#'!A295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'SegEnds_NonXtal_Prot#'!A296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'SegEnds_NonXtal_Prot#'!A297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'SegEnds_NonXtal_Prot#'!A298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'SegEnds_NonXtal_Prot#'!A299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'SegEnds_NonXtal_Prot#'!A300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'SegEnds_NonXtal_Prot#'!A301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'SegEnds_NonXtal_Prot#'!A302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'SegEnds_NonXtal_Prot#'!A303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'SegEnds_NonXtal_Prot#'!A304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'SegEnds_NonXtal_Prot#'!A305</f>
        <v>glr_human</v>
      </c>
      <c r="B314" s="1" t="str">
        <f t="shared" si="100"/>
        <v>QKEVAKMYSSFQVMYTVGYSLSLGALLLALAILGGLCTRNAIHANLFASFVLKASSVLVIDGLLRTRSDGAVAGCRVAAVFMQYGIVANYCWLLVEGLYLHNLLGLSFFSLYLGIGWGAPMLFVVPWAVVKCLFENMGFWWILRFPVFLAILINFFIFVRIVQLLVAKLRADYKFRLAKSTLTLIPLLGVHEVVFAFQGTLRSAKLFFDLFLSSFQGLLVAVLYCFLNKEVQSELRRRWHRWRLGKVLWEERN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</v>
      </c>
      <c r="I314" s="4" t="str">
        <f t="shared" si="104"/>
        <v/>
      </c>
      <c r="J314" s="4" t="str">
        <f t="shared" si="105"/>
        <v>SDGAVAGCRVAAVFMQYGIVANYCWLLVEGLYLHNLLGL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217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201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30</v>
      </c>
      <c r="AS314" s="4" t="str">
        <f t="shared" si="116"/>
        <v>-</v>
      </c>
      <c r="AT314" s="4">
        <f t="shared" si="117"/>
        <v>38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'SegEnds_NonXtal_Prot#'!A306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'SegEnds_NonXtal_Prot#'!A307</f>
        <v>pth1r_human</v>
      </c>
      <c r="B316" s="1" t="str">
        <f t="shared" si="10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</v>
      </c>
      <c r="I316" s="4" t="str">
        <f t="shared" si="104"/>
        <v/>
      </c>
      <c r="J316" s="4" t="str">
        <f t="shared" si="105"/>
        <v>AAAGYAGCRVAVTFFLYFLATNYYWILVEGLYLHSLIFM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274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247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30</v>
      </c>
      <c r="AS316" s="4" t="str">
        <f t="shared" si="116"/>
        <v>-</v>
      </c>
      <c r="AT316" s="4">
        <f t="shared" si="117"/>
        <v>38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'SegEnds_NonXtal_Prot#'!A308</f>
        <v>pth2r_human</v>
      </c>
      <c r="B317" s="1" t="str">
        <f t="shared" si="10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</v>
      </c>
      <c r="I317" s="4" t="str">
        <f t="shared" si="104"/>
        <v/>
      </c>
      <c r="J317" s="4" t="str">
        <f t="shared" si="105"/>
        <v>DKSQYIGCKIAVVMFIYFLATNYYWILVEGLYLHNLIFV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229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204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30</v>
      </c>
      <c r="AS317" s="4" t="str">
        <f t="shared" si="116"/>
        <v>-</v>
      </c>
      <c r="AT317" s="4">
        <f t="shared" si="117"/>
        <v>38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'SegEnds_NonXtal_Prot#'!A309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'SegEnds_NonXtal_Prot#'!A310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'SegEnds_NonXtal_Prot#'!A311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'SegEnds_NonXtal_Prot#'!A312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'SegEnds_NonXtal_Prot#'!A313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'SegEnds_NonXtal_Prot#'!A315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'SegEnds_NonXtal_Prot#'!A319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'SegEnds_NonXtal_Prot#'!A320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'SegEnds_NonXtal_Prot#'!A321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'SegEnds_NonXtal_Prot#'!A323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'SegEnds_NonXtal_Prot#'!A326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'SegEnds_NonXtal_Prot#'!A327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'SegEnds_NonXtal_Prot#'!A328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'SegEnds_NonXtal_Prot#'!A329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'SegEnds_NonXtal_Prot#'!A330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'SegEnds_NonXtal_Prot#'!A331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'SegEnds_NonXtal_Prot#'!A332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'SegEnds_NonXtal_Prot#'!A333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'SegEnds_NonXtal_Prot#'!A334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'SegEnds_NonXtal_Prot#'!A335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'SegEnds_NonXtal_Prot#'!A336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'SegEnds_NonXtal_Prot#'!A337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'SegEnds_NonXtal_Prot#'!A338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'SegEnds_NonXtal_Prot#'!A339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'SegEnds_NonXtal_Prot#'!A340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'SegEnds_NonXtal_Prot#'!A341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'SegEnds_NonXtal_Prot#'!A342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'SegEnds_NonXtal_Prot#'!A343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'SegEnds_NonXtal_Prot#'!A345</f>
        <v>casr_human</v>
      </c>
      <c r="B351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LMALGFLIGYTCLLAAICFFFAFKS</v>
      </c>
      <c r="O351" s="4" t="str">
        <f t="shared" si="135"/>
        <v>EAKFITFSMLIFFIVWISFIPAYAS</v>
      </c>
      <c r="P351" s="4" t="str">
        <f t="shared" si="136"/>
        <v>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770</v>
      </c>
      <c r="AA351" s="5">
        <f>VLOOKUP($A351,'SegEnds_NonXtal_Prot#'!$A:$AL,30,FALSE)</f>
        <v>803</v>
      </c>
      <c r="AB351" s="5">
        <f>VLOOKUP($A351,'SegEnds_NonXtal_Prot#'!$A:$AL,33,FALSE)</f>
        <v>833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24</v>
      </c>
      <c r="AY351" s="4">
        <f t="shared" si="147"/>
        <v>24</v>
      </c>
      <c r="AZ351" s="4">
        <f t="shared" si="148"/>
        <v>30</v>
      </c>
      <c r="BA351" s="4">
        <f t="shared" si="149"/>
        <v>11</v>
      </c>
    </row>
    <row r="352" spans="1:53" x14ac:dyDescent="0.2">
      <c r="A352" s="1" t="str">
        <f>'SegEnds_NonXtal_Prot#'!A346</f>
        <v>gabr1_human</v>
      </c>
      <c r="B352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NTWLGIFYGYKGLLLLLGIFLAYET</v>
      </c>
      <c r="O352" s="4" t="str">
        <f t="shared" si="135"/>
        <v>DHRAVGMAIYNVAVLCLITAPVTMI</v>
      </c>
      <c r="P352" s="4" t="str">
        <f t="shared" si="136"/>
        <v>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767</v>
      </c>
      <c r="AA352" s="5">
        <f>VLOOKUP($A352,'SegEnds_NonXtal_Prot#'!$A:$AL,30,FALSE)</f>
        <v>801</v>
      </c>
      <c r="AB352" s="5">
        <f>VLOOKUP($A352,'SegEnds_NonXtal_Prot#'!$A:$AL,33,FALSE)</f>
        <v>833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24</v>
      </c>
      <c r="AY352" s="4">
        <f t="shared" si="147"/>
        <v>24</v>
      </c>
      <c r="AZ352" s="4">
        <f t="shared" si="148"/>
        <v>30</v>
      </c>
      <c r="BA352" s="4">
        <f t="shared" si="149"/>
        <v>11</v>
      </c>
    </row>
    <row r="353" spans="1:53" x14ac:dyDescent="0.2">
      <c r="A353" s="1" t="str">
        <f>'SegEnds_NonXtal_Prot#'!A347</f>
        <v>gabr2_human</v>
      </c>
      <c r="B353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TIWLGIVYAYKGLLMLFGCFLAWET</v>
      </c>
      <c r="O353" s="4" t="str">
        <f t="shared" si="135"/>
        <v>DSKYIGMSVYNVGIMCIIGAAVSFL</v>
      </c>
      <c r="P353" s="4" t="str">
        <f t="shared" si="136"/>
        <v>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654</v>
      </c>
      <c r="AA353" s="5">
        <f>VLOOKUP($A353,'SegEnds_NonXtal_Prot#'!$A:$AL,30,FALSE)</f>
        <v>688</v>
      </c>
      <c r="AB353" s="5">
        <f>VLOOKUP($A353,'SegEnds_NonXtal_Prot#'!$A:$AL,33,FALSE)</f>
        <v>720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24</v>
      </c>
      <c r="AY353" s="4">
        <f t="shared" si="147"/>
        <v>24</v>
      </c>
      <c r="AZ353" s="4">
        <f t="shared" si="148"/>
        <v>30</v>
      </c>
      <c r="BA353" s="4">
        <f t="shared" si="149"/>
        <v>11</v>
      </c>
    </row>
    <row r="354" spans="1:53" x14ac:dyDescent="0.2">
      <c r="A354" s="1" t="str">
        <f>'SegEnds_NonXtal_Prot#'!A348</f>
        <v>gp156_human</v>
      </c>
      <c r="B354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/>
      </c>
      <c r="N354" s="4" t="str">
        <f t="shared" si="134"/>
        <v>DVWIALIWGCKGLLLLYGAYLAGLT</v>
      </c>
      <c r="O354" s="4" t="str">
        <f t="shared" si="135"/>
        <v>SLTIMVGVNLLVLAAGLLFVVTRYL</v>
      </c>
      <c r="P354" s="4" t="str">
        <f t="shared" si="136"/>
        <v>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 t="str">
        <f>VLOOKUP($A354,'SegEnds_NonXtal_Prot#'!$A:$AL,24,FALSE)</f>
        <v>-</v>
      </c>
      <c r="Z354" s="5">
        <f>VLOOKUP($A354,'SegEnds_NonXtal_Prot#'!$A:$AL,27,FALSE)</f>
        <v>222</v>
      </c>
      <c r="AA354" s="5">
        <f>VLOOKUP($A354,'SegEnds_NonXtal_Prot#'!$A:$AL,30,FALSE)</f>
        <v>257</v>
      </c>
      <c r="AB354" s="5">
        <f>VLOOKUP($A354,'SegEnds_NonXtal_Prot#'!$A:$AL,33,FALSE)</f>
        <v>288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 t="str">
        <f>VLOOKUP($A354,'SegEnds_NonXtal_Prot#'!$A:$AL,26,FALSE)</f>
        <v>-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 t="str">
        <f t="shared" si="145"/>
        <v>-</v>
      </c>
      <c r="AX354" s="4">
        <f t="shared" si="146"/>
        <v>24</v>
      </c>
      <c r="AY354" s="4">
        <f t="shared" si="147"/>
        <v>24</v>
      </c>
      <c r="AZ354" s="4">
        <f t="shared" si="148"/>
        <v>30</v>
      </c>
      <c r="BA354" s="4">
        <f t="shared" si="149"/>
        <v>11</v>
      </c>
    </row>
    <row r="355" spans="1:53" x14ac:dyDescent="0.2">
      <c r="A355" s="1" t="str">
        <f>'SegEnds_NonXtal_Prot#'!A349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643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30</v>
      </c>
      <c r="BA355" s="4">
        <f t="shared" si="149"/>
        <v>11</v>
      </c>
    </row>
    <row r="356" spans="1:53" x14ac:dyDescent="0.2">
      <c r="A356" s="1" t="str">
        <f>'SegEnds_NonXtal_Prot#'!A350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607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30</v>
      </c>
      <c r="BA356" s="4">
        <f t="shared" si="149"/>
        <v>11</v>
      </c>
    </row>
    <row r="357" spans="1:53" x14ac:dyDescent="0.2">
      <c r="A357" s="1" t="str">
        <f>'SegEnds_NonXtal_Prot#'!A351</f>
        <v>gpc5b_human</v>
      </c>
      <c r="B357" s="1" t="str">
        <f t="shared" si="125"/>
        <v>IWGIVVEAVAGAGALITLLLMLILLVREKKSPVGLHFLFLLGTLGLFGLTFAFIETICSVRRFLWGVLFALCFSCLLSQAWRVRRLVAGWQLVGLALCLMLVQVIIAVEWLVLTPMDFVMALIYDMVLLVVTLGLALFTNGAFLLITAFLSVLIWVAWMTMYLFNDPTLAITLAASGWVFVIFHAIPEIHCTLLPLQENTPNYFDTS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PMDFVMALIYDMVLLVVTLGLALFT</v>
      </c>
      <c r="O357" s="4" t="str">
        <f t="shared" si="135"/>
        <v>NGAFLLITAFLSVLIWVAWMTMYLF</v>
      </c>
      <c r="P357" s="4" t="str">
        <f t="shared" si="136"/>
        <v>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197</v>
      </c>
      <c r="AA357" s="5">
        <f>VLOOKUP($A357,'SegEnds_NonXtal_Prot#'!$A:$AL,30,FALSE)</f>
        <v>232</v>
      </c>
      <c r="AB357" s="5">
        <f>VLOOKUP($A357,'SegEnds_NonXtal_Prot#'!$A:$AL,33,FALSE)</f>
        <v>268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24</v>
      </c>
      <c r="AY357" s="4">
        <f t="shared" si="147"/>
        <v>24</v>
      </c>
      <c r="AZ357" s="4">
        <f t="shared" si="148"/>
        <v>30</v>
      </c>
      <c r="BA357" s="4">
        <f t="shared" si="149"/>
        <v>11</v>
      </c>
    </row>
    <row r="358" spans="1:53" x14ac:dyDescent="0.2">
      <c r="A358" s="1" t="str">
        <f>'SegEnds_NonXtal_Prot#'!A352</f>
        <v>gpc5c_human</v>
      </c>
      <c r="B358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NMDFVMALIYVMLLLLGAFLGAWPA</v>
      </c>
      <c r="O358" s="4" t="str">
        <f t="shared" si="135"/>
        <v>HGVFVLLTTATSVAIWVVWIVMYTY</v>
      </c>
      <c r="P358" s="4" t="str">
        <f t="shared" si="136"/>
        <v>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206</v>
      </c>
      <c r="AA358" s="5">
        <f>VLOOKUP($A358,'SegEnds_NonXtal_Prot#'!$A:$AL,30,FALSE)</f>
        <v>241</v>
      </c>
      <c r="AB358" s="5">
        <f>VLOOKUP($A358,'SegEnds_NonXtal_Prot#'!$A:$AL,33,FALSE)</f>
        <v>276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24</v>
      </c>
      <c r="AY358" s="4">
        <f t="shared" si="147"/>
        <v>24</v>
      </c>
      <c r="AZ358" s="4">
        <f t="shared" si="148"/>
        <v>30</v>
      </c>
      <c r="BA358" s="4">
        <f t="shared" si="149"/>
        <v>11</v>
      </c>
    </row>
    <row r="359" spans="1:53" x14ac:dyDescent="0.2">
      <c r="A359" s="1" t="str">
        <f>'SegEnds_NonXtal_Prot#'!A353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/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 t="str">
        <f>VLOOKUP($A359,'SegEnds_NonXtal_Prot#'!$A:$AL,24,FALSE)</f>
        <v>-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238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 t="str">
        <f>VLOOKUP($A359,'SegEnds_NonXtal_Prot#'!$A:$AL,26,FALSE)</f>
        <v>-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30</v>
      </c>
      <c r="BA359" s="4">
        <f t="shared" si="149"/>
        <v>10</v>
      </c>
    </row>
    <row r="360" spans="1:53" x14ac:dyDescent="0.2">
      <c r="A360" s="1" t="str">
        <f>'SegEnds_NonXtal_Prot#'!A354</f>
        <v>gpc6a_human</v>
      </c>
      <c r="B360" s="1" t="str">
        <f t="shared" si="125"/>
        <v>SLAILLLILSLLGIIFVLVVGIIFTRNGGLRVCYVILLCHFLNFASTSFFIDFTCKTRQTMFGVSFTLCISCILTKSLKILLAFCLYRPILIIFTCTGIQVVICTLWLIFAILAFGTMLGYIAILAFICFIFAFKGEAKFITFGMLIYFIAWITFIPIYATVPAVEIIVILISNYGILYCTFIPKCYVIICKQEINTKSAFLKM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ILAFGTMLGYIAILAFICFIFAFKG</v>
      </c>
      <c r="O360" s="4" t="str">
        <f t="shared" si="135"/>
        <v>EAKFITFGMLIYFIAWITFIPIYAT</v>
      </c>
      <c r="P360" s="4" t="str">
        <f t="shared" si="136"/>
        <v>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749</v>
      </c>
      <c r="AA360" s="5">
        <f>VLOOKUP($A360,'SegEnds_NonXtal_Prot#'!$A:$AL,30,FALSE)</f>
        <v>780</v>
      </c>
      <c r="AB360" s="5">
        <f>VLOOKUP($A360,'SegEnds_NonXtal_Prot#'!$A:$AL,33,FALSE)</f>
        <v>810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24</v>
      </c>
      <c r="AY360" s="4">
        <f t="shared" si="147"/>
        <v>24</v>
      </c>
      <c r="AZ360" s="4">
        <f t="shared" si="148"/>
        <v>30</v>
      </c>
      <c r="BA360" s="4">
        <f t="shared" si="149"/>
        <v>11</v>
      </c>
    </row>
    <row r="361" spans="1:53" x14ac:dyDescent="0.2">
      <c r="A361" s="1" t="str">
        <f>'SegEnds_NonXtal_Prot#'!A356</f>
        <v>grm2_human</v>
      </c>
      <c r="B361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DASMLGSLAYNVLLIALCTLYAFKT</v>
      </c>
      <c r="O361" s="4" t="str">
        <f t="shared" si="135"/>
        <v>EAKFIGFTMYTTCIIWLAFLPIFYV</v>
      </c>
      <c r="P361" s="4" t="str">
        <f t="shared" si="136"/>
        <v>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725</v>
      </c>
      <c r="AA361" s="5">
        <f>VLOOKUP($A361,'SegEnds_NonXtal_Prot#'!$A:$AL,30,FALSE)</f>
        <v>758</v>
      </c>
      <c r="AB361" s="5">
        <f>VLOOKUP($A361,'SegEnds_NonXtal_Prot#'!$A:$AL,33,FALSE)</f>
        <v>790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24</v>
      </c>
      <c r="AY361" s="4">
        <f t="shared" si="147"/>
        <v>24</v>
      </c>
      <c r="AZ361" s="4">
        <f t="shared" si="148"/>
        <v>30</v>
      </c>
      <c r="BA361" s="4">
        <f t="shared" si="149"/>
        <v>11</v>
      </c>
    </row>
    <row r="362" spans="1:53" x14ac:dyDescent="0.2">
      <c r="A362" s="1" t="str">
        <f>'SegEnds_NonXtal_Prot#'!A357</f>
        <v>grm3_human</v>
      </c>
      <c r="B362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DSSMLISLTYDVILVILCTVYAFKT</v>
      </c>
      <c r="O362" s="4" t="str">
        <f t="shared" si="135"/>
        <v>EAKFIGFTMYTTCIIWLAFLPIFYV</v>
      </c>
      <c r="P362" s="4" t="str">
        <f t="shared" si="136"/>
        <v>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734</v>
      </c>
      <c r="AA362" s="5">
        <f>VLOOKUP($A362,'SegEnds_NonXtal_Prot#'!$A:$AL,30,FALSE)</f>
        <v>767</v>
      </c>
      <c r="AB362" s="5">
        <f>VLOOKUP($A362,'SegEnds_NonXtal_Prot#'!$A:$AL,33,FALSE)</f>
        <v>799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24</v>
      </c>
      <c r="AY362" s="4">
        <f t="shared" si="147"/>
        <v>24</v>
      </c>
      <c r="AZ362" s="4">
        <f t="shared" si="148"/>
        <v>30</v>
      </c>
      <c r="BA362" s="4">
        <f t="shared" si="149"/>
        <v>11</v>
      </c>
    </row>
    <row r="363" spans="1:53" x14ac:dyDescent="0.2">
      <c r="A363" s="1" t="str">
        <f>'SegEnds_NonXtal_Prot#'!A358</f>
        <v>grm4_human</v>
      </c>
      <c r="B363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DLSLICLLGYSMLLMVTCTVYAIKT</v>
      </c>
      <c r="O363" s="4" t="str">
        <f t="shared" si="135"/>
        <v>EAKPIGFTMYTTCIVWLAFIPIFFG</v>
      </c>
      <c r="P363" s="4" t="str">
        <f t="shared" si="136"/>
        <v>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750</v>
      </c>
      <c r="AA363" s="5">
        <f>VLOOKUP($A363,'SegEnds_NonXtal_Prot#'!$A:$AL,30,FALSE)</f>
        <v>783</v>
      </c>
      <c r="AB363" s="5">
        <f>VLOOKUP($A363,'SegEnds_NonXtal_Prot#'!$A:$AL,33,FALSE)</f>
        <v>818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30</v>
      </c>
      <c r="BA363" s="4">
        <f t="shared" si="149"/>
        <v>11</v>
      </c>
    </row>
    <row r="364" spans="1:53" x14ac:dyDescent="0.2">
      <c r="A364" s="1" t="str">
        <f>'SegEnds_NonXtal_Prot#'!A359</f>
        <v>grm5_human</v>
      </c>
      <c r="B364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NLGVVTPLGYNGLLILSCTFYAFKT</v>
      </c>
      <c r="O364" s="4" t="str">
        <f t="shared" si="135"/>
        <v>EAKYIAFTMYTTCIIWLAFVPIYFG</v>
      </c>
      <c r="P364" s="4" t="str">
        <f t="shared" si="136"/>
        <v>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737</v>
      </c>
      <c r="AA364" s="5">
        <f>VLOOKUP($A364,'SegEnds_NonXtal_Prot#'!$A:$AL,30,FALSE)</f>
        <v>770</v>
      </c>
      <c r="AB364" s="5">
        <f>VLOOKUP($A364,'SegEnds_NonXtal_Prot#'!$A:$AL,33,FALSE)</f>
        <v>798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24</v>
      </c>
      <c r="AY364" s="4">
        <f t="shared" si="147"/>
        <v>24</v>
      </c>
      <c r="AZ364" s="4">
        <f t="shared" si="148"/>
        <v>30</v>
      </c>
      <c r="BA364" s="4">
        <f t="shared" si="149"/>
        <v>11</v>
      </c>
    </row>
    <row r="365" spans="1:53" x14ac:dyDescent="0.2">
      <c r="A365" s="1" t="str">
        <f>'SegEnds_NonXtal_Prot#'!A360</f>
        <v>grm6_human</v>
      </c>
      <c r="B365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DLSLIGCLGYSLLLMVTCTVYAIKA</v>
      </c>
      <c r="O365" s="4" t="str">
        <f t="shared" si="135"/>
        <v>EAKPIGFTMYTTCIIWLAFVPIFFG</v>
      </c>
      <c r="P365" s="4" t="str">
        <f t="shared" si="136"/>
        <v>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748</v>
      </c>
      <c r="AA365" s="5">
        <f>VLOOKUP($A365,'SegEnds_NonXtal_Prot#'!$A:$AL,30,FALSE)</f>
        <v>781</v>
      </c>
      <c r="AB365" s="5">
        <f>VLOOKUP($A365,'SegEnds_NonXtal_Prot#'!$A:$AL,33,FALSE)</f>
        <v>816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30</v>
      </c>
      <c r="BA365" s="4">
        <f t="shared" si="149"/>
        <v>11</v>
      </c>
    </row>
    <row r="366" spans="1:53" x14ac:dyDescent="0.2">
      <c r="A366" s="1" t="str">
        <f>'SegEnds_NonXtal_Prot#'!A361</f>
        <v>grm7_human</v>
      </c>
      <c r="B366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DLQIICSLGYSILLMVTCTVYAIKT</v>
      </c>
      <c r="O366" s="4" t="str">
        <f t="shared" si="135"/>
        <v>EAKPIGFTMYTTCIVWLAFIPIFFG</v>
      </c>
      <c r="P366" s="4" t="str">
        <f t="shared" si="136"/>
        <v>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753</v>
      </c>
      <c r="AA366" s="5">
        <f>VLOOKUP($A366,'SegEnds_NonXtal_Prot#'!$A:$AL,30,FALSE)</f>
        <v>786</v>
      </c>
      <c r="AB366" s="5">
        <f>VLOOKUP($A366,'SegEnds_NonXtal_Prot#'!$A:$AL,33,FALSE)</f>
        <v>821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30</v>
      </c>
      <c r="BA366" s="4">
        <f t="shared" si="149"/>
        <v>11</v>
      </c>
    </row>
    <row r="367" spans="1:53" x14ac:dyDescent="0.2">
      <c r="A367" s="1" t="str">
        <f>'SegEnds_NonXtal_Prot#'!A362</f>
        <v>grm8_human</v>
      </c>
      <c r="B367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DLSLICSLGYSILLMVTCTVYAIKT</v>
      </c>
      <c r="O367" s="4" t="str">
        <f t="shared" si="135"/>
        <v>EAKPIGFTMYTTCIIWLAFIPIFFG</v>
      </c>
      <c r="P367" s="4" t="str">
        <f t="shared" si="136"/>
        <v>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746</v>
      </c>
      <c r="AA367" s="5">
        <f>VLOOKUP($A367,'SegEnds_NonXtal_Prot#'!$A:$AL,30,FALSE)</f>
        <v>779</v>
      </c>
      <c r="AB367" s="5">
        <f>VLOOKUP($A367,'SegEnds_NonXtal_Prot#'!$A:$AL,33,FALSE)</f>
        <v>814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24</v>
      </c>
      <c r="AY367" s="4">
        <f t="shared" si="147"/>
        <v>24</v>
      </c>
      <c r="AZ367" s="4">
        <f t="shared" si="148"/>
        <v>30</v>
      </c>
      <c r="BA367" s="4">
        <f t="shared" si="149"/>
        <v>11</v>
      </c>
    </row>
    <row r="368" spans="1:53" x14ac:dyDescent="0.2">
      <c r="A368" s="1" t="str">
        <f>'SegEnds_NonXtal_Prot#'!A364</f>
        <v>ts1r1_human</v>
      </c>
      <c r="B368" s="1" t="str">
        <f t="shared" si="125"/>
        <v>HTSWVLLAANTLLLLLLLGTAGLFAWHGGRLCFLMLGSLAAGSGSLYGFFRPACLLRQALFALGFTIFLSCLTVRSFQLIIIFQNHGAGLFVMISSAAQLLICLTWLVVWSLGFILAFLYNGLLSISAFACSYLGEAKCVTFSLLFNFVSWIAFFTTASVLPAANMMAGLSSLSSGFGGYFLPKCYVILCRPDLNSTEHFQAS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SLGFILAFLYNGLLSISAFACSYLG</v>
      </c>
      <c r="O368" s="4" t="str">
        <f t="shared" si="135"/>
        <v>EAKCVTFSLLFNFVSWIAFFTTASV</v>
      </c>
      <c r="P368" s="4" t="str">
        <f t="shared" si="136"/>
        <v>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725</v>
      </c>
      <c r="AA368" s="5">
        <f>VLOOKUP($A368,'SegEnds_NonXtal_Prot#'!$A:$AL,30,FALSE)</f>
        <v>758</v>
      </c>
      <c r="AB368" s="5">
        <f>VLOOKUP($A368,'SegEnds_NonXtal_Prot#'!$A:$AL,33,FALSE)</f>
        <v>788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24</v>
      </c>
      <c r="AY368" s="4">
        <f t="shared" si="147"/>
        <v>24</v>
      </c>
      <c r="AZ368" s="4">
        <f t="shared" si="148"/>
        <v>30</v>
      </c>
      <c r="BA368" s="4">
        <f t="shared" si="149"/>
        <v>11</v>
      </c>
    </row>
    <row r="369" spans="1:53" x14ac:dyDescent="0.2">
      <c r="A369" s="1" t="str">
        <f>'SegEnds_NonXtal_Prot#'!A365</f>
        <v>ts1r2_human</v>
      </c>
      <c r="B369" s="1" t="str">
        <f t="shared" si="125"/>
        <v>APTIAVALLAALGFLSTLAILVIFWRHGGPMCFLMLTLLLVAYMVVPVYVVSTCLCRQALFPLCFTICISCIAVRSFQIVCAFRYQGPYVSMAFITVLKMVIVVIGMLATRNSLLFNTSLDLLLSVVGFSFAYMGEAKFITLSMTFYFTSSVSLCTFMSAVTIVDLLVTVLNLLAISLGYFGPKCYMILFYPERNTPAYFNSM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RNSLLFNTSLDLLLSVVGFSFAYMG</v>
      </c>
      <c r="O369" s="4" t="str">
        <f t="shared" si="135"/>
        <v>EAKFITLSMTFYFTSSVSLCTFMSA</v>
      </c>
      <c r="P369" s="4" t="str">
        <f t="shared" si="136"/>
        <v>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725</v>
      </c>
      <c r="AA369" s="5">
        <f>VLOOKUP($A369,'SegEnds_NonXtal_Prot#'!$A:$AL,30,FALSE)</f>
        <v>758</v>
      </c>
      <c r="AB369" s="5">
        <f>VLOOKUP($A369,'SegEnds_NonXtal_Prot#'!$A:$AL,33,FALSE)</f>
        <v>788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24</v>
      </c>
      <c r="AY369" s="4">
        <f t="shared" si="147"/>
        <v>24</v>
      </c>
      <c r="AZ369" s="4">
        <f t="shared" si="148"/>
        <v>30</v>
      </c>
      <c r="BA369" s="4">
        <f t="shared" si="149"/>
        <v>11</v>
      </c>
    </row>
    <row r="370" spans="1:53" x14ac:dyDescent="0.2">
      <c r="A370" s="1" t="str">
        <f>'SegEnds_NonXtal_Prot#'!A366</f>
        <v>ts1r3_human</v>
      </c>
      <c r="B370" s="1" t="str">
        <f t="shared" si="125"/>
        <v>PAVLLLLLLLSLALGLVLAALGLFVHHGGPLACFGLVCLGLVCLSVLLFPPARCLAQQPLSHLPLTGCLSTLFLQAAEIFVESRGPWAWLVVLLAMLVEVALCTWYLVAFWVSFGLAHATNATLAFLCFLGTFLVRARGLTFAMLAYFITWVSFVPLLANRPAVQMGALLLCVLGILAAFHLPRCYLLMRQPGLNTPEFFLGG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WVSFGLAHATNATLAFLCFLGTFLV</v>
      </c>
      <c r="O370" s="4" t="str">
        <f t="shared" si="135"/>
        <v>RARGLTFAMLAYFITWVSFVPLLAN</v>
      </c>
      <c r="P370" s="4" t="str">
        <f t="shared" si="136"/>
        <v>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727</v>
      </c>
      <c r="AA370" s="5">
        <f>VLOOKUP($A370,'SegEnds_NonXtal_Prot#'!$A:$AL,30,FALSE)</f>
        <v>760</v>
      </c>
      <c r="AB370" s="5">
        <f>VLOOKUP($A370,'SegEnds_NonXtal_Prot#'!$A:$AL,33,FALSE)</f>
        <v>790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24</v>
      </c>
      <c r="AY370" s="4">
        <f t="shared" si="147"/>
        <v>24</v>
      </c>
      <c r="AZ370" s="4">
        <f t="shared" si="148"/>
        <v>30</v>
      </c>
      <c r="BA370" s="4">
        <f t="shared" si="149"/>
        <v>11</v>
      </c>
    </row>
    <row r="371" spans="1:53" x14ac:dyDescent="0.2">
      <c r="A371" s="1" t="str">
        <f>'SegEnds_NonXtal_Prot#'!A368</f>
        <v>fzd10_human</v>
      </c>
      <c r="B371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VNALTGFVLIPLACYLVIGTSFILSGFVALFHIRRVM</v>
      </c>
      <c r="O371" s="4" t="str">
        <f t="shared" si="135"/>
        <v>TDKLEKLMVRIGLFSVLYTVPATCVIACYFYERLNMDYWKILAAQHKCKMNNQTK</v>
      </c>
      <c r="P371" s="4" t="str">
        <f t="shared" si="136"/>
        <v>VEIFMVKIFMLLVVGITSGMWIW</v>
      </c>
      <c r="Q371" s="4" t="str">
        <f t="shared" si="137"/>
        <v>TSKTLQSWQQVCSRRL</v>
      </c>
      <c r="R371" s="5">
        <f>VLOOKUP($A371,'SegEnds_NonXtal_Prot#'!$A:$AL,3,FALSE)</f>
        <v>221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391</v>
      </c>
      <c r="AA371" s="5">
        <f>VLOOKUP($A371,'SegEnds_NonXtal_Prot#'!$A:$AL,30,FALSE)</f>
        <v>434</v>
      </c>
      <c r="AB371" s="5">
        <f>VLOOKUP($A371,'SegEnds_NonXtal_Prot#'!$A:$AL,33,FALSE)</f>
        <v>501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31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36</v>
      </c>
      <c r="AY371" s="4">
        <f t="shared" si="147"/>
        <v>54</v>
      </c>
      <c r="AZ371" s="4">
        <f t="shared" si="148"/>
        <v>22</v>
      </c>
      <c r="BA371" s="4">
        <f t="shared" si="149"/>
        <v>15</v>
      </c>
    </row>
    <row r="372" spans="1:53" x14ac:dyDescent="0.2">
      <c r="A372" s="1" t="str">
        <f>'SegEnds_NonXtal_Prot#'!A369</f>
        <v>fzd2_human</v>
      </c>
      <c r="B372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LDPLRGFVLAPLFVYLFIGTSFLLAGFVSLFRIRTIM</v>
      </c>
      <c r="O372" s="4" t="str">
        <f t="shared" si="135"/>
        <v>TEKLERLMVRIGVFSVLYTVPATIVIACYFYEQAFREHWERSWVSQHCKSLAIPC</v>
      </c>
      <c r="P372" s="4" t="str">
        <f t="shared" si="136"/>
        <v>FTVYMIKYLMTLIVGITSGFWIW</v>
      </c>
      <c r="Q372" s="4" t="str">
        <f t="shared" si="137"/>
        <v>SGKTLHSWRKFYTRLT</v>
      </c>
      <c r="R372" s="5">
        <f>VLOOKUP($A372,'SegEnds_NonXtal_Prot#'!$A:$AL,3,FALSE)</f>
        <v>238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409</v>
      </c>
      <c r="AA372" s="5">
        <f>VLOOKUP($A372,'SegEnds_NonXtal_Prot#'!$A:$AL,30,FALSE)</f>
        <v>452</v>
      </c>
      <c r="AB372" s="5">
        <f>VLOOKUP($A372,'SegEnds_NonXtal_Prot#'!$A:$AL,33,FALSE)</f>
        <v>518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31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36</v>
      </c>
      <c r="AY372" s="4">
        <f t="shared" si="147"/>
        <v>54</v>
      </c>
      <c r="AZ372" s="4">
        <f t="shared" si="148"/>
        <v>22</v>
      </c>
      <c r="BA372" s="4">
        <f t="shared" si="149"/>
        <v>15</v>
      </c>
    </row>
    <row r="373" spans="1:53" x14ac:dyDescent="0.2">
      <c r="A373" s="1" t="str">
        <f>'SegEnds_NonXtal_Prot#'!A370</f>
        <v>fzd3_human</v>
      </c>
      <c r="B373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VDALRYFVLAPLCLYVVVGVSLLLAGIISLNRVRIEI</v>
      </c>
      <c r="O373" s="4" t="str">
        <f t="shared" si="135"/>
        <v>QDKLVKFMIRIGVFSILYLVPLLVVIGCYFYEQAYRGIWETTWIQERCREYHIPC</v>
      </c>
      <c r="P373" s="4" t="str">
        <f t="shared" si="136"/>
        <v>LILFLMKYLMALIVGIPSVFWVG</v>
      </c>
      <c r="Q373" s="4" t="str">
        <f t="shared" si="137"/>
        <v>SKKTCFEWASFFHGRR</v>
      </c>
      <c r="R373" s="5">
        <f>VLOOKUP($A373,'SegEnds_NonXtal_Prot#'!$A:$AL,3,FALSE)</f>
        <v>196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368</v>
      </c>
      <c r="AA373" s="5">
        <f>VLOOKUP($A373,'SegEnds_NonXtal_Prot#'!$A:$AL,30,FALSE)</f>
        <v>411</v>
      </c>
      <c r="AB373" s="5">
        <f>VLOOKUP($A373,'SegEnds_NonXtal_Prot#'!$A:$AL,33,FALSE)</f>
        <v>477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31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36</v>
      </c>
      <c r="AY373" s="4">
        <f t="shared" si="147"/>
        <v>54</v>
      </c>
      <c r="AZ373" s="4">
        <f t="shared" si="148"/>
        <v>22</v>
      </c>
      <c r="BA373" s="4">
        <f t="shared" si="149"/>
        <v>15</v>
      </c>
    </row>
    <row r="374" spans="1:53" x14ac:dyDescent="0.2">
      <c r="A374" s="1" t="str">
        <f>'SegEnds_NonXtal_Prot#'!A371</f>
        <v>fzd4_human</v>
      </c>
      <c r="B374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LDALTGFVVAPLFTYLVIGTLFIAAGLVALFKIRSNL</v>
      </c>
      <c r="O374" s="4" t="str">
        <f t="shared" si="135"/>
        <v>TDKLERLMVKIGVFSVLYTVPATCVIACYFYEISNWALFRYSA</v>
      </c>
      <c r="P374" s="4" t="str">
        <f t="shared" si="136"/>
        <v>MAVEMLKIFMSLLVGITSGMWIW</v>
      </c>
      <c r="Q374" s="4" t="str">
        <f t="shared" si="137"/>
        <v>SAKTLHTWQKCSNRLV</v>
      </c>
      <c r="R374" s="5">
        <f>VLOOKUP($A374,'SegEnds_NonXtal_Prot#'!$A:$AL,3,FALSE)</f>
        <v>213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384</v>
      </c>
      <c r="AA374" s="5">
        <f>VLOOKUP($A374,'SegEnds_NonXtal_Prot#'!$A:$AL,30,FALSE)</f>
        <v>427</v>
      </c>
      <c r="AB374" s="5">
        <f>VLOOKUP($A374,'SegEnds_NonXtal_Prot#'!$A:$AL,33,FALSE)</f>
        <v>474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31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36</v>
      </c>
      <c r="AY374" s="4">
        <f t="shared" si="147"/>
        <v>42</v>
      </c>
      <c r="AZ374" s="4">
        <f t="shared" si="148"/>
        <v>22</v>
      </c>
      <c r="BA374" s="4">
        <f t="shared" si="149"/>
        <v>15</v>
      </c>
    </row>
    <row r="375" spans="1:53" x14ac:dyDescent="0.2">
      <c r="A375" s="1" t="str">
        <f>'SegEnds_NonXtal_Prot#'!A372</f>
        <v>fzd5_human</v>
      </c>
      <c r="B375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LNSLRGFVLGPLVLYLLVGTLFLLAGFVSLFRIRSVI</v>
      </c>
      <c r="O375" s="4" t="str">
        <f t="shared" si="135"/>
        <v>TDKLEKLMIRIGIFTLLYTVPASIVVACYLYEQHYRESWEAALTCACPGHDTGQP</v>
      </c>
      <c r="P375" s="4" t="str">
        <f t="shared" si="136"/>
        <v>YWVLMLKYFMCLVVGITSGVWIW</v>
      </c>
      <c r="Q375" s="4" t="str">
        <f t="shared" si="137"/>
        <v>SGKTVESWRRFTSRCC</v>
      </c>
      <c r="R375" s="5">
        <f>VLOOKUP($A375,'SegEnds_NonXtal_Prot#'!$A:$AL,3,FALSE)</f>
        <v>229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397</v>
      </c>
      <c r="AA375" s="5">
        <f>VLOOKUP($A375,'SegEnds_NonXtal_Prot#'!$A:$AL,30,FALSE)</f>
        <v>440</v>
      </c>
      <c r="AB375" s="5">
        <f>VLOOKUP($A375,'SegEnds_NonXtal_Prot#'!$A:$AL,33,FALSE)</f>
        <v>500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31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36</v>
      </c>
      <c r="AY375" s="4">
        <f t="shared" si="147"/>
        <v>54</v>
      </c>
      <c r="AZ375" s="4">
        <f t="shared" si="148"/>
        <v>22</v>
      </c>
      <c r="BA375" s="4">
        <f t="shared" si="149"/>
        <v>15</v>
      </c>
    </row>
    <row r="376" spans="1:53" x14ac:dyDescent="0.2">
      <c r="A376" s="1" t="str">
        <f>'SegEnds_NonXtal_Prot#'!A373</f>
        <v>fzd6_human</v>
      </c>
      <c r="B376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LDASRYFVLLPLCLCVFVGLSLLLAGIISLNHVRQVI</v>
      </c>
      <c r="O376" s="4" t="str">
        <f t="shared" si="135"/>
        <v>QEKLKKFMIRIGVFSGLYLVPLVTLLGCYVYEQVNRITWEITWVSDHCRQYHIPC</v>
      </c>
      <c r="P376" s="4" t="str">
        <f t="shared" si="136"/>
        <v>LALFMIKYLMTLIVGISAVFWVG</v>
      </c>
      <c r="Q376" s="4" t="str">
        <f t="shared" si="137"/>
        <v>SKKTCTEWAGFFKRNR</v>
      </c>
      <c r="R376" s="5">
        <f>VLOOKUP($A376,'SegEnds_NonXtal_Prot#'!$A:$AL,3,FALSE)</f>
        <v>192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364</v>
      </c>
      <c r="AA376" s="5">
        <f>VLOOKUP($A376,'SegEnds_NonXtal_Prot#'!$A:$AL,30,FALSE)</f>
        <v>407</v>
      </c>
      <c r="AB376" s="5">
        <f>VLOOKUP($A376,'SegEnds_NonXtal_Prot#'!$A:$AL,33,FALSE)</f>
        <v>473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31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36</v>
      </c>
      <c r="AY376" s="4">
        <f t="shared" si="147"/>
        <v>54</v>
      </c>
      <c r="AZ376" s="4">
        <f t="shared" si="148"/>
        <v>22</v>
      </c>
      <c r="BA376" s="4">
        <f t="shared" si="149"/>
        <v>15</v>
      </c>
    </row>
    <row r="377" spans="1:53" x14ac:dyDescent="0.2">
      <c r="A377" s="1" t="str">
        <f>'SegEnds_NonXtal_Prot#'!A374</f>
        <v>fzd7_human</v>
      </c>
      <c r="B377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VDALRGFVLAPLFVYLFIGTSFLLAGFVSLFRIRTIM</v>
      </c>
      <c r="O377" s="4" t="str">
        <f t="shared" si="135"/>
        <v>TEKLEKLMVRIGVFSVLYTVPATIVLACYFYEQAFREHWERTWLLQTCKSYAVPC</v>
      </c>
      <c r="P377" s="4" t="str">
        <f t="shared" si="136"/>
        <v>FTVFMIKYLMTMIVGITTGFWIW</v>
      </c>
      <c r="Q377" s="4" t="str">
        <f t="shared" si="137"/>
        <v>SGKTLQSWRRFYHRLS</v>
      </c>
      <c r="R377" s="5">
        <f>VLOOKUP($A377,'SegEnds_NonXtal_Prot#'!$A:$AL,3,FALSE)</f>
        <v>247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418</v>
      </c>
      <c r="AA377" s="5">
        <f>VLOOKUP($A377,'SegEnds_NonXtal_Prot#'!$A:$AL,30,FALSE)</f>
        <v>461</v>
      </c>
      <c r="AB377" s="5">
        <f>VLOOKUP($A377,'SegEnds_NonXtal_Prot#'!$A:$AL,33,FALSE)</f>
        <v>527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31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36</v>
      </c>
      <c r="AY377" s="4">
        <f t="shared" si="147"/>
        <v>54</v>
      </c>
      <c r="AZ377" s="4">
        <f t="shared" si="148"/>
        <v>22</v>
      </c>
      <c r="BA377" s="4">
        <f t="shared" si="149"/>
        <v>15</v>
      </c>
    </row>
    <row r="378" spans="1:53" x14ac:dyDescent="0.2">
      <c r="A378" s="1" t="str">
        <f>'SegEnds_NonXtal_Prot#'!A375</f>
        <v>fzd8_human</v>
      </c>
      <c r="B378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LDNLRGFVLAPLVIYLFIGTMFLLAGFVSLFRIRSVI</v>
      </c>
      <c r="O378" s="4" t="str">
        <f t="shared" si="135"/>
        <v>THKLEKLMIRLGLFTVLYTVPAAVVVACLFYEQHNRPRWEATHNCPCLRDLQPDQ</v>
      </c>
      <c r="P378" s="4" t="str">
        <f t="shared" si="136"/>
        <v>YAVFMLKYFMCLVVGITSGVWVW</v>
      </c>
      <c r="Q378" s="4" t="str">
        <f t="shared" si="137"/>
        <v>SGKTLESWRSLCTRCC</v>
      </c>
      <c r="R378" s="5">
        <f>VLOOKUP($A378,'SegEnds_NonXtal_Prot#'!$A:$AL,3,FALSE)</f>
        <v>271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478</v>
      </c>
      <c r="AA378" s="5">
        <f>VLOOKUP($A378,'SegEnds_NonXtal_Prot#'!$A:$AL,30,FALSE)</f>
        <v>523</v>
      </c>
      <c r="AB378" s="5">
        <f>VLOOKUP($A378,'SegEnds_NonXtal_Prot#'!$A:$AL,33,FALSE)</f>
        <v>583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31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36</v>
      </c>
      <c r="AY378" s="4">
        <f t="shared" si="147"/>
        <v>54</v>
      </c>
      <c r="AZ378" s="4">
        <f t="shared" si="148"/>
        <v>22</v>
      </c>
      <c r="BA378" s="4">
        <f t="shared" si="149"/>
        <v>15</v>
      </c>
    </row>
    <row r="379" spans="1:53" x14ac:dyDescent="0.2">
      <c r="A379" s="1" t="str">
        <f>'SegEnds_NonXtal_Prot#'!A376</f>
        <v>fzd9_human</v>
      </c>
      <c r="B379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AAALTGFVLVPLSGYLVLGSSFLLTGFVALFHIRKIM</v>
      </c>
      <c r="O379" s="4" t="str">
        <f t="shared" si="135"/>
        <v>TEKLEKLMVKIGVFSILYTVPATCVIVCYVYERLNMDFWRLRATEQPCAAAAGPG</v>
      </c>
      <c r="P379" s="4" t="str">
        <f t="shared" si="136"/>
        <v>VAVFMLKIFMSLVVGITSGVWVW</v>
      </c>
      <c r="Q379" s="4" t="str">
        <f t="shared" si="137"/>
        <v>SSKTFQTWQSLCYRKI</v>
      </c>
      <c r="R379" s="5">
        <f>VLOOKUP($A379,'SegEnds_NonXtal_Prot#'!$A:$AL,3,FALSE)</f>
        <v>225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395</v>
      </c>
      <c r="AA379" s="5">
        <f>VLOOKUP($A379,'SegEnds_NonXtal_Prot#'!$A:$AL,30,FALSE)</f>
        <v>438</v>
      </c>
      <c r="AB379" s="5">
        <f>VLOOKUP($A379,'SegEnds_NonXtal_Prot#'!$A:$AL,33,FALSE)</f>
        <v>507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31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36</v>
      </c>
      <c r="AY379" s="4">
        <f t="shared" si="147"/>
        <v>54</v>
      </c>
      <c r="AZ379" s="4">
        <f t="shared" si="148"/>
        <v>22</v>
      </c>
      <c r="BA379" s="4">
        <f t="shared" si="149"/>
        <v>15</v>
      </c>
    </row>
    <row r="380" spans="1:53" x14ac:dyDescent="0.2">
      <c r="A380" s="1" t="str">
        <f>'SegEnds_NonXtal_Prot#'!A378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'SegEnds_NonXtal_Prot#'!A377</f>
        <v>smo_human</v>
      </c>
      <c r="B381" s="1" t="str">
        <f t="shared" si="125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YRYRAGFVLAPIGLVLIVGGYFLIRGVMTLFSIKSNH</v>
      </c>
      <c r="O381" s="4" t="str">
        <f t="shared" si="135"/>
        <v>ASKINETMLRLGIFGFLAFGFVLITFSCHFYDFFNQAEWERSFRDYVLCQANVTI</v>
      </c>
      <c r="P381" s="4" t="str">
        <f t="shared" si="136"/>
        <v>LLVEKINLFAMFGTGIAMSTWVW</v>
      </c>
      <c r="Q381" s="4" t="str">
        <f t="shared" si="137"/>
        <v>TKATLLIWRRTWCRLT</v>
      </c>
      <c r="R381" s="5">
        <f>VLOOKUP($A381,'SegEnds_NonXtal_Prot#'!$A:$AL,3,FALSE)</f>
        <v>224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397</v>
      </c>
      <c r="AA381" s="5">
        <f>VLOOKUP($A381,'SegEnds_NonXtal_Prot#'!$A:$AL,30,FALSE)</f>
        <v>442</v>
      </c>
      <c r="AB381" s="5">
        <f>VLOOKUP($A381,'SegEnds_NonXtal_Prot#'!$A:$AL,33,FALSE)</f>
        <v>515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31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36</v>
      </c>
      <c r="AY381" s="4">
        <f t="shared" si="147"/>
        <v>54</v>
      </c>
      <c r="AZ381" s="4">
        <f t="shared" si="148"/>
        <v>22</v>
      </c>
      <c r="BA381" s="4">
        <f t="shared" si="149"/>
        <v>15</v>
      </c>
    </row>
    <row r="382" spans="1:53" x14ac:dyDescent="0.2">
      <c r="A382" s="1" t="str">
        <f>'SegEnds_NonXtal_Prot#'!A380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'SegEnds_NonXtal_Prot#'!A381</f>
        <v>gp157_human</v>
      </c>
      <c r="B383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VPSERAVVLLSCALSALGSGLLVATHALW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11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28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'SegEnds_NonXtal_Prot#'!A379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'SegEnds_NonXtal_Prot#'!A385</f>
        <v>t2r14_human</v>
      </c>
      <c r="B387" s="1" t="str">
        <f t="shared" si="150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150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26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'SegEnds_NonXtal_Prot#'!A387</f>
        <v>t2r19_human</v>
      </c>
      <c r="B389" s="1" t="str">
        <f t="shared" si="150"/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KRIKSVVLVILLGPLVFLICNLAVITMDERVW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154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31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'SegEnds_NonXtal_Prot#'!A388</f>
        <v>t2r20_human</v>
      </c>
      <c r="B390" s="1" t="str">
        <f t="shared" si="15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149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26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'SegEnds_NonXtal_Prot#'!A389</f>
        <v>t2r30_human</v>
      </c>
      <c r="B391" s="1" t="str">
        <f t="shared" si="15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149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26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'SegEnds_NonXtal_Prot#'!A390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'SegEnds_NonXtal_Prot#'!A393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'SegEnds_NonXtal_Prot#'!A396</f>
        <v>t2r43_human</v>
      </c>
      <c r="B397" s="1" t="str">
        <f t="shared" si="15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RRVKSVILVMLLGPLLFLACHLFVINM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149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26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'SegEnds_NonXtal_Prot#'!A397</f>
        <v>t2r45_human</v>
      </c>
      <c r="B398" s="1" t="str">
        <f t="shared" si="15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149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26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'SegEnds_NonXtal_Prot#'!A399</f>
        <v>t2r50_human</v>
      </c>
      <c r="B399" s="1" t="str">
        <f t="shared" si="15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RRVRSVILVILLGTLIFLVCHLLVAN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148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25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'SegEnds_NonXtal_Prot#'!A405</f>
        <v>ta2r7_human</v>
      </c>
      <c r="B405" s="1" t="str">
        <f t="shared" si="15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WRIDRVISWILLGCVVLSVFISLPATE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150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26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'SegEnds_NonXtal_Prot#'!A406</f>
        <v>ta2r8_human</v>
      </c>
      <c r="B406" s="1" t="str">
        <f t="shared" si="15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WKIDMVVHWILLGCFAISLLVSLIAAI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150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26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2" priority="2" operator="equal">
      <formula>FALSE</formula>
    </cfRule>
  </conditionalFormatting>
  <conditionalFormatting sqref="G2:G407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2017-09-11T08:45:21Z</dcterms:modified>
  <cp:category/>
  <cp:contentStatus/>
</cp:coreProperties>
</file>