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880" yWindow="460" windowWidth="3252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'SegEnds_Xtal_Prot#'!$A$1:$CT$373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xtal_templates_6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'SegEnds_Xtal_Prot#'!$A$1:$CT$373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1" i="1" l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I197" i="5"/>
  <c r="I196" i="5"/>
  <c r="I198" i="5"/>
  <c r="T259" i="1"/>
  <c r="T260" i="1"/>
  <c r="T261" i="1"/>
  <c r="T262" i="1"/>
  <c r="T263" i="1"/>
  <c r="T264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1" i="2"/>
  <c r="B163" i="4"/>
  <c r="D163" i="4"/>
  <c r="E191" i="5"/>
  <c r="D30" i="2"/>
  <c r="B232" i="4"/>
  <c r="D232" i="4"/>
  <c r="E196" i="5"/>
  <c r="AC72" i="2"/>
  <c r="AD72" i="2"/>
  <c r="AE72" i="2"/>
  <c r="H71" i="2"/>
  <c r="H163" i="4"/>
  <c r="K191" i="5"/>
  <c r="H30" i="2"/>
  <c r="H232" i="4"/>
  <c r="K196" i="5"/>
  <c r="AF72" i="2"/>
  <c r="AG72" i="2"/>
  <c r="AH72" i="2"/>
  <c r="AI72" i="2"/>
  <c r="AJ72" i="2"/>
  <c r="AK72" i="2"/>
  <c r="M71" i="2"/>
  <c r="M163" i="4"/>
  <c r="R191" i="5"/>
  <c r="L71" i="2"/>
  <c r="L163" i="4"/>
  <c r="Q191" i="5"/>
  <c r="M30" i="2"/>
  <c r="M232" i="4"/>
  <c r="R196" i="5"/>
  <c r="L30" i="2"/>
  <c r="L232" i="4"/>
  <c r="Q196" i="5"/>
  <c r="AL72" i="2"/>
  <c r="AM72" i="2"/>
  <c r="AV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X220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T220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09" i="1"/>
  <c r="A209" i="1"/>
  <c r="D209" i="1"/>
  <c r="F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71" i="2"/>
  <c r="C71" i="2"/>
  <c r="E71" i="2"/>
  <c r="F71" i="2"/>
  <c r="G71" i="2"/>
  <c r="I71" i="2"/>
  <c r="J71" i="2"/>
  <c r="K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0" i="2"/>
  <c r="B162" i="4"/>
  <c r="D162" i="4"/>
  <c r="E190" i="5"/>
  <c r="D39" i="2"/>
  <c r="AC71" i="2"/>
  <c r="AD71" i="2"/>
  <c r="AE71" i="2"/>
  <c r="H70" i="2"/>
  <c r="H162" i="4"/>
  <c r="K190" i="5"/>
  <c r="H39" i="2"/>
  <c r="AF71" i="2"/>
  <c r="AG71" i="2"/>
  <c r="AH71" i="2"/>
  <c r="AI71" i="2"/>
  <c r="AJ71" i="2"/>
  <c r="AK71" i="2"/>
  <c r="M70" i="2"/>
  <c r="M162" i="4"/>
  <c r="R190" i="5"/>
  <c r="L70" i="2"/>
  <c r="L162" i="4"/>
  <c r="Q190" i="5"/>
  <c r="M39" i="2"/>
  <c r="L39" i="2"/>
  <c r="AL71" i="2"/>
  <c r="AM71" i="2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C201" i="1"/>
  <c r="BC202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A202" i="1"/>
  <c r="BB202" i="1"/>
  <c r="S70" i="2"/>
  <c r="S162" i="4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213" i="1"/>
  <c r="C70" i="2"/>
  <c r="E70" i="2"/>
  <c r="F70" i="2"/>
  <c r="G70" i="2"/>
  <c r="I70" i="2"/>
  <c r="J70" i="2"/>
  <c r="K70" i="2"/>
  <c r="N70" i="2"/>
  <c r="O70" i="2"/>
  <c r="P70" i="2"/>
  <c r="Q70" i="2"/>
  <c r="R70" i="2"/>
  <c r="T70" i="2"/>
  <c r="U70" i="2"/>
  <c r="V70" i="2"/>
  <c r="W70" i="2"/>
  <c r="X70" i="2"/>
  <c r="Y70" i="2"/>
  <c r="Z70" i="2"/>
  <c r="AA70" i="2"/>
  <c r="AB70" i="2"/>
  <c r="D69" i="2"/>
  <c r="B260" i="4"/>
  <c r="D260" i="4"/>
  <c r="E43" i="5"/>
  <c r="D57" i="2"/>
  <c r="AC70" i="2"/>
  <c r="AD70" i="2"/>
  <c r="AE70" i="2"/>
  <c r="H69" i="2"/>
  <c r="H260" i="4"/>
  <c r="K43" i="5"/>
  <c r="H57" i="2"/>
  <c r="AF70" i="2"/>
  <c r="AG70" i="2"/>
  <c r="AH70" i="2"/>
  <c r="AI70" i="2"/>
  <c r="AJ70" i="2"/>
  <c r="AK70" i="2"/>
  <c r="M69" i="2"/>
  <c r="M260" i="4"/>
  <c r="R43" i="5"/>
  <c r="L69" i="2"/>
  <c r="L260" i="4"/>
  <c r="Q43" i="5"/>
  <c r="L57" i="2"/>
  <c r="AL70" i="2"/>
  <c r="AM70" i="2"/>
  <c r="AH200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J200" i="1"/>
  <c r="AL200" i="1"/>
  <c r="AN200" i="1"/>
  <c r="AP200" i="1"/>
  <c r="AR200" i="1"/>
  <c r="AT200" i="1"/>
  <c r="AV200" i="1"/>
  <c r="AX200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T201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C69" i="2"/>
  <c r="E69" i="2"/>
  <c r="F69" i="2"/>
  <c r="G69" i="2"/>
  <c r="I69" i="2"/>
  <c r="J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203" i="4"/>
  <c r="D203" i="4"/>
  <c r="E91" i="5"/>
  <c r="D9" i="2"/>
  <c r="AC69" i="2"/>
  <c r="AD69" i="2"/>
  <c r="AE69" i="2"/>
  <c r="L91" i="5"/>
  <c r="K91" i="5"/>
  <c r="H9" i="2"/>
  <c r="AF69" i="2"/>
  <c r="AG69" i="2"/>
  <c r="AH69" i="2"/>
  <c r="AI69" i="2"/>
  <c r="AJ69" i="2"/>
  <c r="O91" i="5"/>
  <c r="N91" i="5"/>
  <c r="AK69" i="2"/>
  <c r="L68" i="2"/>
  <c r="L203" i="4"/>
  <c r="Q91" i="5"/>
  <c r="M9" i="2"/>
  <c r="L9" i="2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203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52" i="2"/>
  <c r="D374" i="4"/>
  <c r="E374" i="5"/>
  <c r="AC68" i="2"/>
  <c r="AD68" i="2"/>
  <c r="AE68" i="2"/>
  <c r="I67" i="2"/>
  <c r="I52" i="2"/>
  <c r="I374" i="4"/>
  <c r="L374" i="5"/>
  <c r="H67" i="2"/>
  <c r="H52" i="2"/>
  <c r="H374" i="4"/>
  <c r="K374" i="5"/>
  <c r="AF68" i="2"/>
  <c r="AG68" i="2"/>
  <c r="AH68" i="2"/>
  <c r="AI68" i="2"/>
  <c r="AJ68" i="2"/>
  <c r="K67" i="2"/>
  <c r="K52" i="2"/>
  <c r="K374" i="4"/>
  <c r="O374" i="5"/>
  <c r="J67" i="2"/>
  <c r="J52" i="2"/>
  <c r="J374" i="4"/>
  <c r="N374" i="5"/>
  <c r="AK68" i="2"/>
  <c r="M67" i="2"/>
  <c r="M52" i="2"/>
  <c r="M374" i="4"/>
  <c r="R374" i="5"/>
  <c r="L67" i="2"/>
  <c r="L52" i="2"/>
  <c r="L374" i="4"/>
  <c r="Q374" i="5"/>
  <c r="AL68" i="2"/>
  <c r="AM68" i="2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6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V67" i="2"/>
  <c r="V52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157" i="4"/>
  <c r="E157" i="4"/>
  <c r="F240" i="5"/>
  <c r="D66" i="2"/>
  <c r="D157" i="4"/>
  <c r="E240" i="5"/>
  <c r="AC67" i="2"/>
  <c r="I240" i="5"/>
  <c r="F66" i="2"/>
  <c r="F157" i="4"/>
  <c r="H240" i="5"/>
  <c r="AD67" i="2"/>
  <c r="AE67" i="2"/>
  <c r="K240" i="5"/>
  <c r="AF67" i="2"/>
  <c r="AG67" i="2"/>
  <c r="AH67" i="2"/>
  <c r="AI67" i="2"/>
  <c r="AJ67" i="2"/>
  <c r="AK67" i="2"/>
  <c r="M66" i="2"/>
  <c r="M157" i="4"/>
  <c r="R240" i="5"/>
  <c r="L66" i="2"/>
  <c r="L157" i="4"/>
  <c r="Q240" i="5"/>
  <c r="AL67" i="2"/>
  <c r="AM67" i="2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N7" i="2"/>
  <c r="B255" i="4"/>
  <c r="N40" i="2"/>
  <c r="N255" i="4"/>
  <c r="B251" i="4"/>
  <c r="N39" i="2"/>
  <c r="N251" i="4"/>
  <c r="N226" i="5"/>
  <c r="L226" i="5"/>
  <c r="J44" i="2"/>
  <c r="B105" i="4"/>
  <c r="J7" i="2"/>
  <c r="J105" i="4"/>
  <c r="W15" i="2"/>
  <c r="B166" i="4"/>
  <c r="W166" i="4"/>
  <c r="W18" i="2"/>
  <c r="W32" i="2"/>
  <c r="B116" i="4"/>
  <c r="W116" i="4"/>
  <c r="B144" i="4"/>
  <c r="W144" i="4"/>
  <c r="B159" i="4"/>
  <c r="W159" i="4"/>
  <c r="W20" i="2"/>
  <c r="W40" i="2"/>
  <c r="B190" i="4"/>
  <c r="W39" i="2"/>
  <c r="W190" i="4"/>
  <c r="W19" i="2"/>
  <c r="W28" i="2"/>
  <c r="B211" i="4"/>
  <c r="W211" i="4"/>
  <c r="B97" i="4"/>
  <c r="W44" i="2"/>
  <c r="W97" i="4"/>
  <c r="W56" i="2"/>
  <c r="B11" i="4"/>
  <c r="W11" i="4"/>
  <c r="W61" i="2"/>
  <c r="B12" i="4"/>
  <c r="W12" i="4"/>
  <c r="B13" i="4"/>
  <c r="W13" i="4"/>
  <c r="B131" i="4"/>
  <c r="W35" i="2"/>
  <c r="W31" i="2"/>
  <c r="W131" i="4"/>
  <c r="B132" i="4"/>
  <c r="W132" i="4"/>
  <c r="W9" i="2"/>
  <c r="B226" i="4"/>
  <c r="W226" i="4"/>
  <c r="W34" i="2"/>
  <c r="B136" i="4"/>
  <c r="W136" i="4"/>
  <c r="W43" i="2"/>
  <c r="B88" i="4"/>
  <c r="W88" i="4"/>
  <c r="W29" i="2"/>
  <c r="B140" i="4"/>
  <c r="W140" i="4"/>
  <c r="B142" i="4"/>
  <c r="W142" i="4"/>
  <c r="B165" i="4"/>
  <c r="W165" i="4"/>
  <c r="B123" i="4"/>
  <c r="W123" i="4"/>
  <c r="W8" i="2"/>
  <c r="B135" i="4"/>
  <c r="W7" i="2"/>
  <c r="W135" i="4"/>
  <c r="B137" i="4"/>
  <c r="W137" i="4"/>
  <c r="W33" i="2"/>
  <c r="B138" i="4"/>
  <c r="W138" i="4"/>
  <c r="B4" i="4"/>
  <c r="W4" i="4"/>
  <c r="B272" i="4"/>
  <c r="W272" i="4"/>
  <c r="W2" i="2"/>
  <c r="B34" i="4"/>
  <c r="W34" i="4"/>
  <c r="W25" i="2"/>
  <c r="B155" i="4"/>
  <c r="W155" i="4"/>
  <c r="B242" i="4"/>
  <c r="W242" i="4"/>
  <c r="B279" i="4"/>
  <c r="W279" i="4"/>
  <c r="B92" i="4"/>
  <c r="W92" i="4"/>
  <c r="W4" i="2"/>
  <c r="B84" i="4"/>
  <c r="W84" i="4"/>
  <c r="B221" i="4"/>
  <c r="W22" i="2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W30" i="2"/>
  <c r="B161" i="4"/>
  <c r="W161" i="4"/>
  <c r="W57" i="2"/>
  <c r="W162" i="4"/>
  <c r="W163" i="4"/>
  <c r="B145" i="4"/>
  <c r="W145" i="4"/>
  <c r="W63" i="2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W16" i="2"/>
  <c r="B124" i="4"/>
  <c r="W24" i="2"/>
  <c r="W124" i="4"/>
  <c r="B247" i="4"/>
  <c r="W247" i="4"/>
  <c r="B253" i="4"/>
  <c r="W253" i="4"/>
  <c r="B171" i="4"/>
  <c r="W171" i="4"/>
  <c r="B133" i="4"/>
  <c r="W133" i="4"/>
  <c r="B134" i="4"/>
  <c r="W134" i="4"/>
  <c r="W105" i="4"/>
  <c r="W65" i="2"/>
  <c r="B261" i="4"/>
  <c r="W261" i="4"/>
  <c r="B168" i="4"/>
  <c r="W168" i="4"/>
  <c r="S63" i="2"/>
  <c r="S7" i="2"/>
  <c r="S168" i="4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61" i="4"/>
  <c r="F226" i="5"/>
  <c r="D65" i="2"/>
  <c r="D7" i="2"/>
  <c r="D261" i="4"/>
  <c r="E226" i="5"/>
  <c r="E64" i="2"/>
  <c r="D64" i="2"/>
  <c r="AC66" i="2"/>
  <c r="I226" i="5"/>
  <c r="F65" i="2"/>
  <c r="F7" i="2"/>
  <c r="F261" i="4"/>
  <c r="H226" i="5"/>
  <c r="F64" i="2"/>
  <c r="AD66" i="2"/>
  <c r="AE66" i="2"/>
  <c r="I65" i="2"/>
  <c r="I7" i="2"/>
  <c r="I261" i="4"/>
  <c r="H65" i="2"/>
  <c r="H7" i="2"/>
  <c r="H261" i="4"/>
  <c r="K226" i="5"/>
  <c r="L240" i="5"/>
  <c r="AF66" i="2"/>
  <c r="AG66" i="2"/>
  <c r="AH66" i="2"/>
  <c r="AI66" i="2"/>
  <c r="AJ66" i="2"/>
  <c r="O226" i="5"/>
  <c r="J65" i="2"/>
  <c r="J261" i="4"/>
  <c r="AK66" i="2"/>
  <c r="M65" i="2"/>
  <c r="M7" i="2"/>
  <c r="M261" i="4"/>
  <c r="R226" i="5"/>
  <c r="L65" i="2"/>
  <c r="L7" i="2"/>
  <c r="L261" i="4"/>
  <c r="Q226" i="5"/>
  <c r="M64" i="2"/>
  <c r="L64" i="2"/>
  <c r="AL66" i="2"/>
  <c r="AM66" i="2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61" i="2"/>
  <c r="C42" i="4"/>
  <c r="C171" i="5"/>
  <c r="D61" i="2"/>
  <c r="D42" i="4"/>
  <c r="E171" i="5"/>
  <c r="K171" i="5"/>
  <c r="L61" i="2"/>
  <c r="L42" i="4"/>
  <c r="Q171" i="5"/>
  <c r="M61" i="2"/>
  <c r="M42" i="4"/>
  <c r="R171" i="5"/>
  <c r="T171" i="5"/>
  <c r="U171" i="5"/>
  <c r="P61" i="2"/>
  <c r="P42" i="4"/>
  <c r="W171" i="5"/>
  <c r="Q61" i="2"/>
  <c r="Q42" i="4"/>
  <c r="X171" i="5"/>
  <c r="S61" i="2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61" i="2"/>
  <c r="X42" i="4"/>
  <c r="AI171" i="5"/>
  <c r="Y61" i="2"/>
  <c r="Y42" i="4"/>
  <c r="AJ171" i="5"/>
  <c r="Z61" i="2"/>
  <c r="Z42" i="4"/>
  <c r="AL171" i="5"/>
  <c r="AN171" i="5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8" i="4"/>
  <c r="E280" i="5"/>
  <c r="E9" i="2"/>
  <c r="AC65" i="2"/>
  <c r="F9" i="2"/>
  <c r="AD65" i="2"/>
  <c r="AE65" i="2"/>
  <c r="H63" i="2"/>
  <c r="H168" i="4"/>
  <c r="K280" i="5"/>
  <c r="I9" i="2"/>
  <c r="AF65" i="2"/>
  <c r="AG65" i="2"/>
  <c r="AH65" i="2"/>
  <c r="AI65" i="2"/>
  <c r="AJ65" i="2"/>
  <c r="J9" i="2"/>
  <c r="AK65" i="2"/>
  <c r="M63" i="2"/>
  <c r="M168" i="4"/>
  <c r="R280" i="5"/>
  <c r="L63" i="2"/>
  <c r="L168" i="4"/>
  <c r="Q280" i="5"/>
  <c r="AL65" i="2"/>
  <c r="AM65" i="2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3" i="4"/>
  <c r="D313" i="4"/>
  <c r="E310" i="5"/>
  <c r="AC63" i="2"/>
  <c r="AD63" i="2"/>
  <c r="AE63" i="2"/>
  <c r="I62" i="2"/>
  <c r="I313" i="4"/>
  <c r="L310" i="5"/>
  <c r="K310" i="5"/>
  <c r="AF63" i="2"/>
  <c r="AG63" i="2"/>
  <c r="AH63" i="2"/>
  <c r="AI63" i="2"/>
  <c r="AJ63" i="2"/>
  <c r="O310" i="5"/>
  <c r="J62" i="2"/>
  <c r="J313" i="4"/>
  <c r="N310" i="5"/>
  <c r="AK63" i="2"/>
  <c r="M62" i="2"/>
  <c r="M313" i="4"/>
  <c r="R310" i="5"/>
  <c r="L62" i="2"/>
  <c r="L313" i="4"/>
  <c r="Q310" i="5"/>
  <c r="AL63" i="2"/>
  <c r="AM63" i="2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44" i="4"/>
  <c r="E44" i="4"/>
  <c r="F222" i="5"/>
  <c r="D44" i="4"/>
  <c r="E222" i="5"/>
  <c r="D48" i="2"/>
  <c r="AC62" i="2"/>
  <c r="I222" i="5"/>
  <c r="F61" i="2"/>
  <c r="F44" i="4"/>
  <c r="H222" i="5"/>
  <c r="AD62" i="2"/>
  <c r="AE62" i="2"/>
  <c r="H61" i="2"/>
  <c r="H44" i="4"/>
  <c r="K222" i="5"/>
  <c r="I48" i="2"/>
  <c r="AF62" i="2"/>
  <c r="AG62" i="2"/>
  <c r="AH62" i="2"/>
  <c r="AI62" i="2"/>
  <c r="AJ62" i="2"/>
  <c r="J48" i="2"/>
  <c r="AK62" i="2"/>
  <c r="M44" i="4"/>
  <c r="R222" i="5"/>
  <c r="L44" i="4"/>
  <c r="Q222" i="5"/>
  <c r="M48" i="2"/>
  <c r="L48" i="2"/>
  <c r="AL62" i="2"/>
  <c r="AM62" i="2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X7" i="2"/>
  <c r="X44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45" i="4"/>
  <c r="D45" i="4"/>
  <c r="E298" i="5"/>
  <c r="D45" i="2"/>
  <c r="AC60" i="2"/>
  <c r="AD60" i="2"/>
  <c r="AE60" i="2"/>
  <c r="I59" i="2"/>
  <c r="I45" i="4"/>
  <c r="L298" i="5"/>
  <c r="K298" i="5"/>
  <c r="I45" i="2"/>
  <c r="AF60" i="2"/>
  <c r="AG60" i="2"/>
  <c r="AH60" i="2"/>
  <c r="AI60" i="2"/>
  <c r="AJ60" i="2"/>
  <c r="O298" i="5"/>
  <c r="J59" i="2"/>
  <c r="J45" i="4"/>
  <c r="N298" i="5"/>
  <c r="J45" i="2"/>
  <c r="AK60" i="2"/>
  <c r="M59" i="2"/>
  <c r="M45" i="4"/>
  <c r="R298" i="5"/>
  <c r="L59" i="2"/>
  <c r="L45" i="4"/>
  <c r="Q298" i="5"/>
  <c r="M45" i="2"/>
  <c r="L45" i="2"/>
  <c r="AL60" i="2"/>
  <c r="AM60" i="2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7" i="4"/>
  <c r="U47" i="2"/>
  <c r="U307" i="4"/>
  <c r="AD308" i="5"/>
  <c r="T47" i="2"/>
  <c r="T307" i="4"/>
  <c r="AC308" i="5"/>
  <c r="E7" i="13"/>
  <c r="C7" i="13"/>
  <c r="B7" i="13"/>
  <c r="A6" i="13"/>
  <c r="H6" i="13"/>
  <c r="G6" i="13"/>
  <c r="F6" i="13"/>
  <c r="B305" i="4"/>
  <c r="U48" i="2"/>
  <c r="U305" i="4"/>
  <c r="AD306" i="5"/>
  <c r="T48" i="2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47" i="4"/>
  <c r="C59" i="2"/>
  <c r="C47" i="4"/>
  <c r="C45" i="4"/>
  <c r="C298" i="5"/>
  <c r="D23" i="2"/>
  <c r="D47" i="4"/>
  <c r="H298" i="5"/>
  <c r="I298" i="5"/>
  <c r="I23" i="2"/>
  <c r="I47" i="4"/>
  <c r="J23" i="2"/>
  <c r="J47" i="4"/>
  <c r="L23" i="2"/>
  <c r="L47" i="4"/>
  <c r="M23" i="2"/>
  <c r="M47" i="4"/>
  <c r="N23" i="2"/>
  <c r="N59" i="2"/>
  <c r="N47" i="4"/>
  <c r="N45" i="4"/>
  <c r="T298" i="5"/>
  <c r="O23" i="2"/>
  <c r="O59" i="2"/>
  <c r="O47" i="4"/>
  <c r="O45" i="4"/>
  <c r="U298" i="5"/>
  <c r="P23" i="2"/>
  <c r="P59" i="2"/>
  <c r="P47" i="4"/>
  <c r="P45" i="4"/>
  <c r="W298" i="5"/>
  <c r="Q23" i="2"/>
  <c r="Q59" i="2"/>
  <c r="Q47" i="4"/>
  <c r="Q45" i="4"/>
  <c r="X298" i="5"/>
  <c r="Z298" i="5"/>
  <c r="S23" i="2"/>
  <c r="S59" i="2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23" i="2"/>
  <c r="X59" i="2"/>
  <c r="X47" i="4"/>
  <c r="X45" i="4"/>
  <c r="AI298" i="5"/>
  <c r="Y23" i="2"/>
  <c r="Y59" i="2"/>
  <c r="Y47" i="4"/>
  <c r="Y45" i="4"/>
  <c r="AJ298" i="5"/>
  <c r="Z23" i="2"/>
  <c r="Z59" i="2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45" i="4"/>
  <c r="F23" i="2"/>
  <c r="F59" i="2"/>
  <c r="F45" i="4"/>
  <c r="R23" i="2"/>
  <c r="R59" i="2"/>
  <c r="R45" i="4"/>
  <c r="AA45" i="4"/>
  <c r="AB45" i="4"/>
  <c r="AC45" i="4"/>
  <c r="AD45" i="4"/>
  <c r="AE45" i="4"/>
  <c r="AF45" i="4"/>
  <c r="AG45" i="4"/>
  <c r="AH45" i="4"/>
  <c r="AJ45" i="4"/>
  <c r="AK45" i="4"/>
  <c r="AL45" i="4"/>
  <c r="G59" i="2"/>
  <c r="H59" i="2"/>
  <c r="K59" i="2"/>
  <c r="T59" i="2"/>
  <c r="U59" i="2"/>
  <c r="V59" i="2"/>
  <c r="W59" i="2"/>
  <c r="AA59" i="2"/>
  <c r="AB59" i="2"/>
  <c r="E58" i="2"/>
  <c r="B113" i="4"/>
  <c r="E113" i="4"/>
  <c r="F230" i="5"/>
  <c r="D58" i="2"/>
  <c r="D113" i="4"/>
  <c r="E230" i="5"/>
  <c r="AC59" i="2"/>
  <c r="I230" i="5"/>
  <c r="F58" i="2"/>
  <c r="F113" i="4"/>
  <c r="H230" i="5"/>
  <c r="AD59" i="2"/>
  <c r="AE59" i="2"/>
  <c r="H58" i="2"/>
  <c r="H113" i="4"/>
  <c r="K230" i="5"/>
  <c r="AF59" i="2"/>
  <c r="AG59" i="2"/>
  <c r="AH59" i="2"/>
  <c r="AI59" i="2"/>
  <c r="AJ59" i="2"/>
  <c r="AK59" i="2"/>
  <c r="M58" i="2"/>
  <c r="M113" i="4"/>
  <c r="R230" i="5"/>
  <c r="L58" i="2"/>
  <c r="L113" i="4"/>
  <c r="Q230" i="5"/>
  <c r="AL59" i="2"/>
  <c r="AM59" i="2"/>
  <c r="D411" i="9"/>
  <c r="E411" i="9"/>
  <c r="F411" i="9"/>
  <c r="G411" i="9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C124" i="7"/>
  <c r="D124" i="7"/>
  <c r="E124" i="7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171" i="4"/>
  <c r="E287" i="5"/>
  <c r="E42" i="2"/>
  <c r="D42" i="2"/>
  <c r="AC58" i="2"/>
  <c r="F42" i="2"/>
  <c r="AD58" i="2"/>
  <c r="AE58" i="2"/>
  <c r="H17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1" i="4"/>
  <c r="R287" i="5"/>
  <c r="L171" i="4"/>
  <c r="Q287" i="5"/>
  <c r="M42" i="2"/>
  <c r="L42" i="2"/>
  <c r="AL58" i="2"/>
  <c r="AM58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9" i="4"/>
  <c r="E19" i="4"/>
  <c r="F78" i="5"/>
  <c r="D56" i="2"/>
  <c r="D19" i="4"/>
  <c r="E78" i="5"/>
  <c r="D40" i="2"/>
  <c r="F287" i="5"/>
  <c r="AC57" i="2"/>
  <c r="I78" i="5"/>
  <c r="F56" i="2"/>
  <c r="F19" i="4"/>
  <c r="H78" i="5"/>
  <c r="H287" i="5"/>
  <c r="I287" i="5"/>
  <c r="AD57" i="2"/>
  <c r="AE57" i="2"/>
  <c r="H56" i="2"/>
  <c r="H1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" i="4"/>
  <c r="R78" i="5"/>
  <c r="L56" i="2"/>
  <c r="L19" i="4"/>
  <c r="Q78" i="5"/>
  <c r="M40" i="2"/>
  <c r="L40" i="2"/>
  <c r="AL57" i="2"/>
  <c r="AM57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X54" i="2"/>
  <c r="B114" i="4"/>
  <c r="X114" i="4"/>
  <c r="X56" i="2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46" i="4"/>
  <c r="E20" i="5"/>
  <c r="E18" i="2"/>
  <c r="D18" i="2"/>
  <c r="AC56" i="2"/>
  <c r="F18" i="2"/>
  <c r="AD56" i="2"/>
  <c r="AE56" i="2"/>
  <c r="H55" i="2"/>
  <c r="H46" i="4"/>
  <c r="K20" i="5"/>
  <c r="H18" i="2"/>
  <c r="L78" i="5"/>
  <c r="AF56" i="2"/>
  <c r="AG56" i="2"/>
  <c r="AH56" i="2"/>
  <c r="AI56" i="2"/>
  <c r="AJ56" i="2"/>
  <c r="N78" i="5"/>
  <c r="O78" i="5"/>
  <c r="AK56" i="2"/>
  <c r="M55" i="2"/>
  <c r="M46" i="4"/>
  <c r="R20" i="5"/>
  <c r="L55" i="2"/>
  <c r="L46" i="4"/>
  <c r="Q20" i="5"/>
  <c r="M18" i="2"/>
  <c r="L18" i="2"/>
  <c r="AL56" i="2"/>
  <c r="AM56" i="2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S51" i="2"/>
  <c r="B350" i="4"/>
  <c r="S350" i="4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19" i="4"/>
  <c r="H219" i="4"/>
  <c r="S9" i="2"/>
  <c r="B268" i="4"/>
  <c r="S8" i="2"/>
  <c r="S268" i="4"/>
  <c r="N30" i="2"/>
  <c r="B263" i="4"/>
  <c r="N263" i="4"/>
  <c r="N9" i="2"/>
  <c r="N25" i="2"/>
  <c r="N16" i="2"/>
  <c r="N21" i="2"/>
  <c r="N5" i="2"/>
  <c r="N8" i="2"/>
  <c r="N18" i="2"/>
  <c r="N44" i="2"/>
  <c r="N261" i="4"/>
  <c r="B256" i="4"/>
  <c r="N256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274" i="4"/>
  <c r="D274" i="4"/>
  <c r="E44" i="5"/>
  <c r="D268" i="4"/>
  <c r="E45" i="5"/>
  <c r="F45" i="5"/>
  <c r="AC9" i="2"/>
  <c r="H45" i="5"/>
  <c r="I45" i="5"/>
  <c r="AD9" i="2"/>
  <c r="AE9" i="2"/>
  <c r="H8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8" i="2"/>
  <c r="M274" i="4"/>
  <c r="R44" i="5"/>
  <c r="L8" i="2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89" i="4"/>
  <c r="S5" i="2"/>
  <c r="S289" i="4"/>
  <c r="S42" i="2"/>
  <c r="S16" i="2"/>
  <c r="B269" i="4"/>
  <c r="S269" i="4"/>
  <c r="S17" i="2"/>
  <c r="B254" i="4"/>
  <c r="S254" i="4"/>
  <c r="B244" i="4"/>
  <c r="S244" i="4"/>
  <c r="S12" i="2"/>
  <c r="B298" i="4"/>
  <c r="S298" i="4"/>
  <c r="S10" i="2"/>
  <c r="B293" i="4"/>
  <c r="S293" i="4"/>
  <c r="B296" i="4"/>
  <c r="S296" i="4"/>
  <c r="S11" i="2"/>
  <c r="B287" i="4"/>
  <c r="S287" i="4"/>
  <c r="S13" i="2"/>
  <c r="B291" i="4"/>
  <c r="S291" i="4"/>
  <c r="B297" i="4"/>
  <c r="S297" i="4"/>
  <c r="S256" i="4"/>
  <c r="B231" i="4"/>
  <c r="S231" i="4"/>
  <c r="B276" i="4"/>
  <c r="S276" i="4"/>
  <c r="N4" i="2"/>
  <c r="N289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82" i="4"/>
  <c r="D282" i="4"/>
  <c r="E262" i="5"/>
  <c r="D289" i="4"/>
  <c r="E253" i="5"/>
  <c r="F253" i="5"/>
  <c r="AC4" i="2"/>
  <c r="H253" i="5"/>
  <c r="I253" i="5"/>
  <c r="AD4" i="2"/>
  <c r="AE4" i="2"/>
  <c r="H5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5" i="2"/>
  <c r="M282" i="4"/>
  <c r="R262" i="5"/>
  <c r="L5" i="2"/>
  <c r="L282" i="4"/>
  <c r="Q262" i="5"/>
  <c r="M289" i="4"/>
  <c r="R253" i="5"/>
  <c r="L289" i="4"/>
  <c r="Q253" i="5"/>
  <c r="AL4" i="2"/>
  <c r="AM4" i="2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107" i="4"/>
  <c r="M107" i="4"/>
  <c r="M24" i="2"/>
  <c r="B20" i="4"/>
  <c r="M20" i="4"/>
  <c r="B125" i="4"/>
  <c r="N125" i="4"/>
  <c r="N19" i="2"/>
  <c r="N24" i="2"/>
  <c r="N20" i="4"/>
  <c r="N3" i="2"/>
  <c r="B50" i="4"/>
  <c r="N50" i="4"/>
  <c r="B22" i="4"/>
  <c r="N22" i="4"/>
  <c r="B23" i="4"/>
  <c r="N23" i="4"/>
  <c r="B51" i="4"/>
  <c r="N51" i="4"/>
  <c r="B91" i="4"/>
  <c r="N91" i="4"/>
  <c r="N32" i="2"/>
  <c r="B76" i="4"/>
  <c r="N76" i="4"/>
  <c r="N20" i="2"/>
  <c r="B115" i="4"/>
  <c r="N115" i="4"/>
  <c r="B36" i="4"/>
  <c r="N22" i="2"/>
  <c r="N36" i="4"/>
  <c r="B37" i="4"/>
  <c r="N37" i="4"/>
  <c r="B110" i="4"/>
  <c r="N110" i="4"/>
  <c r="N43" i="2"/>
  <c r="B128" i="4"/>
  <c r="N128" i="4"/>
  <c r="B224" i="4"/>
  <c r="N224" i="4"/>
  <c r="N232" i="4"/>
  <c r="B239" i="4"/>
  <c r="N239" i="4"/>
  <c r="N41" i="2"/>
  <c r="B77" i="4"/>
  <c r="N77" i="4"/>
  <c r="B117" i="4"/>
  <c r="N117" i="4"/>
  <c r="B103" i="4"/>
  <c r="N103" i="4"/>
  <c r="N42" i="2"/>
  <c r="N113" i="4"/>
  <c r="B16" i="4"/>
  <c r="N16" i="4"/>
  <c r="B90" i="4"/>
  <c r="N90" i="4"/>
  <c r="O41" i="2"/>
  <c r="O103" i="4"/>
  <c r="O55" i="2"/>
  <c r="O46" i="4"/>
  <c r="O3" i="2"/>
  <c r="O24" i="2"/>
  <c r="O16" i="4"/>
  <c r="N55" i="2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114" i="4"/>
  <c r="C55" i="2"/>
  <c r="C46" i="4"/>
  <c r="C20" i="5"/>
  <c r="D54" i="2"/>
  <c r="D114" i="4"/>
  <c r="F20" i="5"/>
  <c r="H20" i="5"/>
  <c r="I20" i="5"/>
  <c r="H54" i="2"/>
  <c r="H114" i="4"/>
  <c r="L20" i="5"/>
  <c r="N20" i="5"/>
  <c r="O20" i="5"/>
  <c r="L54" i="2"/>
  <c r="L114" i="4"/>
  <c r="M54" i="2"/>
  <c r="M114" i="4"/>
  <c r="N54" i="2"/>
  <c r="N114" i="4"/>
  <c r="T20" i="5"/>
  <c r="O54" i="2"/>
  <c r="O114" i="4"/>
  <c r="U20" i="5"/>
  <c r="P54" i="2"/>
  <c r="P114" i="4"/>
  <c r="P55" i="2"/>
  <c r="P46" i="4"/>
  <c r="W20" i="5"/>
  <c r="Q54" i="2"/>
  <c r="Q114" i="4"/>
  <c r="Q55" i="2"/>
  <c r="Q46" i="4"/>
  <c r="X20" i="5"/>
  <c r="R54" i="2"/>
  <c r="R114" i="4"/>
  <c r="R55" i="2"/>
  <c r="R46" i="4"/>
  <c r="Z20" i="5"/>
  <c r="S54" i="2"/>
  <c r="S114" i="4"/>
  <c r="S55" i="2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55" i="2"/>
  <c r="X46" i="4"/>
  <c r="AI20" i="5"/>
  <c r="Y54" i="2"/>
  <c r="Y114" i="4"/>
  <c r="Y55" i="2"/>
  <c r="Y46" i="4"/>
  <c r="AJ20" i="5"/>
  <c r="Z54" i="2"/>
  <c r="Z114" i="4"/>
  <c r="Z55" i="2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46" i="4"/>
  <c r="F54" i="2"/>
  <c r="F55" i="2"/>
  <c r="F46" i="4"/>
  <c r="I54" i="2"/>
  <c r="I55" i="2"/>
  <c r="I46" i="4"/>
  <c r="J54" i="2"/>
  <c r="J55" i="2"/>
  <c r="J46" i="4"/>
  <c r="K54" i="2"/>
  <c r="K55" i="2"/>
  <c r="K46" i="4"/>
  <c r="AA46" i="4"/>
  <c r="AC46" i="4"/>
  <c r="AD46" i="4"/>
  <c r="AE46" i="4"/>
  <c r="AF46" i="4"/>
  <c r="AG46" i="4"/>
  <c r="AH46" i="4"/>
  <c r="AJ46" i="4"/>
  <c r="AL4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D347" i="9"/>
  <c r="E347" i="9"/>
  <c r="F347" i="9"/>
  <c r="G347" i="9"/>
  <c r="C125" i="7"/>
  <c r="D125" i="7"/>
  <c r="E125" i="7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X29" i="2"/>
  <c r="B201" i="4"/>
  <c r="X201" i="4"/>
  <c r="N29" i="2"/>
  <c r="N201" i="4"/>
  <c r="X30" i="2"/>
  <c r="B280" i="4"/>
  <c r="X16" i="2"/>
  <c r="X12" i="2"/>
  <c r="X280" i="4"/>
  <c r="Q21" i="2"/>
  <c r="N38" i="2"/>
  <c r="B150" i="4"/>
  <c r="N150" i="4"/>
  <c r="N36" i="2"/>
  <c r="B151" i="4"/>
  <c r="N151" i="4"/>
  <c r="B148" i="4"/>
  <c r="N148" i="4"/>
  <c r="B149" i="4"/>
  <c r="N149" i="4"/>
  <c r="O28" i="2"/>
  <c r="B179" i="4"/>
  <c r="O179" i="4"/>
  <c r="B180" i="4"/>
  <c r="O180" i="4"/>
  <c r="H14" i="2"/>
  <c r="B178" i="4"/>
  <c r="O7" i="2"/>
  <c r="O178" i="4"/>
  <c r="N28" i="2"/>
  <c r="N178" i="4"/>
  <c r="Y51" i="2"/>
  <c r="B368" i="4"/>
  <c r="Y368" i="4"/>
  <c r="AJ356" i="5"/>
  <c r="Q30" i="2"/>
  <c r="Q29" i="2"/>
  <c r="Q253" i="4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V15" i="2"/>
  <c r="V8" i="2"/>
  <c r="V7" i="2"/>
  <c r="V40" i="2"/>
  <c r="V32" i="2"/>
  <c r="V39" i="2"/>
  <c r="V27" i="2"/>
  <c r="V18" i="2"/>
  <c r="V16" i="2"/>
  <c r="V21" i="2"/>
  <c r="V203" i="4"/>
  <c r="V5" i="2"/>
  <c r="V282" i="4"/>
  <c r="V6" i="2"/>
  <c r="B292" i="4"/>
  <c r="V292" i="4"/>
  <c r="C5" i="2"/>
  <c r="C6" i="2"/>
  <c r="C7" i="2"/>
  <c r="C292" i="4"/>
  <c r="D6" i="2"/>
  <c r="D292" i="4"/>
  <c r="E5" i="2"/>
  <c r="E6" i="2"/>
  <c r="E292" i="4"/>
  <c r="F5" i="2"/>
  <c r="F6" i="2"/>
  <c r="F292" i="4"/>
  <c r="H6" i="2"/>
  <c r="H292" i="4"/>
  <c r="I5" i="2"/>
  <c r="I6" i="2"/>
  <c r="I292" i="4"/>
  <c r="J5" i="2"/>
  <c r="J6" i="2"/>
  <c r="J292" i="4"/>
  <c r="L6" i="2"/>
  <c r="L292" i="4"/>
  <c r="M6" i="2"/>
  <c r="M292" i="4"/>
  <c r="N6" i="2"/>
  <c r="N292" i="4"/>
  <c r="O5" i="2"/>
  <c r="O6" i="2"/>
  <c r="O292" i="4"/>
  <c r="P5" i="2"/>
  <c r="P6" i="2"/>
  <c r="P7" i="2"/>
  <c r="P292" i="4"/>
  <c r="Q5" i="2"/>
  <c r="Q6" i="2"/>
  <c r="Q7" i="2"/>
  <c r="Q292" i="4"/>
  <c r="R5" i="2"/>
  <c r="R6" i="2"/>
  <c r="R7" i="2"/>
  <c r="R292" i="4"/>
  <c r="AI292" i="4"/>
  <c r="T292" i="4" a="1"/>
  <c r="T292" i="4"/>
  <c r="U292" i="4" a="1"/>
  <c r="U292" i="4"/>
  <c r="X5" i="2"/>
  <c r="X6" i="2"/>
  <c r="X292" i="4"/>
  <c r="Y5" i="2"/>
  <c r="Y6" i="2"/>
  <c r="Y7" i="2"/>
  <c r="Y292" i="4"/>
  <c r="Z5" i="2"/>
  <c r="Z6" i="2"/>
  <c r="Z7" i="2"/>
  <c r="Z292" i="4"/>
  <c r="AA292" i="4"/>
  <c r="AC292" i="4"/>
  <c r="AD292" i="4"/>
  <c r="AE292" i="4"/>
  <c r="AF292" i="4"/>
  <c r="AG292" i="4"/>
  <c r="AH292" i="4"/>
  <c r="AJ292" i="4"/>
  <c r="AL292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0" i="4"/>
  <c r="C19" i="5"/>
  <c r="D28" i="2"/>
  <c r="D180" i="4"/>
  <c r="F19" i="5"/>
  <c r="H19" i="5"/>
  <c r="I19" i="5"/>
  <c r="H28" i="2"/>
  <c r="H180" i="4"/>
  <c r="O19" i="5"/>
  <c r="L28" i="2"/>
  <c r="L180" i="4"/>
  <c r="M28" i="2"/>
  <c r="M180" i="4"/>
  <c r="T19" i="5"/>
  <c r="U19" i="5"/>
  <c r="P28" i="2"/>
  <c r="P180" i="4"/>
  <c r="W19" i="5"/>
  <c r="Q28" i="2"/>
  <c r="Q180" i="4"/>
  <c r="X19" i="5"/>
  <c r="R28" i="2"/>
  <c r="R180" i="4"/>
  <c r="Z19" i="5"/>
  <c r="S28" i="2"/>
  <c r="S180" i="4"/>
  <c r="AA19" i="5"/>
  <c r="AI180" i="4"/>
  <c r="T180" i="4" a="1"/>
  <c r="T180" i="4"/>
  <c r="AC19" i="5"/>
  <c r="U180" i="4" a="1"/>
  <c r="U180" i="4"/>
  <c r="AD19" i="5"/>
  <c r="AF19" i="5"/>
  <c r="AG19" i="5"/>
  <c r="X28" i="2"/>
  <c r="X180" i="4"/>
  <c r="AI19" i="5"/>
  <c r="Y28" i="2"/>
  <c r="Y180" i="4"/>
  <c r="AJ19" i="5"/>
  <c r="Z28" i="2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114" i="4"/>
  <c r="F28" i="2"/>
  <c r="F114" i="4"/>
  <c r="I28" i="2"/>
  <c r="I114" i="4"/>
  <c r="J28" i="2"/>
  <c r="J114" i="4"/>
  <c r="K28" i="2"/>
  <c r="K114" i="4"/>
  <c r="AA114" i="4"/>
  <c r="AC114" i="4"/>
  <c r="AD114" i="4"/>
  <c r="AE114" i="4"/>
  <c r="AF114" i="4"/>
  <c r="AG114" i="4"/>
  <c r="AH114" i="4"/>
  <c r="AJ114" i="4"/>
  <c r="AL11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D346" i="9"/>
  <c r="E346" i="9"/>
  <c r="F346" i="9"/>
  <c r="G346" i="9"/>
  <c r="C123" i="7"/>
  <c r="E123" i="7"/>
  <c r="D123" i="7"/>
  <c r="AG3" i="5"/>
  <c r="AF3" i="5"/>
  <c r="C39" i="2"/>
  <c r="B176" i="4"/>
  <c r="C176" i="4"/>
  <c r="C3" i="5"/>
  <c r="D176" i="4"/>
  <c r="E3" i="5"/>
  <c r="H176" i="4"/>
  <c r="K3" i="5"/>
  <c r="L176" i="4"/>
  <c r="Q3" i="5"/>
  <c r="M176" i="4"/>
  <c r="R3" i="5"/>
  <c r="T3" i="5"/>
  <c r="O39" i="2"/>
  <c r="O176" i="4"/>
  <c r="U3" i="5"/>
  <c r="P39" i="2"/>
  <c r="P176" i="4"/>
  <c r="W3" i="5"/>
  <c r="Q39" i="2"/>
  <c r="Q176" i="4"/>
  <c r="X3" i="5"/>
  <c r="S39" i="2"/>
  <c r="S176" i="4"/>
  <c r="AA3" i="5"/>
  <c r="AI176" i="4"/>
  <c r="T176" i="4" a="1"/>
  <c r="T176" i="4"/>
  <c r="AC3" i="5"/>
  <c r="U176" i="4" a="1"/>
  <c r="U176" i="4"/>
  <c r="AD3" i="5"/>
  <c r="X39" i="2"/>
  <c r="X176" i="4"/>
  <c r="AI3" i="5"/>
  <c r="Y39" i="2"/>
  <c r="Y176" i="4"/>
  <c r="AJ3" i="5"/>
  <c r="Z39" i="2"/>
  <c r="Z176" i="4"/>
  <c r="AL3" i="5"/>
  <c r="F3" i="5"/>
  <c r="L3" i="5"/>
  <c r="N3" i="5"/>
  <c r="O3" i="5"/>
  <c r="H3" i="5"/>
  <c r="I3" i="5"/>
  <c r="Z3" i="5"/>
  <c r="AN3" i="5"/>
  <c r="O4" i="5"/>
  <c r="H27" i="2"/>
  <c r="B270" i="4"/>
  <c r="H270" i="4"/>
  <c r="K4" i="5"/>
  <c r="AG4" i="5"/>
  <c r="AF4" i="5"/>
  <c r="C27" i="2"/>
  <c r="C270" i="4"/>
  <c r="C4" i="5"/>
  <c r="D27" i="2"/>
  <c r="D270" i="4"/>
  <c r="E4" i="5"/>
  <c r="I27" i="2"/>
  <c r="I270" i="4"/>
  <c r="L4" i="5"/>
  <c r="J27" i="2"/>
  <c r="J270" i="4"/>
  <c r="N4" i="5"/>
  <c r="L27" i="2"/>
  <c r="L270" i="4"/>
  <c r="Q4" i="5"/>
  <c r="M27" i="2"/>
  <c r="M270" i="4"/>
  <c r="R4" i="5"/>
  <c r="T4" i="5"/>
  <c r="O27" i="2"/>
  <c r="O270" i="4"/>
  <c r="U4" i="5"/>
  <c r="W4" i="5"/>
  <c r="Q27" i="2"/>
  <c r="Q270" i="4"/>
  <c r="X4" i="5"/>
  <c r="AA4" i="5"/>
  <c r="AI270" i="4"/>
  <c r="T270" i="4" a="1"/>
  <c r="T270" i="4"/>
  <c r="AC4" i="5"/>
  <c r="U270" i="4" a="1"/>
  <c r="U270" i="4"/>
  <c r="AD4" i="5"/>
  <c r="X27" i="2"/>
  <c r="X270" i="4"/>
  <c r="AI4" i="5"/>
  <c r="Y27" i="2"/>
  <c r="Y270" i="4"/>
  <c r="AJ4" i="5"/>
  <c r="Z27" i="2"/>
  <c r="Z270" i="4"/>
  <c r="AL4" i="5"/>
  <c r="F4" i="5"/>
  <c r="H4" i="5"/>
  <c r="I4" i="5"/>
  <c r="Z4" i="5"/>
  <c r="AN4" i="5"/>
  <c r="AG5" i="5"/>
  <c r="AF5" i="5"/>
  <c r="C16" i="2"/>
  <c r="C226" i="4"/>
  <c r="C5" i="5"/>
  <c r="D16" i="2"/>
  <c r="D226" i="4"/>
  <c r="E5" i="5"/>
  <c r="E27" i="2"/>
  <c r="E16" i="2"/>
  <c r="E226" i="4"/>
  <c r="F5" i="5"/>
  <c r="F27" i="2"/>
  <c r="F16" i="2"/>
  <c r="F226" i="4"/>
  <c r="H5" i="5"/>
  <c r="I5" i="5"/>
  <c r="H16" i="2"/>
  <c r="H226" i="4"/>
  <c r="K5" i="5"/>
  <c r="L16" i="2"/>
  <c r="L226" i="4"/>
  <c r="Q5" i="5"/>
  <c r="M16" i="2"/>
  <c r="M226" i="4"/>
  <c r="R5" i="5"/>
  <c r="T5" i="5"/>
  <c r="U5" i="5"/>
  <c r="P27" i="2"/>
  <c r="P16" i="2"/>
  <c r="P226" i="4"/>
  <c r="W5" i="5"/>
  <c r="Q16" i="2"/>
  <c r="Q226" i="4"/>
  <c r="X5" i="5"/>
  <c r="S27" i="2"/>
  <c r="S226" i="4"/>
  <c r="AA5" i="5"/>
  <c r="AI226" i="4"/>
  <c r="T226" i="4" a="1"/>
  <c r="T226" i="4"/>
  <c r="AC5" i="5"/>
  <c r="U226" i="4" a="1"/>
  <c r="U226" i="4"/>
  <c r="AD5" i="5"/>
  <c r="X226" i="4"/>
  <c r="AI5" i="5"/>
  <c r="Y16" i="2"/>
  <c r="Y226" i="4"/>
  <c r="AJ5" i="5"/>
  <c r="Z16" i="2"/>
  <c r="Z226" i="4"/>
  <c r="AL5" i="5"/>
  <c r="L5" i="5"/>
  <c r="N5" i="5"/>
  <c r="O5" i="5"/>
  <c r="Z5" i="5"/>
  <c r="AN5" i="5"/>
  <c r="AG6" i="5"/>
  <c r="AF6" i="5"/>
  <c r="C40" i="2"/>
  <c r="C255" i="4"/>
  <c r="C6" i="5"/>
  <c r="D255" i="4"/>
  <c r="E6" i="5"/>
  <c r="H255" i="4"/>
  <c r="K6" i="5"/>
  <c r="L255" i="4"/>
  <c r="Q6" i="5"/>
  <c r="M255" i="4"/>
  <c r="R6" i="5"/>
  <c r="T6" i="5"/>
  <c r="O40" i="2"/>
  <c r="O255" i="4"/>
  <c r="U6" i="5"/>
  <c r="P40" i="2"/>
  <c r="P255" i="4"/>
  <c r="W6" i="5"/>
  <c r="Q40" i="2"/>
  <c r="Q255" i="4"/>
  <c r="X6" i="5"/>
  <c r="S40" i="2"/>
  <c r="S255" i="4"/>
  <c r="AA6" i="5"/>
  <c r="AD6" i="5"/>
  <c r="X40" i="2"/>
  <c r="X255" i="4"/>
  <c r="AI6" i="5"/>
  <c r="Y40" i="2"/>
  <c r="Y255" i="4"/>
  <c r="AJ6" i="5"/>
  <c r="Z40" i="2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19" i="2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19" i="2"/>
  <c r="O91" i="4"/>
  <c r="U9" i="5"/>
  <c r="P19" i="2"/>
  <c r="P91" i="4"/>
  <c r="W9" i="5"/>
  <c r="Q19" i="2"/>
  <c r="Q91" i="4"/>
  <c r="X9" i="5"/>
  <c r="S19" i="2"/>
  <c r="S91" i="4"/>
  <c r="AA9" i="5"/>
  <c r="AI91" i="4"/>
  <c r="T91" i="4" a="1"/>
  <c r="T91" i="4"/>
  <c r="AC9" i="5"/>
  <c r="U91" i="4" a="1"/>
  <c r="U91" i="4"/>
  <c r="AD9" i="5"/>
  <c r="X19" i="2"/>
  <c r="X91" i="4"/>
  <c r="AI9" i="5"/>
  <c r="Y19" i="2"/>
  <c r="Y91" i="4"/>
  <c r="AJ9" i="5"/>
  <c r="Z19" i="2"/>
  <c r="Z91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S92" i="4"/>
  <c r="AA12" i="5"/>
  <c r="P30" i="2"/>
  <c r="P92" i="4"/>
  <c r="W12" i="5"/>
  <c r="O12" i="5"/>
  <c r="K12" i="5"/>
  <c r="AG12" i="5"/>
  <c r="AF12" i="5"/>
  <c r="C30" i="2"/>
  <c r="C92" i="4"/>
  <c r="C12" i="5"/>
  <c r="D92" i="4"/>
  <c r="E12" i="5"/>
  <c r="E30" i="2"/>
  <c r="E92" i="4"/>
  <c r="F12" i="5"/>
  <c r="F30" i="2"/>
  <c r="F92" i="4"/>
  <c r="H12" i="5"/>
  <c r="I12" i="5"/>
  <c r="L92" i="4"/>
  <c r="Q12" i="5"/>
  <c r="M92" i="4"/>
  <c r="R12" i="5"/>
  <c r="T12" i="5"/>
  <c r="O30" i="2"/>
  <c r="O92" i="4"/>
  <c r="U12" i="5"/>
  <c r="Q92" i="4"/>
  <c r="X12" i="5"/>
  <c r="R30" i="2"/>
  <c r="R92" i="4"/>
  <c r="Z12" i="5"/>
  <c r="AI92" i="4"/>
  <c r="T92" i="4" a="1"/>
  <c r="T92" i="4"/>
  <c r="AC12" i="5"/>
  <c r="U92" i="4" a="1"/>
  <c r="U92" i="4"/>
  <c r="AD12" i="5"/>
  <c r="X92" i="4"/>
  <c r="AI12" i="5"/>
  <c r="Y30" i="2"/>
  <c r="Y92" i="4"/>
  <c r="AJ12" i="5"/>
  <c r="Z30" i="2"/>
  <c r="Z92" i="4"/>
  <c r="AL12" i="5"/>
  <c r="AN12" i="5"/>
  <c r="S84" i="4"/>
  <c r="AA13" i="5"/>
  <c r="P8" i="2"/>
  <c r="P84" i="4"/>
  <c r="W13" i="5"/>
  <c r="O13" i="5"/>
  <c r="K13" i="5"/>
  <c r="AG13" i="5"/>
  <c r="AF13" i="5"/>
  <c r="C8" i="2"/>
  <c r="C84" i="4"/>
  <c r="C13" i="5"/>
  <c r="D84" i="4"/>
  <c r="E13" i="5"/>
  <c r="E8" i="2"/>
  <c r="E84" i="4"/>
  <c r="F13" i="5"/>
  <c r="F8" i="2"/>
  <c r="F84" i="4"/>
  <c r="H13" i="5"/>
  <c r="I13" i="5"/>
  <c r="I8" i="2"/>
  <c r="I84" i="4"/>
  <c r="L13" i="5"/>
  <c r="J8" i="2"/>
  <c r="J84" i="4"/>
  <c r="N13" i="5"/>
  <c r="L84" i="4"/>
  <c r="Q13" i="5"/>
  <c r="M84" i="4"/>
  <c r="R13" i="5"/>
  <c r="T13" i="5"/>
  <c r="O8" i="2"/>
  <c r="O84" i="4"/>
  <c r="U13" i="5"/>
  <c r="Q8" i="2"/>
  <c r="Q84" i="4"/>
  <c r="X13" i="5"/>
  <c r="R8" i="2"/>
  <c r="R84" i="4"/>
  <c r="Z13" i="5"/>
  <c r="AI84" i="4"/>
  <c r="T84" i="4" a="1"/>
  <c r="T84" i="4"/>
  <c r="AC13" i="5"/>
  <c r="U84" i="4" a="1"/>
  <c r="U84" i="4"/>
  <c r="AD13" i="5"/>
  <c r="X8" i="2"/>
  <c r="X84" i="4"/>
  <c r="AI13" i="5"/>
  <c r="Y8" i="2"/>
  <c r="Y84" i="4"/>
  <c r="AJ13" i="5"/>
  <c r="Z8" i="2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94" i="4"/>
  <c r="C94" i="4"/>
  <c r="C15" i="5"/>
  <c r="D41" i="2"/>
  <c r="D94" i="4"/>
  <c r="E15" i="5"/>
  <c r="E41" i="2"/>
  <c r="E94" i="4"/>
  <c r="F15" i="5"/>
  <c r="F41" i="2"/>
  <c r="F94" i="4"/>
  <c r="H15" i="5"/>
  <c r="I15" i="5"/>
  <c r="K15" i="5"/>
  <c r="L41" i="2"/>
  <c r="L94" i="4"/>
  <c r="Q15" i="5"/>
  <c r="M41" i="2"/>
  <c r="M94" i="4"/>
  <c r="R15" i="5"/>
  <c r="T15" i="5"/>
  <c r="O94" i="4"/>
  <c r="U15" i="5"/>
  <c r="P41" i="2"/>
  <c r="P94" i="4"/>
  <c r="W15" i="5"/>
  <c r="Q41" i="2"/>
  <c r="Q94" i="4"/>
  <c r="X15" i="5"/>
  <c r="S41" i="2"/>
  <c r="S94" i="4"/>
  <c r="AA15" i="5"/>
  <c r="AI94" i="4"/>
  <c r="T94" i="4" a="1"/>
  <c r="T94" i="4"/>
  <c r="AC15" i="5"/>
  <c r="U94" i="4" a="1"/>
  <c r="U94" i="4"/>
  <c r="AD15" i="5"/>
  <c r="X41" i="2"/>
  <c r="X94" i="4"/>
  <c r="AI15" i="5"/>
  <c r="Y41" i="2"/>
  <c r="Y94" i="4"/>
  <c r="AJ15" i="5"/>
  <c r="Z41" i="2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3" i="4"/>
  <c r="C183" i="4"/>
  <c r="C21" i="5"/>
  <c r="D36" i="2"/>
  <c r="D183" i="4"/>
  <c r="E21" i="5"/>
  <c r="L36" i="2"/>
  <c r="L183" i="4"/>
  <c r="Q21" i="5"/>
  <c r="M36" i="2"/>
  <c r="M183" i="4"/>
  <c r="R21" i="5"/>
  <c r="T21" i="5"/>
  <c r="O36" i="2"/>
  <c r="O183" i="4"/>
  <c r="U21" i="5"/>
  <c r="P36" i="2"/>
  <c r="P183" i="4"/>
  <c r="W21" i="5"/>
  <c r="Q36" i="2"/>
  <c r="Q183" i="4"/>
  <c r="X21" i="5"/>
  <c r="S36" i="2"/>
  <c r="S183" i="4"/>
  <c r="AA21" i="5"/>
  <c r="AI183" i="4"/>
  <c r="T183" i="4" a="1"/>
  <c r="T183" i="4"/>
  <c r="AC21" i="5"/>
  <c r="U183" i="4" a="1"/>
  <c r="U183" i="4"/>
  <c r="AD21" i="5"/>
  <c r="X36" i="2"/>
  <c r="X183" i="4"/>
  <c r="AI21" i="5"/>
  <c r="Y36" i="2"/>
  <c r="Y183" i="4"/>
  <c r="AJ21" i="5"/>
  <c r="Z36" i="2"/>
  <c r="Z183" i="4"/>
  <c r="AL21" i="5"/>
  <c r="L21" i="5"/>
  <c r="N21" i="5"/>
  <c r="O21" i="5"/>
  <c r="F21" i="5"/>
  <c r="H21" i="5"/>
  <c r="I21" i="5"/>
  <c r="Z21" i="5"/>
  <c r="AN21" i="5"/>
  <c r="AG22" i="5"/>
  <c r="AF22" i="5"/>
  <c r="C38" i="2"/>
  <c r="B147" i="4"/>
  <c r="C147" i="4"/>
  <c r="C22" i="5"/>
  <c r="D38" i="2"/>
  <c r="D147" i="4"/>
  <c r="E22" i="5"/>
  <c r="H38" i="2"/>
  <c r="H147" i="4"/>
  <c r="K22" i="5"/>
  <c r="L38" i="2"/>
  <c r="L147" i="4"/>
  <c r="Q22" i="5"/>
  <c r="M38" i="2"/>
  <c r="M147" i="4"/>
  <c r="R22" i="5"/>
  <c r="T22" i="5"/>
  <c r="O38" i="2"/>
  <c r="O147" i="4"/>
  <c r="U22" i="5"/>
  <c r="P38" i="2"/>
  <c r="P147" i="4"/>
  <c r="W22" i="5"/>
  <c r="Q38" i="2"/>
  <c r="Q147" i="4"/>
  <c r="X22" i="5"/>
  <c r="S38" i="2"/>
  <c r="S147" i="4"/>
  <c r="AA22" i="5"/>
  <c r="AI147" i="4"/>
  <c r="T147" i="4" a="1"/>
  <c r="T147" i="4"/>
  <c r="AC22" i="5"/>
  <c r="U147" i="4" a="1"/>
  <c r="U147" i="4"/>
  <c r="AD22" i="5"/>
  <c r="X38" i="2"/>
  <c r="X147" i="4"/>
  <c r="AI22" i="5"/>
  <c r="Y38" i="2"/>
  <c r="Y147" i="4"/>
  <c r="AJ22" i="5"/>
  <c r="Z38" i="2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36" i="2"/>
  <c r="H148" i="4"/>
  <c r="K23" i="5"/>
  <c r="I36" i="2"/>
  <c r="I148" i="4"/>
  <c r="L23" i="5"/>
  <c r="J36" i="2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44" i="2"/>
  <c r="C105" i="4"/>
  <c r="C28" i="5"/>
  <c r="D44" i="2"/>
  <c r="D105" i="4"/>
  <c r="E28" i="5"/>
  <c r="E44" i="2"/>
  <c r="E105" i="4"/>
  <c r="F28" i="5"/>
  <c r="F44" i="2"/>
  <c r="F105" i="4"/>
  <c r="H28" i="5"/>
  <c r="I28" i="5"/>
  <c r="H44" i="2"/>
  <c r="H105" i="4"/>
  <c r="K28" i="5"/>
  <c r="L44" i="2"/>
  <c r="L105" i="4"/>
  <c r="Q28" i="5"/>
  <c r="M44" i="2"/>
  <c r="M105" i="4"/>
  <c r="R28" i="5"/>
  <c r="N105" i="4"/>
  <c r="T28" i="5"/>
  <c r="O44" i="2"/>
  <c r="O105" i="4"/>
  <c r="U28" i="5"/>
  <c r="P44" i="2"/>
  <c r="P105" i="4"/>
  <c r="W28" i="5"/>
  <c r="Q44" i="2"/>
  <c r="Q105" i="4"/>
  <c r="X28" i="5"/>
  <c r="S44" i="2"/>
  <c r="S105" i="4"/>
  <c r="AA28" i="5"/>
  <c r="AI105" i="4"/>
  <c r="T105" i="4" a="1"/>
  <c r="T105" i="4"/>
  <c r="AC28" i="5"/>
  <c r="U105" i="4" a="1"/>
  <c r="U105" i="4"/>
  <c r="AD28" i="5"/>
  <c r="X44" i="2"/>
  <c r="X105" i="4"/>
  <c r="AI28" i="5"/>
  <c r="Y44" i="2"/>
  <c r="Y105" i="4"/>
  <c r="AJ28" i="5"/>
  <c r="Z44" i="2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4" i="2"/>
  <c r="C152" i="4"/>
  <c r="C29" i="5"/>
  <c r="D14" i="2"/>
  <c r="D152" i="4"/>
  <c r="E29" i="5"/>
  <c r="I14" i="2"/>
  <c r="I152" i="4"/>
  <c r="L29" i="5"/>
  <c r="J14" i="2"/>
  <c r="J152" i="4"/>
  <c r="N29" i="5"/>
  <c r="L14" i="2"/>
  <c r="L152" i="4"/>
  <c r="Q29" i="5"/>
  <c r="M14" i="2"/>
  <c r="M152" i="4"/>
  <c r="R29" i="5"/>
  <c r="T29" i="5"/>
  <c r="O14" i="2"/>
  <c r="O152" i="4"/>
  <c r="U29" i="5"/>
  <c r="P14" i="2"/>
  <c r="P152" i="4"/>
  <c r="W29" i="5"/>
  <c r="Q14" i="2"/>
  <c r="Q152" i="4"/>
  <c r="X29" i="5"/>
  <c r="AA29" i="5"/>
  <c r="AI152" i="4"/>
  <c r="T152" i="4" a="1"/>
  <c r="T152" i="4"/>
  <c r="AC29" i="5"/>
  <c r="U152" i="4" a="1"/>
  <c r="U152" i="4"/>
  <c r="AD29" i="5"/>
  <c r="Y14" i="2"/>
  <c r="Y152" i="4"/>
  <c r="AJ29" i="5"/>
  <c r="Z14" i="2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9" i="2"/>
  <c r="S201" i="4"/>
  <c r="AA31" i="5"/>
  <c r="P29" i="2"/>
  <c r="P201" i="4"/>
  <c r="W31" i="5"/>
  <c r="AG31" i="5"/>
  <c r="AF31" i="5"/>
  <c r="C29" i="2"/>
  <c r="C201" i="4"/>
  <c r="C31" i="5"/>
  <c r="D29" i="2"/>
  <c r="D201" i="4"/>
  <c r="E31" i="5"/>
  <c r="K31" i="5"/>
  <c r="L29" i="2"/>
  <c r="L201" i="4"/>
  <c r="Q31" i="5"/>
  <c r="M29" i="2"/>
  <c r="M201" i="4"/>
  <c r="R31" i="5"/>
  <c r="T31" i="5"/>
  <c r="O29" i="2"/>
  <c r="O201" i="4"/>
  <c r="U31" i="5"/>
  <c r="Q201" i="4"/>
  <c r="X31" i="5"/>
  <c r="R29" i="2"/>
  <c r="R201" i="4"/>
  <c r="Z31" i="5"/>
  <c r="AI201" i="4"/>
  <c r="T201" i="4" a="1"/>
  <c r="T201" i="4"/>
  <c r="AC31" i="5"/>
  <c r="U201" i="4" a="1"/>
  <c r="U201" i="4"/>
  <c r="AD31" i="5"/>
  <c r="AI31" i="5"/>
  <c r="Y29" i="2"/>
  <c r="Y201" i="4"/>
  <c r="AJ31" i="5"/>
  <c r="Z29" i="2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24" i="2"/>
  <c r="C124" i="4"/>
  <c r="C35" i="5"/>
  <c r="D24" i="2"/>
  <c r="D124" i="4"/>
  <c r="E35" i="5"/>
  <c r="K35" i="5"/>
  <c r="L24" i="2"/>
  <c r="L124" i="4"/>
  <c r="Q35" i="5"/>
  <c r="M124" i="4"/>
  <c r="R35" i="5"/>
  <c r="T35" i="5"/>
  <c r="O16" i="2"/>
  <c r="O124" i="4"/>
  <c r="U35" i="5"/>
  <c r="P24" i="2"/>
  <c r="P124" i="4"/>
  <c r="W35" i="5"/>
  <c r="Q24" i="2"/>
  <c r="Q124" i="4"/>
  <c r="X35" i="5"/>
  <c r="S24" i="2"/>
  <c r="S124" i="4"/>
  <c r="AA35" i="5"/>
  <c r="AI124" i="4"/>
  <c r="T124" i="4" a="1"/>
  <c r="T124" i="4"/>
  <c r="AC35" i="5"/>
  <c r="U124" i="4" a="1"/>
  <c r="U124" i="4"/>
  <c r="AD35" i="5"/>
  <c r="AI35" i="5"/>
  <c r="Y24" i="2"/>
  <c r="Y124" i="4"/>
  <c r="AJ35" i="5"/>
  <c r="Z24" i="2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H29" i="2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4" i="2"/>
  <c r="S188" i="4"/>
  <c r="AA50" i="5"/>
  <c r="AI188" i="4"/>
  <c r="T188" i="4" a="1"/>
  <c r="T188" i="4"/>
  <c r="AC50" i="5"/>
  <c r="U188" i="4" a="1"/>
  <c r="U188" i="4"/>
  <c r="AD50" i="5"/>
  <c r="X14" i="2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C15" i="2"/>
  <c r="B202" i="4"/>
  <c r="C202" i="4"/>
  <c r="C51" i="5"/>
  <c r="D15" i="2"/>
  <c r="D202" i="4"/>
  <c r="E51" i="5"/>
  <c r="L15" i="2"/>
  <c r="L202" i="4"/>
  <c r="Q51" i="5"/>
  <c r="M15" i="2"/>
  <c r="M202" i="4"/>
  <c r="R51" i="5"/>
  <c r="N15" i="2"/>
  <c r="N202" i="4"/>
  <c r="T51" i="5"/>
  <c r="O15" i="2"/>
  <c r="O202" i="4"/>
  <c r="U51" i="5"/>
  <c r="P15" i="2"/>
  <c r="P202" i="4"/>
  <c r="W51" i="5"/>
  <c r="Q15" i="2"/>
  <c r="Q202" i="4"/>
  <c r="X51" i="5"/>
  <c r="S15" i="2"/>
  <c r="S202" i="4"/>
  <c r="AA51" i="5"/>
  <c r="AI202" i="4"/>
  <c r="T202" i="4" a="1"/>
  <c r="T202" i="4"/>
  <c r="AC51" i="5"/>
  <c r="U202" i="4" a="1"/>
  <c r="U202" i="4"/>
  <c r="AD51" i="5"/>
  <c r="X15" i="2"/>
  <c r="X202" i="4"/>
  <c r="AI51" i="5"/>
  <c r="Y15" i="2"/>
  <c r="Y202" i="4"/>
  <c r="AJ51" i="5"/>
  <c r="Z15" i="2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24" i="2"/>
  <c r="I3" i="2"/>
  <c r="I16" i="4"/>
  <c r="L54" i="5"/>
  <c r="J24" i="2"/>
  <c r="J3" i="2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24" i="2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11" i="2"/>
  <c r="C287" i="4"/>
  <c r="C55" i="5"/>
  <c r="D11" i="2"/>
  <c r="D287" i="4"/>
  <c r="E55" i="5"/>
  <c r="H11" i="2"/>
  <c r="H287" i="4"/>
  <c r="K55" i="5"/>
  <c r="L11" i="2"/>
  <c r="L287" i="4"/>
  <c r="Q55" i="5"/>
  <c r="M11" i="2"/>
  <c r="M287" i="4"/>
  <c r="R55" i="5"/>
  <c r="N11" i="2"/>
  <c r="N287" i="4"/>
  <c r="T55" i="5"/>
  <c r="O11" i="2"/>
  <c r="O287" i="4"/>
  <c r="U55" i="5"/>
  <c r="P11" i="2"/>
  <c r="P287" i="4"/>
  <c r="W55" i="5"/>
  <c r="Q11" i="2"/>
  <c r="Q287" i="4"/>
  <c r="X55" i="5"/>
  <c r="AA55" i="5"/>
  <c r="AI287" i="4"/>
  <c r="T287" i="4" a="1"/>
  <c r="T287" i="4"/>
  <c r="AC55" i="5"/>
  <c r="U287" i="4" a="1"/>
  <c r="U287" i="4"/>
  <c r="AD55" i="5"/>
  <c r="X11" i="2"/>
  <c r="X287" i="4"/>
  <c r="AI55" i="5"/>
  <c r="Y11" i="2"/>
  <c r="Y287" i="4"/>
  <c r="AJ55" i="5"/>
  <c r="Z11" i="2"/>
  <c r="Z287" i="4"/>
  <c r="AL55" i="5"/>
  <c r="L55" i="5"/>
  <c r="N55" i="5"/>
  <c r="O55" i="5"/>
  <c r="F55" i="5"/>
  <c r="H55" i="5"/>
  <c r="I55" i="5"/>
  <c r="Z55" i="5"/>
  <c r="AN55" i="5"/>
  <c r="AG56" i="5"/>
  <c r="AF56" i="5"/>
  <c r="C13" i="2"/>
  <c r="C291" i="4"/>
  <c r="C56" i="5"/>
  <c r="D13" i="2"/>
  <c r="D291" i="4"/>
  <c r="E56" i="5"/>
  <c r="H13" i="2"/>
  <c r="H291" i="4"/>
  <c r="K56" i="5"/>
  <c r="L13" i="2"/>
  <c r="L291" i="4"/>
  <c r="Q56" i="5"/>
  <c r="M13" i="2"/>
  <c r="M291" i="4"/>
  <c r="R56" i="5"/>
  <c r="N13" i="2"/>
  <c r="N291" i="4"/>
  <c r="T56" i="5"/>
  <c r="O13" i="2"/>
  <c r="O291" i="4"/>
  <c r="U56" i="5"/>
  <c r="P13" i="2"/>
  <c r="P291" i="4"/>
  <c r="W56" i="5"/>
  <c r="Q13" i="2"/>
  <c r="Q291" i="4"/>
  <c r="X56" i="5"/>
  <c r="AA56" i="5"/>
  <c r="AI291" i="4"/>
  <c r="T291" i="4" a="1"/>
  <c r="T291" i="4"/>
  <c r="AC56" i="5"/>
  <c r="U291" i="4" a="1"/>
  <c r="U291" i="4"/>
  <c r="AD56" i="5"/>
  <c r="X13" i="2"/>
  <c r="X291" i="4"/>
  <c r="AI56" i="5"/>
  <c r="Y13" i="2"/>
  <c r="Y291" i="4"/>
  <c r="AJ56" i="5"/>
  <c r="Z13" i="2"/>
  <c r="Z291" i="4"/>
  <c r="AL56" i="5"/>
  <c r="L56" i="5"/>
  <c r="N56" i="5"/>
  <c r="O56" i="5"/>
  <c r="F56" i="5"/>
  <c r="H56" i="5"/>
  <c r="I56" i="5"/>
  <c r="Z56" i="5"/>
  <c r="AN56" i="5"/>
  <c r="AG57" i="5"/>
  <c r="AF57" i="5"/>
  <c r="C12" i="2"/>
  <c r="C297" i="4"/>
  <c r="C57" i="5"/>
  <c r="D12" i="2"/>
  <c r="D297" i="4"/>
  <c r="E57" i="5"/>
  <c r="H12" i="2"/>
  <c r="H297" i="4"/>
  <c r="K57" i="5"/>
  <c r="L12" i="2"/>
  <c r="L297" i="4"/>
  <c r="Q57" i="5"/>
  <c r="M12" i="2"/>
  <c r="M297" i="4"/>
  <c r="R57" i="5"/>
  <c r="T57" i="5"/>
  <c r="U57" i="5"/>
  <c r="P12" i="2"/>
  <c r="P297" i="4"/>
  <c r="W57" i="5"/>
  <c r="Q12" i="2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12" i="2"/>
  <c r="Y297" i="4"/>
  <c r="AJ57" i="5"/>
  <c r="Z12" i="2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12" i="2"/>
  <c r="I298" i="4"/>
  <c r="L58" i="5"/>
  <c r="J12" i="2"/>
  <c r="J298" i="4"/>
  <c r="N58" i="5"/>
  <c r="O58" i="5"/>
  <c r="L298" i="4"/>
  <c r="Q58" i="5"/>
  <c r="M298" i="4"/>
  <c r="R58" i="5"/>
  <c r="N12" i="2"/>
  <c r="N298" i="4"/>
  <c r="T58" i="5"/>
  <c r="O12" i="2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10" i="2"/>
  <c r="C293" i="4"/>
  <c r="C59" i="5"/>
  <c r="D10" i="2"/>
  <c r="D293" i="4"/>
  <c r="E59" i="5"/>
  <c r="H10" i="2"/>
  <c r="H293" i="4"/>
  <c r="K59" i="5"/>
  <c r="L10" i="2"/>
  <c r="L293" i="4"/>
  <c r="Q59" i="5"/>
  <c r="M10" i="2"/>
  <c r="M293" i="4"/>
  <c r="R59" i="5"/>
  <c r="N10" i="2"/>
  <c r="N293" i="4"/>
  <c r="T59" i="5"/>
  <c r="O10" i="2"/>
  <c r="O293" i="4"/>
  <c r="U59" i="5"/>
  <c r="P10" i="2"/>
  <c r="P293" i="4"/>
  <c r="W59" i="5"/>
  <c r="Q10" i="2"/>
  <c r="Q293" i="4"/>
  <c r="X59" i="5"/>
  <c r="AA59" i="5"/>
  <c r="AI293" i="4"/>
  <c r="T293" i="4" a="1"/>
  <c r="T293" i="4"/>
  <c r="AC59" i="5"/>
  <c r="U293" i="4" a="1"/>
  <c r="U293" i="4"/>
  <c r="AD59" i="5"/>
  <c r="X10" i="2"/>
  <c r="X293" i="4"/>
  <c r="AI59" i="5"/>
  <c r="Y10" i="2"/>
  <c r="Y293" i="4"/>
  <c r="AJ59" i="5"/>
  <c r="Z10" i="2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17" i="2"/>
  <c r="C254" i="4"/>
  <c r="C69" i="5"/>
  <c r="D17" i="2"/>
  <c r="D254" i="4"/>
  <c r="E69" i="5"/>
  <c r="H17" i="2"/>
  <c r="H254" i="4"/>
  <c r="K69" i="5"/>
  <c r="I17" i="2"/>
  <c r="I254" i="4"/>
  <c r="L69" i="5"/>
  <c r="J17" i="2"/>
  <c r="J254" i="4"/>
  <c r="N69" i="5"/>
  <c r="O69" i="5"/>
  <c r="L17" i="2"/>
  <c r="L254" i="4"/>
  <c r="Q69" i="5"/>
  <c r="M17" i="2"/>
  <c r="M254" i="4"/>
  <c r="R69" i="5"/>
  <c r="N17" i="2"/>
  <c r="N254" i="4"/>
  <c r="T69" i="5"/>
  <c r="O17" i="2"/>
  <c r="O254" i="4"/>
  <c r="U69" i="5"/>
  <c r="P17" i="2"/>
  <c r="P254" i="4"/>
  <c r="W69" i="5"/>
  <c r="Q17" i="2"/>
  <c r="Q254" i="4"/>
  <c r="X69" i="5"/>
  <c r="AA69" i="5"/>
  <c r="AI254" i="4"/>
  <c r="T254" i="4" a="1"/>
  <c r="T254" i="4"/>
  <c r="AC69" i="5"/>
  <c r="AD69" i="5"/>
  <c r="X17" i="2"/>
  <c r="X254" i="4"/>
  <c r="AI69" i="5"/>
  <c r="Y17" i="2"/>
  <c r="Y254" i="4"/>
  <c r="AJ69" i="5"/>
  <c r="Z17" i="2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18" i="2"/>
  <c r="C90" i="4"/>
  <c r="C72" i="5"/>
  <c r="D90" i="4"/>
  <c r="E72" i="5"/>
  <c r="H90" i="4"/>
  <c r="K72" i="5"/>
  <c r="L90" i="4"/>
  <c r="Q72" i="5"/>
  <c r="M90" i="4"/>
  <c r="R72" i="5"/>
  <c r="T72" i="5"/>
  <c r="O18" i="2"/>
  <c r="O90" i="4"/>
  <c r="U72" i="5"/>
  <c r="P18" i="2"/>
  <c r="P90" i="4"/>
  <c r="W72" i="5"/>
  <c r="Q18" i="2"/>
  <c r="Q90" i="4"/>
  <c r="X72" i="5"/>
  <c r="S18" i="2"/>
  <c r="S90" i="4"/>
  <c r="AA72" i="5"/>
  <c r="AI90" i="4"/>
  <c r="T90" i="4" a="1"/>
  <c r="T90" i="4"/>
  <c r="AC72" i="5"/>
  <c r="U90" i="4" a="1"/>
  <c r="U90" i="4"/>
  <c r="AD72" i="5"/>
  <c r="X18" i="2"/>
  <c r="X90" i="4"/>
  <c r="AI72" i="5"/>
  <c r="Y18" i="2"/>
  <c r="Y90" i="4"/>
  <c r="AJ72" i="5"/>
  <c r="Z18" i="2"/>
  <c r="Z90" i="4"/>
  <c r="AL72" i="5"/>
  <c r="F72" i="5"/>
  <c r="H72" i="5"/>
  <c r="I72" i="5"/>
  <c r="L72" i="5"/>
  <c r="N72" i="5"/>
  <c r="O72" i="5"/>
  <c r="Z72" i="5"/>
  <c r="AN72" i="5"/>
  <c r="AG73" i="5"/>
  <c r="AF73" i="5"/>
  <c r="C20" i="2"/>
  <c r="C115" i="4"/>
  <c r="C73" i="5"/>
  <c r="D20" i="2"/>
  <c r="D115" i="4"/>
  <c r="E73" i="5"/>
  <c r="E20" i="2"/>
  <c r="E115" i="4"/>
  <c r="F73" i="5"/>
  <c r="F20" i="2"/>
  <c r="F115" i="4"/>
  <c r="H73" i="5"/>
  <c r="I73" i="5"/>
  <c r="H20" i="2"/>
  <c r="H115" i="4"/>
  <c r="K73" i="5"/>
  <c r="L20" i="2"/>
  <c r="L115" i="4"/>
  <c r="Q73" i="5"/>
  <c r="M20" i="2"/>
  <c r="M115" i="4"/>
  <c r="R73" i="5"/>
  <c r="T73" i="5"/>
  <c r="U73" i="5"/>
  <c r="P20" i="2"/>
  <c r="P115" i="4"/>
  <c r="W73" i="5"/>
  <c r="Q20" i="2"/>
  <c r="Q115" i="4"/>
  <c r="X73" i="5"/>
  <c r="S20" i="2"/>
  <c r="S115" i="4"/>
  <c r="AA73" i="5"/>
  <c r="AI115" i="4"/>
  <c r="T115" i="4" a="1"/>
  <c r="T115" i="4"/>
  <c r="AC73" i="5"/>
  <c r="U115" i="4" a="1"/>
  <c r="U115" i="4"/>
  <c r="AD73" i="5"/>
  <c r="X20" i="2"/>
  <c r="X115" i="4"/>
  <c r="AI73" i="5"/>
  <c r="Y20" i="2"/>
  <c r="Y115" i="4"/>
  <c r="AJ73" i="5"/>
  <c r="Z20" i="2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C25" i="2"/>
  <c r="B189" i="4"/>
  <c r="C189" i="4"/>
  <c r="C76" i="5"/>
  <c r="D25" i="2"/>
  <c r="D189" i="4"/>
  <c r="E76" i="5"/>
  <c r="H25" i="2"/>
  <c r="H189" i="4"/>
  <c r="K76" i="5"/>
  <c r="L25" i="2"/>
  <c r="L189" i="4"/>
  <c r="Q76" i="5"/>
  <c r="M25" i="2"/>
  <c r="M189" i="4"/>
  <c r="R76" i="5"/>
  <c r="T76" i="5"/>
  <c r="U76" i="5"/>
  <c r="P25" i="2"/>
  <c r="P189" i="4"/>
  <c r="W76" i="5"/>
  <c r="Q25" i="2"/>
  <c r="Q189" i="4"/>
  <c r="X76" i="5"/>
  <c r="S25" i="2"/>
  <c r="S189" i="4"/>
  <c r="AA76" i="5"/>
  <c r="AI189" i="4"/>
  <c r="T189" i="4" a="1"/>
  <c r="T189" i="4"/>
  <c r="AC76" i="5"/>
  <c r="U189" i="4" a="1"/>
  <c r="U189" i="4"/>
  <c r="AD76" i="5"/>
  <c r="X25" i="2"/>
  <c r="X189" i="4"/>
  <c r="AI76" i="5"/>
  <c r="Y25" i="2"/>
  <c r="Y189" i="4"/>
  <c r="AJ76" i="5"/>
  <c r="Z25" i="2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32" i="2"/>
  <c r="C49" i="4"/>
  <c r="C77" i="5"/>
  <c r="D32" i="2"/>
  <c r="D49" i="4"/>
  <c r="E77" i="5"/>
  <c r="E32" i="2"/>
  <c r="E49" i="4"/>
  <c r="F77" i="5"/>
  <c r="F32" i="2"/>
  <c r="F49" i="4"/>
  <c r="H77" i="5"/>
  <c r="I77" i="5"/>
  <c r="H32" i="2"/>
  <c r="H49" i="4"/>
  <c r="K77" i="5"/>
  <c r="L32" i="2"/>
  <c r="L49" i="4"/>
  <c r="Q77" i="5"/>
  <c r="M32" i="2"/>
  <c r="M49" i="4"/>
  <c r="R77" i="5"/>
  <c r="T77" i="5"/>
  <c r="U77" i="5"/>
  <c r="P32" i="2"/>
  <c r="P49" i="4"/>
  <c r="W77" i="5"/>
  <c r="Q32" i="2"/>
  <c r="Q49" i="4"/>
  <c r="X77" i="5"/>
  <c r="S32" i="2"/>
  <c r="S49" i="4"/>
  <c r="AA77" i="5"/>
  <c r="AI49" i="4"/>
  <c r="T49" i="4" a="1"/>
  <c r="T49" i="4"/>
  <c r="AC77" i="5"/>
  <c r="AD77" i="5"/>
  <c r="X32" i="2"/>
  <c r="X49" i="4"/>
  <c r="AI77" i="5"/>
  <c r="Y32" i="2"/>
  <c r="Y49" i="4"/>
  <c r="AJ77" i="5"/>
  <c r="Z32" i="2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41" i="2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S21" i="2"/>
  <c r="B234" i="4"/>
  <c r="S234" i="4"/>
  <c r="AA90" i="5"/>
  <c r="P21" i="2"/>
  <c r="P234" i="4"/>
  <c r="W90" i="5"/>
  <c r="K21" i="2"/>
  <c r="K7" i="2"/>
  <c r="K234" i="4"/>
  <c r="O90" i="5"/>
  <c r="H21" i="2"/>
  <c r="H234" i="4"/>
  <c r="K90" i="5"/>
  <c r="W21" i="2"/>
  <c r="W234" i="4"/>
  <c r="AG90" i="5"/>
  <c r="V234" i="4"/>
  <c r="AF90" i="5"/>
  <c r="C21" i="2"/>
  <c r="C234" i="4"/>
  <c r="C90" i="5"/>
  <c r="D21" i="2"/>
  <c r="D234" i="4"/>
  <c r="E90" i="5"/>
  <c r="G21" i="2"/>
  <c r="G7" i="2"/>
  <c r="G234" i="4"/>
  <c r="I90" i="5"/>
  <c r="I21" i="2"/>
  <c r="I234" i="4"/>
  <c r="L90" i="5"/>
  <c r="J21" i="2"/>
  <c r="J234" i="4"/>
  <c r="N90" i="5"/>
  <c r="L21" i="2"/>
  <c r="L234" i="4"/>
  <c r="Q90" i="5"/>
  <c r="O21" i="2"/>
  <c r="O234" i="4"/>
  <c r="U90" i="5"/>
  <c r="Q234" i="4"/>
  <c r="X90" i="5"/>
  <c r="R21" i="2"/>
  <c r="R234" i="4"/>
  <c r="Z90" i="5"/>
  <c r="AI234" i="4"/>
  <c r="T234" i="4" a="1"/>
  <c r="T234" i="4"/>
  <c r="AC90" i="5"/>
  <c r="U234" i="4" a="1"/>
  <c r="U234" i="4"/>
  <c r="AD90" i="5"/>
  <c r="X21" i="2"/>
  <c r="X234" i="4"/>
  <c r="AI90" i="5"/>
  <c r="Y21" i="2"/>
  <c r="Y234" i="4"/>
  <c r="AJ90" i="5"/>
  <c r="Z21" i="2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25" i="2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25" i="2"/>
  <c r="I155" i="4"/>
  <c r="L101" i="5"/>
  <c r="J25" i="2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C26" i="2"/>
  <c r="B57" i="4"/>
  <c r="C57" i="4"/>
  <c r="C102" i="5"/>
  <c r="D26" i="2"/>
  <c r="D57" i="4"/>
  <c r="E102" i="5"/>
  <c r="E26" i="2"/>
  <c r="E57" i="4"/>
  <c r="F102" i="5"/>
  <c r="F26" i="2"/>
  <c r="F57" i="4"/>
  <c r="H102" i="5"/>
  <c r="I102" i="5"/>
  <c r="H26" i="2"/>
  <c r="H57" i="4"/>
  <c r="K102" i="5"/>
  <c r="L26" i="2"/>
  <c r="L57" i="4"/>
  <c r="Q102" i="5"/>
  <c r="M26" i="2"/>
  <c r="M57" i="4"/>
  <c r="R102" i="5"/>
  <c r="N26" i="2"/>
  <c r="N57" i="4"/>
  <c r="T102" i="5"/>
  <c r="O26" i="2"/>
  <c r="O57" i="4"/>
  <c r="U102" i="5"/>
  <c r="P26" i="2"/>
  <c r="P57" i="4"/>
  <c r="W102" i="5"/>
  <c r="Q26" i="2"/>
  <c r="Q57" i="4"/>
  <c r="X102" i="5"/>
  <c r="S26" i="2"/>
  <c r="S57" i="4"/>
  <c r="AA102" i="5"/>
  <c r="AI57" i="4"/>
  <c r="T57" i="4" a="1"/>
  <c r="T57" i="4"/>
  <c r="AC102" i="5"/>
  <c r="U57" i="4" a="1"/>
  <c r="U57" i="4"/>
  <c r="AD102" i="5"/>
  <c r="X26" i="2"/>
  <c r="X57" i="4"/>
  <c r="AI102" i="5"/>
  <c r="Y26" i="2"/>
  <c r="Y57" i="4"/>
  <c r="AJ102" i="5"/>
  <c r="Z26" i="2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C43" i="2"/>
  <c r="B53" i="4"/>
  <c r="C53" i="4"/>
  <c r="C104" i="5"/>
  <c r="D43" i="2"/>
  <c r="D53" i="4"/>
  <c r="E104" i="5"/>
  <c r="E43" i="2"/>
  <c r="E53" i="4"/>
  <c r="F104" i="5"/>
  <c r="F43" i="2"/>
  <c r="F53" i="4"/>
  <c r="H104" i="5"/>
  <c r="I104" i="5"/>
  <c r="H43" i="2"/>
  <c r="H53" i="4"/>
  <c r="K104" i="5"/>
  <c r="L43" i="2"/>
  <c r="L53" i="4"/>
  <c r="Q104" i="5"/>
  <c r="M43" i="2"/>
  <c r="M53" i="4"/>
  <c r="R104" i="5"/>
  <c r="T104" i="5"/>
  <c r="O43" i="2"/>
  <c r="O53" i="4"/>
  <c r="U104" i="5"/>
  <c r="P43" i="2"/>
  <c r="P53" i="4"/>
  <c r="W104" i="5"/>
  <c r="Q43" i="2"/>
  <c r="Q53" i="4"/>
  <c r="X104" i="5"/>
  <c r="S43" i="2"/>
  <c r="S53" i="4"/>
  <c r="AA104" i="5"/>
  <c r="AI53" i="4"/>
  <c r="T53" i="4" a="1"/>
  <c r="T53" i="4"/>
  <c r="AC104" i="5"/>
  <c r="U53" i="4" a="1"/>
  <c r="U53" i="4"/>
  <c r="AD104" i="5"/>
  <c r="X43" i="2"/>
  <c r="X53" i="4"/>
  <c r="AI104" i="5"/>
  <c r="Y43" i="2"/>
  <c r="Y53" i="4"/>
  <c r="AJ104" i="5"/>
  <c r="Z43" i="2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39" i="2"/>
  <c r="E242" i="4"/>
  <c r="F105" i="5"/>
  <c r="F39" i="2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22" i="2"/>
  <c r="E36" i="4"/>
  <c r="F107" i="5"/>
  <c r="F22" i="2"/>
  <c r="F36" i="4"/>
  <c r="H107" i="5"/>
  <c r="I107" i="5"/>
  <c r="H22" i="2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40" i="2"/>
  <c r="E116" i="4"/>
  <c r="F110" i="5"/>
  <c r="F40" i="2"/>
  <c r="F116" i="4"/>
  <c r="H110" i="5"/>
  <c r="I110" i="5"/>
  <c r="H116" i="4"/>
  <c r="K110" i="5"/>
  <c r="L116" i="4"/>
  <c r="Q110" i="5"/>
  <c r="M116" i="4"/>
  <c r="R110" i="5"/>
  <c r="T110" i="5"/>
  <c r="O32" i="2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4" i="2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14" i="2"/>
  <c r="E11" i="2"/>
  <c r="E212" i="4"/>
  <c r="F116" i="5"/>
  <c r="F14" i="2"/>
  <c r="F11" i="2"/>
  <c r="F212" i="4"/>
  <c r="H116" i="5"/>
  <c r="I116" i="5"/>
  <c r="I11" i="2"/>
  <c r="I212" i="4"/>
  <c r="L116" i="5"/>
  <c r="J11" i="2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0" i="2"/>
  <c r="R14" i="2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42" i="2"/>
  <c r="C85" i="4"/>
  <c r="C123" i="5"/>
  <c r="D85" i="4"/>
  <c r="E123" i="5"/>
  <c r="E85" i="4"/>
  <c r="F123" i="5"/>
  <c r="F85" i="4"/>
  <c r="H123" i="5"/>
  <c r="I123" i="5"/>
  <c r="I42" i="2"/>
  <c r="I85" i="4"/>
  <c r="L123" i="5"/>
  <c r="J42" i="2"/>
  <c r="J85" i="4"/>
  <c r="N123" i="5"/>
  <c r="L85" i="4"/>
  <c r="Q123" i="5"/>
  <c r="M85" i="4"/>
  <c r="R123" i="5"/>
  <c r="T123" i="5"/>
  <c r="O42" i="2"/>
  <c r="O85" i="4"/>
  <c r="U123" i="5"/>
  <c r="P42" i="2"/>
  <c r="P85" i="4"/>
  <c r="W123" i="5"/>
  <c r="Q42" i="2"/>
  <c r="Q85" i="4"/>
  <c r="X123" i="5"/>
  <c r="S85" i="4"/>
  <c r="AA123" i="5"/>
  <c r="AI85" i="4"/>
  <c r="T85" i="4" a="1"/>
  <c r="T85" i="4"/>
  <c r="AC123" i="5"/>
  <c r="U85" i="4" a="1"/>
  <c r="U85" i="4"/>
  <c r="AD123" i="5"/>
  <c r="X42" i="2"/>
  <c r="X85" i="4"/>
  <c r="AI123" i="5"/>
  <c r="Y42" i="2"/>
  <c r="Y85" i="4"/>
  <c r="AJ123" i="5"/>
  <c r="Z42" i="2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20" i="2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32" i="2"/>
  <c r="I44" i="2"/>
  <c r="I97" i="4"/>
  <c r="L133" i="5"/>
  <c r="J32" i="2"/>
  <c r="J97" i="4"/>
  <c r="N133" i="5"/>
  <c r="L97" i="4"/>
  <c r="Q133" i="5"/>
  <c r="M97" i="4"/>
  <c r="R133" i="5"/>
  <c r="T133" i="5"/>
  <c r="U133" i="5"/>
  <c r="Q97" i="4"/>
  <c r="X133" i="5"/>
  <c r="R32" i="2"/>
  <c r="R44" i="2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39" i="2"/>
  <c r="I235" i="4"/>
  <c r="L136" i="5"/>
  <c r="J39" i="2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98" i="4"/>
  <c r="C31" i="2"/>
  <c r="C98" i="4"/>
  <c r="C138" i="5"/>
  <c r="D35" i="2"/>
  <c r="D31" i="2"/>
  <c r="D98" i="4"/>
  <c r="E138" i="5"/>
  <c r="H35" i="2"/>
  <c r="H31" i="2"/>
  <c r="H98" i="4"/>
  <c r="K138" i="5"/>
  <c r="L35" i="2"/>
  <c r="L31" i="2"/>
  <c r="L98" i="4"/>
  <c r="Q138" i="5"/>
  <c r="M35" i="2"/>
  <c r="M31" i="2"/>
  <c r="M98" i="4"/>
  <c r="R138" i="5"/>
  <c r="T138" i="5"/>
  <c r="O35" i="2"/>
  <c r="O31" i="2"/>
  <c r="O98" i="4"/>
  <c r="U138" i="5"/>
  <c r="P35" i="2"/>
  <c r="P31" i="2"/>
  <c r="P98" i="4"/>
  <c r="W138" i="5"/>
  <c r="Q35" i="2"/>
  <c r="Q31" i="2"/>
  <c r="Q98" i="4"/>
  <c r="X138" i="5"/>
  <c r="S35" i="2"/>
  <c r="S31" i="2"/>
  <c r="S98" i="4"/>
  <c r="AA138" i="5"/>
  <c r="AI98" i="4"/>
  <c r="T98" i="4" a="1"/>
  <c r="T98" i="4"/>
  <c r="AC138" i="5"/>
  <c r="U98" i="4" a="1"/>
  <c r="U98" i="4"/>
  <c r="AD138" i="5"/>
  <c r="X35" i="2"/>
  <c r="X31" i="2"/>
  <c r="X98" i="4"/>
  <c r="AI138" i="5"/>
  <c r="Y35" i="2"/>
  <c r="Y31" i="2"/>
  <c r="Y98" i="4"/>
  <c r="AJ138" i="5"/>
  <c r="Z35" i="2"/>
  <c r="Z31" i="2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35" i="2"/>
  <c r="E40" i="4"/>
  <c r="F139" i="5"/>
  <c r="F35" i="2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40" i="2"/>
  <c r="I237" i="4"/>
  <c r="L151" i="5"/>
  <c r="J40" i="2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S34" i="2"/>
  <c r="B129" i="4"/>
  <c r="S129" i="4"/>
  <c r="AA152" i="5"/>
  <c r="P34" i="2"/>
  <c r="P129" i="4"/>
  <c r="W152" i="5"/>
  <c r="AG152" i="5"/>
  <c r="AF152" i="5"/>
  <c r="C34" i="2"/>
  <c r="C129" i="4"/>
  <c r="C152" i="5"/>
  <c r="D34" i="2"/>
  <c r="D129" i="4"/>
  <c r="E152" i="5"/>
  <c r="E34" i="2"/>
  <c r="E129" i="4"/>
  <c r="F152" i="5"/>
  <c r="F34" i="2"/>
  <c r="F129" i="4"/>
  <c r="H152" i="5"/>
  <c r="I152" i="5"/>
  <c r="K152" i="5"/>
  <c r="L34" i="2"/>
  <c r="L129" i="4"/>
  <c r="Q152" i="5"/>
  <c r="M34" i="2"/>
  <c r="M129" i="4"/>
  <c r="R152" i="5"/>
  <c r="T152" i="5"/>
  <c r="O34" i="2"/>
  <c r="O129" i="4"/>
  <c r="U152" i="5"/>
  <c r="Q34" i="2"/>
  <c r="Q129" i="4"/>
  <c r="X152" i="5"/>
  <c r="R34" i="2"/>
  <c r="R35" i="2"/>
  <c r="R129" i="4"/>
  <c r="Z152" i="5"/>
  <c r="AI129" i="4"/>
  <c r="T129" i="4" a="1"/>
  <c r="T129" i="4"/>
  <c r="AC152" i="5"/>
  <c r="U129" i="4" a="1"/>
  <c r="U129" i="4"/>
  <c r="AD152" i="5"/>
  <c r="X34" i="2"/>
  <c r="X129" i="4"/>
  <c r="AI152" i="5"/>
  <c r="Y34" i="2"/>
  <c r="Y129" i="4"/>
  <c r="AJ152" i="5"/>
  <c r="Z34" i="2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40" i="2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7" i="2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18" i="2"/>
  <c r="I59" i="4"/>
  <c r="L164" i="5"/>
  <c r="J18" i="2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15" i="2"/>
  <c r="E60" i="4"/>
  <c r="F165" i="5"/>
  <c r="F15" i="2"/>
  <c r="F60" i="4"/>
  <c r="H165" i="5"/>
  <c r="I165" i="5"/>
  <c r="L165" i="5"/>
  <c r="J15" i="2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16" i="2"/>
  <c r="I61" i="4"/>
  <c r="L166" i="5"/>
  <c r="J16" i="2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18" i="2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2" i="2"/>
  <c r="H8" i="4"/>
  <c r="K174" i="5"/>
  <c r="AG174" i="5"/>
  <c r="AF174" i="5"/>
  <c r="C8" i="4"/>
  <c r="C174" i="5"/>
  <c r="D8" i="4"/>
  <c r="E174" i="5"/>
  <c r="E2" i="2"/>
  <c r="E8" i="4"/>
  <c r="F174" i="5"/>
  <c r="F2" i="2"/>
  <c r="F8" i="4"/>
  <c r="H174" i="5"/>
  <c r="I174" i="5"/>
  <c r="I2" i="2"/>
  <c r="I8" i="4"/>
  <c r="L174" i="5"/>
  <c r="J2" i="2"/>
  <c r="J8" i="4"/>
  <c r="N174" i="5"/>
  <c r="L8" i="4"/>
  <c r="Q174" i="5"/>
  <c r="M8" i="4"/>
  <c r="R174" i="5"/>
  <c r="T174" i="5"/>
  <c r="U174" i="5"/>
  <c r="Q8" i="4"/>
  <c r="X174" i="5"/>
  <c r="R2" i="2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22" i="2"/>
  <c r="I9" i="4"/>
  <c r="L181" i="5"/>
  <c r="J22" i="2"/>
  <c r="J9" i="4"/>
  <c r="N181" i="5"/>
  <c r="L9" i="4"/>
  <c r="Q181" i="5"/>
  <c r="M9" i="4"/>
  <c r="R181" i="5"/>
  <c r="T181" i="5"/>
  <c r="U181" i="5"/>
  <c r="Q9" i="4"/>
  <c r="X181" i="5"/>
  <c r="R22" i="2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34" i="2"/>
  <c r="I13" i="4"/>
  <c r="L187" i="5"/>
  <c r="J34" i="2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35" i="2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35" i="2"/>
  <c r="I31" i="2"/>
  <c r="I134" i="4"/>
  <c r="L202" i="5"/>
  <c r="J35" i="2"/>
  <c r="J31" i="2"/>
  <c r="J134" i="4"/>
  <c r="N202" i="5"/>
  <c r="O202" i="5"/>
  <c r="L134" i="4"/>
  <c r="Q202" i="5"/>
  <c r="M134" i="4"/>
  <c r="R202" i="5"/>
  <c r="N31" i="2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34" i="2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33" i="2"/>
  <c r="C138" i="4"/>
  <c r="C206" i="5"/>
  <c r="D33" i="2"/>
  <c r="D138" i="4"/>
  <c r="E206" i="5"/>
  <c r="K206" i="5"/>
  <c r="L33" i="2"/>
  <c r="L138" i="4"/>
  <c r="Q206" i="5"/>
  <c r="M33" i="2"/>
  <c r="M138" i="4"/>
  <c r="R206" i="5"/>
  <c r="N33" i="2"/>
  <c r="N138" i="4"/>
  <c r="T206" i="5"/>
  <c r="O33" i="2"/>
  <c r="O138" i="4"/>
  <c r="U206" i="5"/>
  <c r="P33" i="2"/>
  <c r="P138" i="4"/>
  <c r="W206" i="5"/>
  <c r="Q33" i="2"/>
  <c r="Q138" i="4"/>
  <c r="X206" i="5"/>
  <c r="S33" i="2"/>
  <c r="S138" i="4"/>
  <c r="AA206" i="5"/>
  <c r="AI138" i="4"/>
  <c r="T138" i="4" a="1"/>
  <c r="T138" i="4"/>
  <c r="AC206" i="5"/>
  <c r="U138" i="4" a="1"/>
  <c r="U138" i="4"/>
  <c r="AD206" i="5"/>
  <c r="X33" i="2"/>
  <c r="X138" i="4"/>
  <c r="AI206" i="5"/>
  <c r="Y33" i="2"/>
  <c r="Y138" i="4"/>
  <c r="AJ206" i="5"/>
  <c r="Z33" i="2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15" i="4"/>
  <c r="C215" i="4"/>
  <c r="C207" i="5"/>
  <c r="D37" i="2"/>
  <c r="D215" i="4"/>
  <c r="E207" i="5"/>
  <c r="H37" i="2"/>
  <c r="H215" i="4"/>
  <c r="K207" i="5"/>
  <c r="I37" i="2"/>
  <c r="I215" i="4"/>
  <c r="L207" i="5"/>
  <c r="J37" i="2"/>
  <c r="J215" i="4"/>
  <c r="N207" i="5"/>
  <c r="O207" i="5"/>
  <c r="L37" i="2"/>
  <c r="L215" i="4"/>
  <c r="Q207" i="5"/>
  <c r="M37" i="2"/>
  <c r="M215" i="4"/>
  <c r="R207" i="5"/>
  <c r="N37" i="2"/>
  <c r="N215" i="4"/>
  <c r="T207" i="5"/>
  <c r="O37" i="2"/>
  <c r="O215" i="4"/>
  <c r="U207" i="5"/>
  <c r="P37" i="2"/>
  <c r="P215" i="4"/>
  <c r="W207" i="5"/>
  <c r="Q37" i="2"/>
  <c r="Q215" i="4"/>
  <c r="X207" i="5"/>
  <c r="S37" i="2"/>
  <c r="S215" i="4"/>
  <c r="AA207" i="5"/>
  <c r="X37" i="2"/>
  <c r="X215" i="4"/>
  <c r="AI207" i="5"/>
  <c r="Y37" i="2"/>
  <c r="Y215" i="4"/>
  <c r="AJ207" i="5"/>
  <c r="Z37" i="2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15" i="2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1" i="2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E29" i="2"/>
  <c r="F29" i="2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" i="2"/>
  <c r="I198" i="4"/>
  <c r="L228" i="5"/>
  <c r="J19" i="2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E24" i="2"/>
  <c r="F24" i="2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E21" i="2"/>
  <c r="F21" i="2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33" i="2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B25" i="4"/>
  <c r="C25" i="4"/>
  <c r="C259" i="5"/>
  <c r="D25" i="4"/>
  <c r="E259" i="5"/>
  <c r="K259" i="5"/>
  <c r="L25" i="4"/>
  <c r="Q259" i="5"/>
  <c r="M25" i="4"/>
  <c r="R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" i="2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43" i="2"/>
  <c r="I199" i="4"/>
  <c r="L272" i="5"/>
  <c r="J43" i="2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39" i="2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8" i="4"/>
  <c r="V308" i="4"/>
  <c r="AF304" i="5"/>
  <c r="C47" i="2"/>
  <c r="C308" i="4"/>
  <c r="C304" i="5"/>
  <c r="D47" i="2"/>
  <c r="D308" i="4"/>
  <c r="E304" i="5"/>
  <c r="I47" i="2"/>
  <c r="I308" i="4"/>
  <c r="L304" i="5"/>
  <c r="J47" i="2"/>
  <c r="J308" i="4"/>
  <c r="N304" i="5"/>
  <c r="L47" i="2"/>
  <c r="L308" i="4"/>
  <c r="Q304" i="5"/>
  <c r="M47" i="2"/>
  <c r="M308" i="4"/>
  <c r="R304" i="5"/>
  <c r="N47" i="2"/>
  <c r="N308" i="4"/>
  <c r="T304" i="5"/>
  <c r="O47" i="2"/>
  <c r="O308" i="4"/>
  <c r="U304" i="5"/>
  <c r="P47" i="2"/>
  <c r="P308" i="4"/>
  <c r="W304" i="5"/>
  <c r="Q47" i="2"/>
  <c r="Q308" i="4"/>
  <c r="X304" i="5"/>
  <c r="AA304" i="5"/>
  <c r="AC304" i="5"/>
  <c r="AD304" i="5"/>
  <c r="X47" i="2"/>
  <c r="X308" i="4"/>
  <c r="AI304" i="5"/>
  <c r="Y47" i="2"/>
  <c r="Y308" i="4"/>
  <c r="AJ304" i="5"/>
  <c r="Z47" i="2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48" i="2"/>
  <c r="V305" i="4"/>
  <c r="AF306" i="5"/>
  <c r="C48" i="2"/>
  <c r="C305" i="4"/>
  <c r="C306" i="5"/>
  <c r="D305" i="4"/>
  <c r="E306" i="5"/>
  <c r="I305" i="4"/>
  <c r="L306" i="5"/>
  <c r="J305" i="4"/>
  <c r="N306" i="5"/>
  <c r="L305" i="4"/>
  <c r="Q306" i="5"/>
  <c r="M305" i="4"/>
  <c r="R306" i="5"/>
  <c r="N48" i="2"/>
  <c r="N305" i="4"/>
  <c r="T306" i="5"/>
  <c r="O48" i="2"/>
  <c r="O305" i="4"/>
  <c r="U306" i="5"/>
  <c r="P48" i="2"/>
  <c r="P305" i="4"/>
  <c r="W306" i="5"/>
  <c r="Q48" i="2"/>
  <c r="Q305" i="4"/>
  <c r="X306" i="5"/>
  <c r="AA306" i="5"/>
  <c r="X48" i="2"/>
  <c r="X305" i="4"/>
  <c r="AI306" i="5"/>
  <c r="Y48" i="2"/>
  <c r="Y305" i="4"/>
  <c r="AJ306" i="5"/>
  <c r="Z48" i="2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K50" i="2"/>
  <c r="B349" i="4"/>
  <c r="K349" i="4"/>
  <c r="O348" i="5"/>
  <c r="H50" i="2"/>
  <c r="H349" i="4"/>
  <c r="K348" i="5"/>
  <c r="W50" i="2"/>
  <c r="W349" i="4"/>
  <c r="AG348" i="5"/>
  <c r="V50" i="2"/>
  <c r="V349" i="4"/>
  <c r="AF348" i="5"/>
  <c r="C50" i="2"/>
  <c r="C349" i="4"/>
  <c r="C348" i="5"/>
  <c r="D50" i="2"/>
  <c r="D349" i="4"/>
  <c r="E348" i="5"/>
  <c r="I50" i="2"/>
  <c r="I349" i="4"/>
  <c r="L348" i="5"/>
  <c r="J50" i="2"/>
  <c r="J349" i="4"/>
  <c r="N348" i="5"/>
  <c r="L50" i="2"/>
  <c r="L349" i="4"/>
  <c r="Q348" i="5"/>
  <c r="M50" i="2"/>
  <c r="M349" i="4"/>
  <c r="R348" i="5"/>
  <c r="N50" i="2"/>
  <c r="N349" i="4"/>
  <c r="T348" i="5"/>
  <c r="O50" i="2"/>
  <c r="O349" i="4"/>
  <c r="U348" i="5"/>
  <c r="P50" i="2"/>
  <c r="P349" i="4"/>
  <c r="W348" i="5"/>
  <c r="Q50" i="2"/>
  <c r="Q349" i="4"/>
  <c r="X348" i="5"/>
  <c r="S50" i="2"/>
  <c r="S349" i="4"/>
  <c r="AA348" i="5"/>
  <c r="T50" i="2"/>
  <c r="T349" i="4"/>
  <c r="AC348" i="5"/>
  <c r="U50" i="2"/>
  <c r="U349" i="4"/>
  <c r="AD348" i="5"/>
  <c r="X50" i="2"/>
  <c r="X349" i="4"/>
  <c r="AI348" i="5"/>
  <c r="Y50" i="2"/>
  <c r="Y349" i="4"/>
  <c r="AJ348" i="5"/>
  <c r="Z50" i="2"/>
  <c r="Z349" i="4"/>
  <c r="AL348" i="5"/>
  <c r="F348" i="5"/>
  <c r="H348" i="5"/>
  <c r="I348" i="5"/>
  <c r="Z348" i="5"/>
  <c r="AN348" i="5"/>
  <c r="B363" i="4"/>
  <c r="K51" i="2"/>
  <c r="K363" i="4"/>
  <c r="O349" i="5"/>
  <c r="H51" i="2"/>
  <c r="H363" i="4"/>
  <c r="K349" i="5"/>
  <c r="W51" i="2"/>
  <c r="W363" i="4"/>
  <c r="AG349" i="5"/>
  <c r="V51" i="2"/>
  <c r="V363" i="4"/>
  <c r="AF349" i="5"/>
  <c r="C51" i="2"/>
  <c r="C363" i="4"/>
  <c r="C349" i="5"/>
  <c r="D51" i="2"/>
  <c r="D363" i="4"/>
  <c r="E349" i="5"/>
  <c r="I51" i="2"/>
  <c r="I363" i="4"/>
  <c r="L349" i="5"/>
  <c r="J51" i="2"/>
  <c r="J363" i="4"/>
  <c r="N349" i="5"/>
  <c r="L51" i="2"/>
  <c r="L363" i="4"/>
  <c r="Q349" i="5"/>
  <c r="M51" i="2"/>
  <c r="M363" i="4"/>
  <c r="R349" i="5"/>
  <c r="N51" i="2"/>
  <c r="N363" i="4"/>
  <c r="T349" i="5"/>
  <c r="O51" i="2"/>
  <c r="O363" i="4"/>
  <c r="U349" i="5"/>
  <c r="P51" i="2"/>
  <c r="P363" i="4"/>
  <c r="W349" i="5"/>
  <c r="Q51" i="2"/>
  <c r="Q363" i="4"/>
  <c r="X349" i="5"/>
  <c r="S363" i="4"/>
  <c r="AA349" i="5"/>
  <c r="T51" i="2"/>
  <c r="T363" i="4"/>
  <c r="AC349" i="5"/>
  <c r="U51" i="2"/>
  <c r="U363" i="4"/>
  <c r="AD349" i="5"/>
  <c r="X51" i="2"/>
  <c r="X363" i="4"/>
  <c r="AI349" i="5"/>
  <c r="Y363" i="4"/>
  <c r="AJ349" i="5"/>
  <c r="Z51" i="2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51" i="2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15" i="2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AZ154" i="1"/>
  <c r="BA154" i="1"/>
  <c r="BB154" i="1"/>
  <c r="CT154" i="1"/>
  <c r="AI308" i="4"/>
  <c r="AI304" i="4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N234" i="4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8" i="1"/>
  <c r="BA77" i="1"/>
  <c r="BA120" i="1"/>
  <c r="BA118" i="1"/>
  <c r="BA122" i="1"/>
  <c r="BA123" i="1"/>
  <c r="BA124" i="1"/>
  <c r="BA125" i="1"/>
  <c r="BA239" i="1"/>
  <c r="BA250" i="1"/>
  <c r="BA251" i="1"/>
  <c r="BA317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2" i="1"/>
  <c r="BA73" i="1"/>
  <c r="BA75" i="1"/>
  <c r="BA76" i="1"/>
  <c r="BA85" i="1"/>
  <c r="BA86" i="1"/>
  <c r="BA87" i="1"/>
  <c r="BA89" i="1"/>
  <c r="BA90" i="1"/>
  <c r="BA91" i="1"/>
  <c r="BA92" i="1"/>
  <c r="BA93" i="1"/>
  <c r="BA94" i="1"/>
  <c r="BA95" i="1"/>
  <c r="BA98" i="1"/>
  <c r="BA99" i="1"/>
  <c r="BA101" i="1"/>
  <c r="BA102" i="1"/>
  <c r="BA97" i="1"/>
  <c r="BA104" i="1"/>
  <c r="BA100" i="1"/>
  <c r="BA96" i="1"/>
  <c r="BA105" i="1"/>
  <c r="BA103" i="1"/>
  <c r="BA112" i="1"/>
  <c r="BA127" i="1"/>
  <c r="BA119" i="1"/>
  <c r="BA113" i="1"/>
  <c r="BA126" i="1"/>
  <c r="BA114" i="1"/>
  <c r="BA115" i="1"/>
  <c r="BA116" i="1"/>
  <c r="BA117" i="1"/>
  <c r="BA132" i="1"/>
  <c r="BA134" i="1"/>
  <c r="BA135" i="1"/>
  <c r="BA133" i="1"/>
  <c r="BA148" i="1"/>
  <c r="BA149" i="1"/>
  <c r="BA152" i="1"/>
  <c r="BA153" i="1"/>
  <c r="BA160" i="1"/>
  <c r="BA162" i="1"/>
  <c r="BA163" i="1"/>
  <c r="BA164" i="1"/>
  <c r="BA330" i="1"/>
  <c r="BA334" i="1"/>
  <c r="BA333" i="1"/>
  <c r="BA332" i="1"/>
  <c r="BA331" i="1"/>
  <c r="BA170" i="1"/>
  <c r="BA171" i="1"/>
  <c r="BA173" i="1"/>
  <c r="BA172" i="1"/>
  <c r="BA176" i="1"/>
  <c r="BA177" i="1"/>
  <c r="BA183" i="1"/>
  <c r="BA182" i="1"/>
  <c r="BA181" i="1"/>
  <c r="BA189" i="1"/>
  <c r="BA190" i="1"/>
  <c r="BA335" i="1"/>
  <c r="BA337" i="1"/>
  <c r="BA336" i="1"/>
  <c r="BA338" i="1"/>
  <c r="BA354" i="1"/>
  <c r="BA355" i="1"/>
  <c r="BA356" i="1"/>
  <c r="BA357" i="1"/>
  <c r="BA358" i="1"/>
  <c r="BA359" i="1"/>
  <c r="BA194" i="1"/>
  <c r="BA195" i="1"/>
  <c r="BA196" i="1"/>
  <c r="BA197" i="1"/>
  <c r="BA198" i="1"/>
  <c r="BA199" i="1"/>
  <c r="BA223" i="1"/>
  <c r="BA224" i="1"/>
  <c r="BA227" i="1"/>
  <c r="BA226" i="1"/>
  <c r="BA225" i="1"/>
  <c r="BA229" i="1"/>
  <c r="BA230" i="1"/>
  <c r="BA231" i="1"/>
  <c r="BA232" i="1"/>
  <c r="BA233" i="1"/>
  <c r="BA234" i="1"/>
  <c r="BA235" i="1"/>
  <c r="BA237" i="1"/>
  <c r="BA238" i="1"/>
  <c r="BA242" i="1"/>
  <c r="BA244" i="1"/>
  <c r="BA243" i="1"/>
  <c r="BA245" i="1"/>
  <c r="BA246" i="1"/>
  <c r="BA253" i="1"/>
  <c r="BA254" i="1"/>
  <c r="BA255" i="1"/>
  <c r="BA247" i="1"/>
  <c r="BA248" i="1"/>
  <c r="BA271" i="1"/>
  <c r="BA272" i="1"/>
  <c r="BA276" i="1"/>
  <c r="BA277" i="1"/>
  <c r="BA278" i="1"/>
  <c r="BA279" i="1"/>
  <c r="BA280" i="1"/>
  <c r="BA281" i="1"/>
  <c r="BA282" i="1"/>
  <c r="BA285" i="1"/>
  <c r="BA287" i="1"/>
  <c r="BA286" i="1"/>
  <c r="BA288" i="1"/>
  <c r="BA289" i="1"/>
  <c r="BA290" i="1"/>
  <c r="BA291" i="1"/>
  <c r="BA292" i="1"/>
  <c r="BA293" i="1"/>
  <c r="BA314" i="1"/>
  <c r="BA315" i="1"/>
  <c r="BA366" i="1"/>
  <c r="BA368" i="1"/>
  <c r="BA367" i="1"/>
  <c r="BA370" i="1"/>
  <c r="BA371" i="1"/>
  <c r="BA372" i="1"/>
  <c r="BA373" i="1"/>
  <c r="BA369" i="1"/>
  <c r="BA316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B148" i="1"/>
  <c r="AZ148" i="1"/>
  <c r="BB251" i="1"/>
  <c r="BB4" i="1"/>
  <c r="BB13" i="1"/>
  <c r="BB248" i="1"/>
  <c r="BB250" i="1"/>
  <c r="BB253" i="1"/>
  <c r="BB254" i="1"/>
  <c r="BB255" i="1"/>
  <c r="BB271" i="1"/>
  <c r="BB42" i="1"/>
  <c r="BB43" i="1"/>
  <c r="BB44" i="1"/>
  <c r="BB45" i="1"/>
  <c r="BB46" i="1"/>
  <c r="BB47" i="1"/>
  <c r="BB72" i="1"/>
  <c r="BB73" i="1"/>
  <c r="BB75" i="1"/>
  <c r="BB76" i="1"/>
  <c r="BB77" i="1"/>
  <c r="BB78" i="1"/>
  <c r="BB85" i="1"/>
  <c r="BB86" i="1"/>
  <c r="BB87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12" i="1"/>
  <c r="BB113" i="1"/>
  <c r="BB114" i="1"/>
  <c r="BB115" i="1"/>
  <c r="BB116" i="1"/>
  <c r="BB117" i="1"/>
  <c r="BB118" i="1"/>
  <c r="BB119" i="1"/>
  <c r="BB120" i="1"/>
  <c r="BB122" i="1"/>
  <c r="BB123" i="1"/>
  <c r="BB124" i="1"/>
  <c r="BB125" i="1"/>
  <c r="BB126" i="1"/>
  <c r="BB127" i="1"/>
  <c r="BB132" i="1"/>
  <c r="BB133" i="1"/>
  <c r="BB134" i="1"/>
  <c r="BB135" i="1"/>
  <c r="BB152" i="1"/>
  <c r="BB153" i="1"/>
  <c r="BB160" i="1"/>
  <c r="BB162" i="1"/>
  <c r="BB163" i="1"/>
  <c r="BB164" i="1"/>
  <c r="BB330" i="1"/>
  <c r="BB331" i="1"/>
  <c r="BB332" i="1"/>
  <c r="BB333" i="1"/>
  <c r="BB334" i="1"/>
  <c r="BB170" i="1"/>
  <c r="BB171" i="1"/>
  <c r="BB172" i="1"/>
  <c r="BB173" i="1"/>
  <c r="BB176" i="1"/>
  <c r="BB177" i="1"/>
  <c r="BB181" i="1"/>
  <c r="BB182" i="1"/>
  <c r="BB183" i="1"/>
  <c r="BB189" i="1"/>
  <c r="BB190" i="1"/>
  <c r="BB335" i="1"/>
  <c r="BB336" i="1"/>
  <c r="BB337" i="1"/>
  <c r="BB338" i="1"/>
  <c r="BB354" i="1"/>
  <c r="BB355" i="1"/>
  <c r="BB356" i="1"/>
  <c r="BB357" i="1"/>
  <c r="BB358" i="1"/>
  <c r="BB359" i="1"/>
  <c r="BB194" i="1"/>
  <c r="BB195" i="1"/>
  <c r="BB196" i="1"/>
  <c r="BB197" i="1"/>
  <c r="BB198" i="1"/>
  <c r="BB199" i="1"/>
  <c r="BB223" i="1"/>
  <c r="BB224" i="1"/>
  <c r="BB225" i="1"/>
  <c r="BB226" i="1"/>
  <c r="BB227" i="1"/>
  <c r="BB229" i="1"/>
  <c r="BB230" i="1"/>
  <c r="BB231" i="1"/>
  <c r="BB232" i="1"/>
  <c r="BB233" i="1"/>
  <c r="BB234" i="1"/>
  <c r="BB235" i="1"/>
  <c r="BB237" i="1"/>
  <c r="BB238" i="1"/>
  <c r="BB239" i="1"/>
  <c r="BB242" i="1"/>
  <c r="BB243" i="1"/>
  <c r="BB244" i="1"/>
  <c r="BB245" i="1"/>
  <c r="BB246" i="1"/>
  <c r="BB247" i="1"/>
  <c r="BB39" i="1"/>
  <c r="BB40" i="1"/>
  <c r="BB41" i="1"/>
  <c r="AZ39" i="1"/>
  <c r="AZ250" i="1"/>
  <c r="AZ251" i="1"/>
  <c r="AZ253" i="1"/>
  <c r="AZ254" i="1"/>
  <c r="AZ255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C183" i="1"/>
  <c r="BC182" i="1"/>
  <c r="BC38" i="1"/>
  <c r="BC105" i="1"/>
  <c r="BC255" i="1"/>
  <c r="BC338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60" i="1"/>
  <c r="BC160" i="1"/>
  <c r="AZ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K35" i="2"/>
  <c r="K133" i="4"/>
  <c r="K34" i="2"/>
  <c r="K32" i="2"/>
  <c r="K137" i="4"/>
  <c r="K33" i="2"/>
  <c r="K8" i="2"/>
  <c r="K16" i="2"/>
  <c r="K138" i="4"/>
  <c r="K31" i="2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62" i="1"/>
  <c r="BC162" i="1"/>
  <c r="AZ163" i="1"/>
  <c r="BC163" i="1"/>
  <c r="BC254" i="1"/>
  <c r="AZ245" i="1"/>
  <c r="BC245" i="1"/>
  <c r="AZ244" i="1"/>
  <c r="BC244" i="1"/>
  <c r="AZ105" i="1"/>
  <c r="AZ373" i="1"/>
  <c r="BC373" i="1"/>
  <c r="BB373" i="1"/>
  <c r="AZ372" i="1"/>
  <c r="BC372" i="1"/>
  <c r="BB372" i="1"/>
  <c r="AZ227" i="1"/>
  <c r="BC227" i="1"/>
  <c r="AZ226" i="1"/>
  <c r="BC226" i="1"/>
  <c r="AZ43" i="1"/>
  <c r="BC43" i="1"/>
  <c r="AZ42" i="1"/>
  <c r="BC42" i="1"/>
  <c r="AZ41" i="1"/>
  <c r="BC41" i="1"/>
  <c r="AZ40" i="1"/>
  <c r="BC40" i="1"/>
  <c r="BC39" i="1"/>
  <c r="AZ127" i="1"/>
  <c r="BC127" i="1"/>
  <c r="AZ126" i="1"/>
  <c r="BC126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2" i="1"/>
  <c r="AZ73" i="1"/>
  <c r="AZ75" i="1"/>
  <c r="AZ76" i="1"/>
  <c r="AZ77" i="1"/>
  <c r="AZ78" i="1"/>
  <c r="AZ85" i="1"/>
  <c r="AZ86" i="1"/>
  <c r="AZ87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12" i="1"/>
  <c r="AZ113" i="1"/>
  <c r="AZ114" i="1"/>
  <c r="AZ115" i="1"/>
  <c r="AZ116" i="1"/>
  <c r="AZ117" i="1"/>
  <c r="AZ118" i="1"/>
  <c r="AZ119" i="1"/>
  <c r="AZ120" i="1"/>
  <c r="AZ122" i="1"/>
  <c r="AZ123" i="1"/>
  <c r="AZ124" i="1"/>
  <c r="AZ125" i="1"/>
  <c r="AZ132" i="1"/>
  <c r="AZ133" i="1"/>
  <c r="AZ134" i="1"/>
  <c r="AZ135" i="1"/>
  <c r="AZ152" i="1"/>
  <c r="AZ153" i="1"/>
  <c r="AZ170" i="1"/>
  <c r="AZ171" i="1"/>
  <c r="AZ172" i="1"/>
  <c r="AZ173" i="1"/>
  <c r="AZ176" i="1"/>
  <c r="AZ177" i="1"/>
  <c r="AZ181" i="1"/>
  <c r="AZ182" i="1"/>
  <c r="AZ183" i="1"/>
  <c r="AZ189" i="1"/>
  <c r="AZ190" i="1"/>
  <c r="AZ194" i="1"/>
  <c r="AZ195" i="1"/>
  <c r="AZ196" i="1"/>
  <c r="AZ197" i="1"/>
  <c r="AZ198" i="1"/>
  <c r="AZ199" i="1"/>
  <c r="AZ223" i="1"/>
  <c r="AZ224" i="1"/>
  <c r="AZ225" i="1"/>
  <c r="AZ229" i="1"/>
  <c r="AZ230" i="1"/>
  <c r="AZ231" i="1"/>
  <c r="AZ232" i="1"/>
  <c r="AZ233" i="1"/>
  <c r="AZ234" i="1"/>
  <c r="AZ235" i="1"/>
  <c r="AZ237" i="1"/>
  <c r="AZ238" i="1"/>
  <c r="AZ239" i="1"/>
  <c r="AZ242" i="1"/>
  <c r="AZ243" i="1"/>
  <c r="AZ246" i="1"/>
  <c r="AZ247" i="1"/>
  <c r="AZ248" i="1"/>
  <c r="AZ271" i="1"/>
  <c r="AZ272" i="1"/>
  <c r="AZ276" i="1"/>
  <c r="AZ277" i="1"/>
  <c r="AZ278" i="1"/>
  <c r="AZ279" i="1"/>
  <c r="AZ280" i="1"/>
  <c r="AZ281" i="1"/>
  <c r="AZ282" i="1"/>
  <c r="AZ285" i="1"/>
  <c r="AZ286" i="1"/>
  <c r="AZ287" i="1"/>
  <c r="AZ288" i="1"/>
  <c r="AZ289" i="1"/>
  <c r="AZ290" i="1"/>
  <c r="AZ291" i="1"/>
  <c r="AZ292" i="1"/>
  <c r="AZ293" i="1"/>
  <c r="AZ314" i="1"/>
  <c r="AZ315" i="1"/>
  <c r="AZ316" i="1"/>
  <c r="AZ317" i="1"/>
  <c r="AZ330" i="1"/>
  <c r="AZ331" i="1"/>
  <c r="AZ332" i="1"/>
  <c r="AZ333" i="1"/>
  <c r="AZ334" i="1"/>
  <c r="AZ335" i="1"/>
  <c r="AZ336" i="1"/>
  <c r="AZ337" i="1"/>
  <c r="AZ338" i="1"/>
  <c r="AZ354" i="1"/>
  <c r="AZ355" i="1"/>
  <c r="AZ356" i="1"/>
  <c r="AZ357" i="1"/>
  <c r="AZ358" i="1"/>
  <c r="AZ359" i="1"/>
  <c r="AZ366" i="1"/>
  <c r="AZ367" i="1"/>
  <c r="AZ368" i="1"/>
  <c r="AZ369" i="1"/>
  <c r="AZ370" i="1"/>
  <c r="AZ371" i="1"/>
  <c r="AZ2" i="1"/>
  <c r="BC45" i="1"/>
  <c r="BC44" i="1"/>
  <c r="BC231" i="1"/>
  <c r="BB371" i="1"/>
  <c r="BC371" i="1"/>
  <c r="BB370" i="1"/>
  <c r="BC370" i="1"/>
  <c r="BB369" i="1"/>
  <c r="BC369" i="1"/>
  <c r="BB368" i="1"/>
  <c r="BC368" i="1"/>
  <c r="BB367" i="1"/>
  <c r="BC367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B366" i="1"/>
  <c r="BC366" i="1"/>
  <c r="BC359" i="1"/>
  <c r="BC358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C356" i="1"/>
  <c r="BC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C354" i="1"/>
  <c r="BC337" i="1"/>
  <c r="BC336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C335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C334" i="1"/>
  <c r="BC333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C332" i="1"/>
  <c r="BC331" i="1"/>
  <c r="BC330" i="1"/>
  <c r="BB317" i="1"/>
  <c r="BC317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B316" i="1"/>
  <c r="BC316" i="1"/>
  <c r="BB315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B314" i="1"/>
  <c r="BC314" i="1"/>
  <c r="BB293" i="1"/>
  <c r="BC293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B292" i="1"/>
  <c r="BC292" i="1"/>
  <c r="BB291" i="1"/>
  <c r="BC291" i="1"/>
  <c r="BB290" i="1"/>
  <c r="BC290" i="1"/>
  <c r="BB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B288" i="1"/>
  <c r="BC288" i="1"/>
  <c r="BB287" i="1"/>
  <c r="BC287" i="1"/>
  <c r="BB286" i="1"/>
  <c r="BC286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B285" i="1"/>
  <c r="BC285" i="1"/>
  <c r="BB282" i="1"/>
  <c r="BC282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B281" i="1"/>
  <c r="BC281" i="1"/>
  <c r="BB280" i="1"/>
  <c r="BC280" i="1"/>
  <c r="BB279" i="1"/>
  <c r="BC279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B278" i="1"/>
  <c r="BC278" i="1"/>
  <c r="BB277" i="1"/>
  <c r="BC277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B276" i="1"/>
  <c r="BC276" i="1"/>
  <c r="BB272" i="1"/>
  <c r="BC272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C271" i="1"/>
  <c r="BC253" i="1"/>
  <c r="BC251" i="1"/>
  <c r="BC250" i="1"/>
  <c r="BC248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39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C237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BC233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C232" i="1"/>
  <c r="BC230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C229" i="1"/>
  <c r="BC225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199" i="1"/>
  <c r="BC198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C196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C189" i="1"/>
  <c r="BC177" i="1"/>
  <c r="BC176" i="1"/>
  <c r="BC173" i="1"/>
  <c r="BC172" i="1"/>
  <c r="BC171" i="1"/>
  <c r="BC170" i="1"/>
  <c r="BC153" i="1"/>
  <c r="BC152" i="1"/>
  <c r="BC135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C134" i="1"/>
  <c r="BC133" i="1"/>
  <c r="BC132" i="1"/>
  <c r="BC125" i="1"/>
  <c r="BC124" i="1"/>
  <c r="BC123" i="1"/>
  <c r="BC122" i="1"/>
  <c r="BC120" i="1"/>
  <c r="BC119" i="1"/>
  <c r="BC118" i="1"/>
  <c r="BC117" i="1"/>
  <c r="BC116" i="1"/>
  <c r="BC115" i="1"/>
  <c r="BC114" i="1"/>
  <c r="BC113" i="1"/>
  <c r="BC112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7" i="1"/>
  <c r="BC86" i="1"/>
  <c r="BC85" i="1"/>
  <c r="BC78" i="1"/>
  <c r="BC77" i="1"/>
  <c r="BC76" i="1"/>
  <c r="BC75" i="1"/>
  <c r="BC73" i="1"/>
  <c r="BC72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50" i="2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36" i="2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37" i="2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10" i="2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26" i="2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26" i="2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10" i="2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13" i="2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46" i="2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37" i="2"/>
  <c r="F71" i="4"/>
  <c r="F72" i="4"/>
  <c r="F76" i="4"/>
  <c r="F80" i="4"/>
  <c r="F82" i="4"/>
  <c r="F89" i="4"/>
  <c r="F90" i="4"/>
  <c r="F95" i="4"/>
  <c r="F97" i="4"/>
  <c r="F98" i="4"/>
  <c r="F100" i="4"/>
  <c r="F101" i="4"/>
  <c r="F12" i="2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13" i="2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10" i="2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50" i="2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51" i="2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46" i="2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37" i="2"/>
  <c r="E71" i="4"/>
  <c r="E72" i="4"/>
  <c r="E76" i="4"/>
  <c r="E80" i="4"/>
  <c r="E82" i="4"/>
  <c r="E89" i="4"/>
  <c r="E90" i="4"/>
  <c r="E95" i="4"/>
  <c r="E97" i="4"/>
  <c r="E98" i="4"/>
  <c r="E100" i="4"/>
  <c r="E101" i="4"/>
  <c r="E12" i="2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13" i="2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10" i="2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50" i="2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51" i="2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26" i="2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10" i="2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13" i="2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5" i="2"/>
  <c r="AP74" i="2"/>
  <c r="AP76" i="2"/>
  <c r="AP81" i="2"/>
  <c r="AP78" i="2"/>
  <c r="AP77" i="2"/>
  <c r="AP79" i="2"/>
  <c r="AP80" i="2"/>
  <c r="AP82" i="2"/>
  <c r="AP84" i="2"/>
  <c r="AP83" i="2"/>
  <c r="AP85" i="2"/>
  <c r="AP86" i="2"/>
  <c r="AQ75" i="2"/>
  <c r="AQ74" i="2"/>
  <c r="AQ76" i="2"/>
  <c r="AQ81" i="2"/>
  <c r="AQ78" i="2"/>
  <c r="AQ77" i="2"/>
  <c r="AQ79" i="2"/>
  <c r="AQ80" i="2"/>
  <c r="AQ82" i="2"/>
  <c r="AQ84" i="2"/>
  <c r="AQ83" i="2"/>
  <c r="AQ85" i="2"/>
  <c r="AQ86" i="2"/>
  <c r="AR75" i="2"/>
  <c r="AR74" i="2"/>
  <c r="AR76" i="2"/>
  <c r="AR81" i="2"/>
  <c r="AR78" i="2"/>
  <c r="AR77" i="2"/>
  <c r="AR79" i="2"/>
  <c r="AR80" i="2"/>
  <c r="AR82" i="2"/>
  <c r="AR84" i="2"/>
  <c r="AR83" i="2"/>
  <c r="AR85" i="2"/>
  <c r="AR86" i="2"/>
  <c r="AS75" i="2"/>
  <c r="AS74" i="2"/>
  <c r="AS76" i="2"/>
  <c r="AS81" i="2"/>
  <c r="AS78" i="2"/>
  <c r="AS77" i="2"/>
  <c r="AS79" i="2"/>
  <c r="AS80" i="2"/>
  <c r="AS82" i="2"/>
  <c r="AS84" i="2"/>
  <c r="AS83" i="2"/>
  <c r="AS85" i="2"/>
  <c r="AS86" i="2"/>
  <c r="AT75" i="2"/>
  <c r="AT74" i="2"/>
  <c r="AT76" i="2"/>
  <c r="AT81" i="2"/>
  <c r="AT78" i="2"/>
  <c r="AT77" i="2"/>
  <c r="AT79" i="2"/>
  <c r="AT80" i="2"/>
  <c r="AT82" i="2"/>
  <c r="AT84" i="2"/>
  <c r="AT83" i="2"/>
  <c r="AT85" i="2"/>
  <c r="AT86" i="2"/>
  <c r="AU75" i="2"/>
  <c r="AU74" i="2"/>
  <c r="AU76" i="2"/>
  <c r="AU81" i="2"/>
  <c r="AU78" i="2"/>
  <c r="AU77" i="2"/>
  <c r="AU79" i="2"/>
  <c r="AU80" i="2"/>
  <c r="AU82" i="2"/>
  <c r="AU84" i="2"/>
  <c r="AU83" i="2"/>
  <c r="AU85" i="2"/>
  <c r="AU86" i="2"/>
  <c r="AV75" i="2"/>
  <c r="AV74" i="2"/>
  <c r="AV76" i="2"/>
  <c r="AV81" i="2"/>
  <c r="AV78" i="2"/>
  <c r="AV77" i="2"/>
  <c r="AV79" i="2"/>
  <c r="AV80" i="2"/>
  <c r="AV82" i="2"/>
  <c r="AV84" i="2"/>
  <c r="AV83" i="2"/>
  <c r="AV85" i="2"/>
  <c r="AV86" i="2"/>
  <c r="AW75" i="2"/>
  <c r="AW74" i="2"/>
  <c r="AW76" i="2"/>
  <c r="AW81" i="2"/>
  <c r="AW78" i="2"/>
  <c r="AW77" i="2"/>
  <c r="AW79" i="2"/>
  <c r="AW80" i="2"/>
  <c r="AW82" i="2"/>
  <c r="AW84" i="2"/>
  <c r="AW83" i="2"/>
  <c r="AW85" i="2"/>
  <c r="AW86" i="2"/>
  <c r="AX75" i="2"/>
  <c r="AX74" i="2"/>
  <c r="AX76" i="2"/>
  <c r="AX81" i="2"/>
  <c r="AX78" i="2"/>
  <c r="AX77" i="2"/>
  <c r="AX79" i="2"/>
  <c r="AX80" i="2"/>
  <c r="AX82" i="2"/>
  <c r="AX84" i="2"/>
  <c r="AX83" i="2"/>
  <c r="AX85" i="2"/>
  <c r="AX86" i="2"/>
  <c r="AY75" i="2"/>
  <c r="AY74" i="2"/>
  <c r="AY76" i="2"/>
  <c r="AY81" i="2"/>
  <c r="AY78" i="2"/>
  <c r="AY77" i="2"/>
  <c r="AY79" i="2"/>
  <c r="AY80" i="2"/>
  <c r="AY82" i="2"/>
  <c r="AY84" i="2"/>
  <c r="AY83" i="2"/>
  <c r="AY85" i="2"/>
  <c r="AY86" i="2"/>
  <c r="AZ75" i="2"/>
  <c r="AZ74" i="2"/>
  <c r="AZ76" i="2"/>
  <c r="AZ81" i="2"/>
  <c r="AZ78" i="2"/>
  <c r="AZ77" i="2"/>
  <c r="AZ79" i="2"/>
  <c r="AZ80" i="2"/>
  <c r="AZ82" i="2"/>
  <c r="AZ84" i="2"/>
  <c r="AZ83" i="2"/>
  <c r="AZ85" i="2"/>
  <c r="AZ86" i="2"/>
  <c r="BA75" i="2"/>
  <c r="BA74" i="2"/>
  <c r="BA76" i="2"/>
  <c r="BA81" i="2"/>
  <c r="BA78" i="2"/>
  <c r="BA77" i="2"/>
  <c r="BA79" i="2"/>
  <c r="BA80" i="2"/>
  <c r="BA82" i="2"/>
  <c r="BA84" i="2"/>
  <c r="BA83" i="2"/>
  <c r="BA85" i="2"/>
  <c r="BA86" i="2"/>
  <c r="BB75" i="2"/>
  <c r="BB74" i="2"/>
  <c r="BB76" i="2"/>
  <c r="BB81" i="2"/>
  <c r="BB78" i="2"/>
  <c r="BB77" i="2"/>
  <c r="BB79" i="2"/>
  <c r="BB80" i="2"/>
  <c r="BB82" i="2"/>
  <c r="BB84" i="2"/>
  <c r="BB83" i="2"/>
  <c r="BB85" i="2"/>
  <c r="BB86" i="2"/>
  <c r="BC75" i="2"/>
  <c r="BC74" i="2"/>
  <c r="BC76" i="2"/>
  <c r="BC81" i="2"/>
  <c r="BC78" i="2"/>
  <c r="BC77" i="2"/>
  <c r="BC79" i="2"/>
  <c r="BC80" i="2"/>
  <c r="BC82" i="2"/>
  <c r="BC84" i="2"/>
  <c r="BC83" i="2"/>
  <c r="BC85" i="2"/>
  <c r="BC86" i="2"/>
  <c r="BD75" i="2"/>
  <c r="BD74" i="2"/>
  <c r="BD76" i="2"/>
  <c r="BD81" i="2"/>
  <c r="BD78" i="2"/>
  <c r="BD77" i="2"/>
  <c r="BD79" i="2"/>
  <c r="BD80" i="2"/>
  <c r="BD82" i="2"/>
  <c r="BD84" i="2"/>
  <c r="BD83" i="2"/>
  <c r="BD85" i="2"/>
  <c r="BD86" i="2"/>
  <c r="BE81" i="2"/>
  <c r="BE78" i="2"/>
  <c r="BE77" i="2"/>
  <c r="BE79" i="2"/>
  <c r="BE80" i="2"/>
  <c r="BE82" i="2"/>
  <c r="BE84" i="2"/>
  <c r="BE83" i="2"/>
  <c r="BE85" i="2"/>
  <c r="BF81" i="2"/>
  <c r="BF78" i="2"/>
  <c r="BF77" i="2"/>
  <c r="BF79" i="2"/>
  <c r="BF80" i="2"/>
  <c r="BF82" i="2"/>
  <c r="BF84" i="2"/>
  <c r="BF83" i="2"/>
  <c r="BF85" i="2"/>
  <c r="U30" i="2"/>
  <c r="U41" i="2"/>
  <c r="BG81" i="2"/>
  <c r="U37" i="2"/>
  <c r="U5" i="2"/>
  <c r="U22" i="2"/>
  <c r="U25" i="2"/>
  <c r="U38" i="2"/>
  <c r="U43" i="2"/>
  <c r="BG78" i="2"/>
  <c r="BG77" i="2"/>
  <c r="BG79" i="2"/>
  <c r="BG80" i="2"/>
  <c r="BG82" i="2"/>
  <c r="BG84" i="2"/>
  <c r="BG83" i="2"/>
  <c r="BG85" i="2"/>
  <c r="V41" i="2"/>
  <c r="BH81" i="2"/>
  <c r="V37" i="2"/>
  <c r="V22" i="2"/>
  <c r="V25" i="2"/>
  <c r="V38" i="2"/>
  <c r="V43" i="2"/>
  <c r="BH78" i="2"/>
  <c r="BH77" i="2"/>
  <c r="BH79" i="2"/>
  <c r="BH80" i="2"/>
  <c r="BH82" i="2"/>
  <c r="BH84" i="2"/>
  <c r="BH83" i="2"/>
  <c r="BH85" i="2"/>
  <c r="W41" i="2"/>
  <c r="BI81" i="2"/>
  <c r="W37" i="2"/>
  <c r="W5" i="2"/>
  <c r="W38" i="2"/>
  <c r="BI78" i="2"/>
  <c r="BI77" i="2"/>
  <c r="BI79" i="2"/>
  <c r="BI80" i="2"/>
  <c r="BI82" i="2"/>
  <c r="BI84" i="2"/>
  <c r="BI83" i="2"/>
  <c r="BI85" i="2"/>
  <c r="BJ81" i="2"/>
  <c r="BJ78" i="2"/>
  <c r="BJ77" i="2"/>
  <c r="BJ79" i="2"/>
  <c r="BJ80" i="2"/>
  <c r="BJ82" i="2"/>
  <c r="BJ84" i="2"/>
  <c r="BJ83" i="2"/>
  <c r="BJ85" i="2"/>
  <c r="BK81" i="2"/>
  <c r="BK78" i="2"/>
  <c r="BK77" i="2"/>
  <c r="BK79" i="2"/>
  <c r="BK80" i="2"/>
  <c r="BK82" i="2"/>
  <c r="BK84" i="2"/>
  <c r="BK83" i="2"/>
  <c r="BK85" i="2"/>
  <c r="BL81" i="2"/>
  <c r="BL78" i="2"/>
  <c r="BL77" i="2"/>
  <c r="BL79" i="2"/>
  <c r="BL80" i="2"/>
  <c r="BL82" i="2"/>
  <c r="BL84" i="2"/>
  <c r="BL83" i="2"/>
  <c r="BL85" i="2"/>
  <c r="AO75" i="2"/>
  <c r="AO74" i="2"/>
  <c r="AO76" i="2"/>
  <c r="AO81" i="2"/>
  <c r="AO78" i="2"/>
  <c r="AO77" i="2"/>
  <c r="AO79" i="2"/>
  <c r="AO80" i="2"/>
  <c r="AO82" i="2"/>
  <c r="AO84" i="2"/>
  <c r="AO83" i="2"/>
  <c r="AO85" i="2"/>
  <c r="AO86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4" i="2"/>
  <c r="BE75" i="2"/>
  <c r="BE76" i="2"/>
  <c r="BE86" i="2"/>
  <c r="BF74" i="2"/>
  <c r="BF75" i="2"/>
  <c r="BF76" i="2"/>
  <c r="BF86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4" i="2"/>
  <c r="BL75" i="2"/>
  <c r="BL76" i="2"/>
  <c r="BL86" i="2"/>
  <c r="BK74" i="2"/>
  <c r="BK75" i="2"/>
  <c r="BK76" i="2"/>
  <c r="BK86" i="2"/>
  <c r="BJ74" i="2"/>
  <c r="BJ75" i="2"/>
  <c r="BJ76" i="2"/>
  <c r="BJ86" i="2"/>
  <c r="W42" i="2"/>
  <c r="W12" i="2"/>
  <c r="W17" i="2"/>
  <c r="W10" i="2"/>
  <c r="W13" i="2"/>
  <c r="W11" i="2"/>
  <c r="W36" i="2"/>
  <c r="W26" i="2"/>
  <c r="BI74" i="2"/>
  <c r="BI75" i="2"/>
  <c r="BI76" i="2"/>
  <c r="BI86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4" i="2"/>
  <c r="BH75" i="2"/>
  <c r="BH76" i="2"/>
  <c r="BH86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4" i="2"/>
  <c r="BG75" i="2"/>
  <c r="BG76" i="2"/>
  <c r="BG86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<sst xmlns="http://schemas.openxmlformats.org/spreadsheetml/2006/main" count="15146" uniqueCount="1591">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</sst>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8013200"/>
        <c:axId val="-275142160"/>
      </c:lineChart>
      <c:catAx>
        <c:axId val="-3280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75142160"/>
        <c:crosses val="autoZero"/>
        <c:auto val="1"/>
        <c:lblAlgn val="ctr"/>
        <c:lblOffset val="100"/>
        <c:noMultiLvlLbl val="0"/>
      </c:catAx>
      <c:valAx>
        <c:axId val="-2751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80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7928896"/>
        <c:axId val="-327926336"/>
      </c:lineChart>
      <c:catAx>
        <c:axId val="-3279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926336"/>
        <c:crosses val="autoZero"/>
        <c:auto val="1"/>
        <c:lblAlgn val="ctr"/>
        <c:lblOffset val="100"/>
        <c:noMultiLvlLbl val="0"/>
      </c:catAx>
      <c:valAx>
        <c:axId val="-3279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9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7216208"/>
        <c:axId val="-327312400"/>
      </c:lineChart>
      <c:catAx>
        <c:axId val="-3272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312400"/>
        <c:crosses val="autoZero"/>
        <c:auto val="1"/>
        <c:lblAlgn val="ctr"/>
        <c:lblOffset val="100"/>
        <c:noMultiLvlLbl val="0"/>
      </c:catAx>
      <c:valAx>
        <c:axId val="-32731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2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53"/>
  <sheetViews>
    <sheetView zoomScale="110" zoomScaleNormal="110" zoomScalePageLayoutView="110" workbookViewId="0">
      <pane xSplit="3" ySplit="1" topLeftCell="D119" activePane="bottomRight" state="frozenSplit"/>
      <selection pane="topRight" activeCell="D1" sqref="D1"/>
      <selection pane="bottomLeft" activeCell="A2" sqref="A2"/>
      <selection pane="bottomRight" activeCell="C139" sqref="C1:C10485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8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9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9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9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9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20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20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9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9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9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9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9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20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20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20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20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9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9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9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9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9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9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9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9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9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9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9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9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9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9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9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1" si="225">_xlfn.AGGREGATE(9,6,CH38:CS38)-_xlfn.AGGREGATE(9,6,BV38:CG38)+12</f>
        <v>251</v>
      </c>
      <c r="BD38" s="4" t="s">
        <v>1375</v>
      </c>
      <c r="BE38" s="3" t="s">
        <v>1291</v>
      </c>
      <c r="BF38" s="119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1" si="226">E38</f>
        <v>6</v>
      </c>
      <c r="BW38" s="71">
        <f t="shared" ref="BW38:BW101" si="227">I38</f>
        <v>35</v>
      </c>
      <c r="BX38" s="72">
        <f t="shared" ref="BX38:BX101" si="228">M38</f>
        <v>39</v>
      </c>
      <c r="BY38" s="71">
        <f t="shared" ref="BY38:BY101" si="229">Q38</f>
        <v>70</v>
      </c>
      <c r="BZ38" s="72">
        <f t="shared" ref="BZ38:BZ101" si="230">U38</f>
        <v>73</v>
      </c>
      <c r="CA38" s="71">
        <f t="shared" ref="CA38:CA101" si="231">Y38</f>
        <v>109</v>
      </c>
      <c r="CB38" s="72">
        <f t="shared" ref="CB38:CB101" si="232">AC38</f>
        <v>117</v>
      </c>
      <c r="CC38" s="71">
        <f t="shared" ref="CC38:CC101" si="233">AG38</f>
        <v>166</v>
      </c>
      <c r="CD38" s="72">
        <f t="shared" ref="CD38:CD101" si="234">AK38</f>
        <v>173</v>
      </c>
      <c r="CE38" s="71">
        <f t="shared" ref="CE38:CE101" si="235">AO38</f>
        <v>224</v>
      </c>
      <c r="CF38" s="72">
        <f t="shared" ref="CF38:CF101" si="236">AS38</f>
        <v>266</v>
      </c>
      <c r="CG38" s="71">
        <f t="shared" ref="CG38:CG101" si="237">AW38</f>
        <v>292</v>
      </c>
      <c r="CH38" s="70">
        <f t="shared" ref="CH38:CH101" si="238">G38</f>
        <v>34</v>
      </c>
      <c r="CI38" s="71">
        <f t="shared" ref="CI38:CI101" si="239">K38</f>
        <v>38</v>
      </c>
      <c r="CJ38" s="72">
        <f t="shared" ref="CJ38:CJ101" si="240">O38</f>
        <v>69</v>
      </c>
      <c r="CK38" s="72">
        <f t="shared" ref="CK38:CK101" si="241">S38</f>
        <v>72</v>
      </c>
      <c r="CL38" s="72">
        <f t="shared" ref="CL38:CL101" si="242">W38</f>
        <v>108</v>
      </c>
      <c r="CM38" s="72">
        <f t="shared" ref="CM38:CM101" si="243">AA38</f>
        <v>116</v>
      </c>
      <c r="CN38" s="72">
        <f t="shared" ref="CN38:CN101" si="244">AE38</f>
        <v>142</v>
      </c>
      <c r="CO38" s="72">
        <f t="shared" ref="CO38:CO101" si="245">AI38</f>
        <v>168</v>
      </c>
      <c r="CP38" s="72">
        <f t="shared" ref="CP38:CP101" si="246">AM38</f>
        <v>207</v>
      </c>
      <c r="CQ38" s="72">
        <f t="shared" ref="CQ38:CQ101" si="247">AQ38</f>
        <v>259</v>
      </c>
      <c r="CR38" s="72">
        <f t="shared" ref="CR38:CR101" si="248">AU38</f>
        <v>291</v>
      </c>
      <c r="CS38" s="72">
        <f t="shared" ref="CS38:CS101" si="249">AY38</f>
        <v>305</v>
      </c>
      <c r="CT38" s="23">
        <f t="shared" ref="CT38:CT101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9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9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9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9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9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9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9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9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9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9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9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9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9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9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9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9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20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20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9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9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9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9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9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9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9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9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9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9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20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20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20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x14ac:dyDescent="0.2">
      <c r="A72" s="3" t="str">
        <f t="shared" si="0"/>
        <v>acm1_human__wt</v>
      </c>
      <c r="B72" s="3" t="s">
        <v>146</v>
      </c>
      <c r="C72" s="3" t="s">
        <v>100</v>
      </c>
      <c r="D72" s="3" t="str">
        <f>IFERROR(MID(VLOOKUP($B72,Seqs!$A:$B,2,0),E72,1),"")</f>
        <v>P</v>
      </c>
      <c r="E72" s="3">
        <v>22</v>
      </c>
      <c r="F72" s="3" t="str">
        <f>IFERROR(MID(VLOOKUP($B72,Seqs!$A:$B,2,0),G72,1),"")</f>
        <v>N</v>
      </c>
      <c r="G72" s="3">
        <v>53</v>
      </c>
      <c r="H72" s="3" t="str">
        <f>IFERROR(MID(VLOOKUP($B72,Seqs!$A:$B,2,0),I72,1),"")</f>
        <v>T</v>
      </c>
      <c r="I72" s="23">
        <v>54</v>
      </c>
      <c r="J72" s="3" t="str">
        <f>IFERROR(MID(VLOOKUP($B72,Seqs!$A:$B,2,0),K72,1),"")</f>
        <v>K</v>
      </c>
      <c r="K72" s="23">
        <v>57</v>
      </c>
      <c r="L72" s="3" t="str">
        <f>IFERROR(MID(VLOOKUP($B72,Seqs!$A:$B,2,0),M72,1),"")</f>
        <v>T</v>
      </c>
      <c r="M72" s="3">
        <v>58</v>
      </c>
      <c r="N72" s="3" t="str">
        <f>IFERROR(MID(VLOOKUP($B72,Seqs!$A:$B,2,0),O72,1),"")</f>
        <v>G</v>
      </c>
      <c r="O72" s="3">
        <v>89</v>
      </c>
      <c r="P72" s="3" t="str">
        <f>IFERROR(MID(VLOOKUP($B72,Seqs!$A:$B,2,0),Q72,1),"")</f>
        <v>H</v>
      </c>
      <c r="Q72" s="3">
        <v>90</v>
      </c>
      <c r="R72" s="3" t="str">
        <f>IFERROR(MID(VLOOKUP($B72,Seqs!$A:$B,2,0),S72,1),"")</f>
        <v>L</v>
      </c>
      <c r="S72" s="3">
        <v>93</v>
      </c>
      <c r="T72" s="3" t="str">
        <f>IFERROR(MID(VLOOKUP($B72,Seqs!$A:$B,2,0),U72,1),"")</f>
        <v>G</v>
      </c>
      <c r="U72" s="3">
        <v>94</v>
      </c>
      <c r="V72" s="3" t="str">
        <f>IFERROR(MID(VLOOKUP($B72,Seqs!$A:$B,2,0),W72,1),"")</f>
        <v>R</v>
      </c>
      <c r="W72" s="3">
        <v>129</v>
      </c>
      <c r="X72" s="3" t="str">
        <f>IFERROR(MID(VLOOKUP($B72,Seqs!$A:$B,2,0),Y72,1),"")</f>
        <v>P</v>
      </c>
      <c r="Y72" s="3">
        <v>130</v>
      </c>
      <c r="Z72" s="3" t="str">
        <f>IFERROR(MID(VLOOKUP($B72,Seqs!$A:$B,2,0),AA72,1),"")</f>
        <v>R</v>
      </c>
      <c r="AA72" s="3">
        <v>137</v>
      </c>
      <c r="AB72" s="3" t="str">
        <f>IFERROR(MID(VLOOKUP($B72,Seqs!$A:$B,2,0),AC72,1),"")</f>
        <v>T</v>
      </c>
      <c r="AC72" s="3">
        <v>138</v>
      </c>
      <c r="AD72" s="3" t="str">
        <f>IFERROR(MID(VLOOKUP($B72,Seqs!$A:$B,2,0),AE72,1),"")</f>
        <v>G</v>
      </c>
      <c r="AE72" s="3">
        <v>169</v>
      </c>
      <c r="AF72" s="3" t="str">
        <f>IFERROR(MID(VLOOKUP($B72,Seqs!$A:$B,2,0),AG72,1),"")</f>
        <v>C</v>
      </c>
      <c r="AG72" s="3">
        <v>178</v>
      </c>
      <c r="AH72" s="3" t="str">
        <f>IFERROR(MID(VLOOKUP($B72,Seqs!$A:$B,2,0),AI72,1),"")</f>
        <v>I</v>
      </c>
      <c r="AI72" s="3">
        <v>180</v>
      </c>
      <c r="AJ72" s="3" t="str">
        <f>IFERROR(MID(VLOOKUP($B72,Seqs!$A:$B,2,0),AK72,1),"")</f>
        <v>Q</v>
      </c>
      <c r="AK72" s="3">
        <v>185</v>
      </c>
      <c r="AL72" s="3" t="str">
        <f>IFERROR(MID(VLOOKUP($B72,Seqs!$A:$B,2,0),AM72,1),"")</f>
        <v>L</v>
      </c>
      <c r="AM72" s="3">
        <v>225</v>
      </c>
      <c r="AN72" s="3" t="str">
        <f>IFERROR(MID(VLOOKUP($B72,Seqs!$A:$B,2,0),AO72,1),"")</f>
        <v>T</v>
      </c>
      <c r="AO72" s="3">
        <v>354</v>
      </c>
      <c r="AP72" s="3" t="str">
        <f>IFERROR(MID(VLOOKUP($B72,Seqs!$A:$B,2,0),AQ72,1),"")</f>
        <v>C</v>
      </c>
      <c r="AQ72" s="3">
        <v>391</v>
      </c>
      <c r="AR72" s="3" t="str">
        <f>IFERROR(MID(VLOOKUP($B72,Seqs!$A:$B,2,0),AS72,1),"")</f>
        <v>P</v>
      </c>
      <c r="AS72" s="3">
        <v>396</v>
      </c>
      <c r="AT72" s="3" t="str">
        <f>IFERROR(MID(VLOOKUP($B72,Seqs!$A:$B,2,0),AU72,1),"")</f>
        <v>C</v>
      </c>
      <c r="AU72" s="3">
        <v>421</v>
      </c>
      <c r="AV72" s="3" t="str">
        <f>IFERROR(MID(VLOOKUP($B72,Seqs!$A:$B,2,0),AW72,1),"")</f>
        <v>N</v>
      </c>
      <c r="AW72" s="3">
        <v>422</v>
      </c>
      <c r="AX72" s="3" t="str">
        <f>IFERROR(MID(VLOOKUP($B72,Seqs!$A:$B,2,0),AY72,1),"")</f>
        <v>L</v>
      </c>
      <c r="AY72" s="3">
        <v>434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1"/>
        <v>1</v>
      </c>
      <c r="BC72" s="23">
        <f t="shared" si="225"/>
        <v>269</v>
      </c>
      <c r="BD72" s="56" t="s">
        <v>23</v>
      </c>
      <c r="BE72" s="3" t="s">
        <v>23</v>
      </c>
      <c r="BF72" s="119" t="s">
        <v>23</v>
      </c>
      <c r="BG72" s="49" t="s">
        <v>1372</v>
      </c>
      <c r="BH72" s="49" t="s">
        <v>1377</v>
      </c>
      <c r="BI72" s="1"/>
      <c r="BJ72" s="70" t="s">
        <v>1287</v>
      </c>
      <c r="BK72" s="57" t="s">
        <v>1287</v>
      </c>
      <c r="BL72" s="57" t="s">
        <v>1287</v>
      </c>
      <c r="BM72" s="57" t="s">
        <v>1287</v>
      </c>
      <c r="BN72" s="57" t="s">
        <v>1287</v>
      </c>
      <c r="BO72" s="57" t="s">
        <v>1287</v>
      </c>
      <c r="BP72" s="57" t="s">
        <v>1287</v>
      </c>
      <c r="BQ72" s="57" t="s">
        <v>1287</v>
      </c>
      <c r="BR72" s="57" t="s">
        <v>1287</v>
      </c>
      <c r="BS72" s="57" t="s">
        <v>1287</v>
      </c>
      <c r="BT72" s="57" t="s">
        <v>1287</v>
      </c>
      <c r="BU72" s="57" t="s">
        <v>1287</v>
      </c>
      <c r="BV72" s="70">
        <f t="shared" si="226"/>
        <v>22</v>
      </c>
      <c r="BW72" s="71">
        <f t="shared" si="227"/>
        <v>54</v>
      </c>
      <c r="BX72" s="72">
        <f t="shared" si="228"/>
        <v>58</v>
      </c>
      <c r="BY72" s="71">
        <f t="shared" si="229"/>
        <v>90</v>
      </c>
      <c r="BZ72" s="72">
        <f t="shared" si="230"/>
        <v>94</v>
      </c>
      <c r="CA72" s="71">
        <f t="shared" si="231"/>
        <v>130</v>
      </c>
      <c r="CB72" s="72">
        <f t="shared" si="232"/>
        <v>138</v>
      </c>
      <c r="CC72" s="71">
        <f t="shared" si="233"/>
        <v>178</v>
      </c>
      <c r="CD72" s="72">
        <f t="shared" si="234"/>
        <v>185</v>
      </c>
      <c r="CE72" s="71">
        <f t="shared" si="235"/>
        <v>354</v>
      </c>
      <c r="CF72" s="72">
        <f t="shared" si="236"/>
        <v>396</v>
      </c>
      <c r="CG72" s="71">
        <f t="shared" si="237"/>
        <v>422</v>
      </c>
      <c r="CH72" s="70">
        <f t="shared" si="238"/>
        <v>53</v>
      </c>
      <c r="CI72" s="71">
        <f t="shared" si="239"/>
        <v>57</v>
      </c>
      <c r="CJ72" s="72">
        <f t="shared" si="240"/>
        <v>89</v>
      </c>
      <c r="CK72" s="72">
        <f t="shared" si="241"/>
        <v>93</v>
      </c>
      <c r="CL72" s="72">
        <f t="shared" si="242"/>
        <v>129</v>
      </c>
      <c r="CM72" s="72">
        <f t="shared" si="243"/>
        <v>137</v>
      </c>
      <c r="CN72" s="72">
        <f t="shared" si="244"/>
        <v>169</v>
      </c>
      <c r="CO72" s="72">
        <f t="shared" si="245"/>
        <v>180</v>
      </c>
      <c r="CP72" s="72">
        <f t="shared" si="246"/>
        <v>225</v>
      </c>
      <c r="CQ72" s="72">
        <f t="shared" si="247"/>
        <v>391</v>
      </c>
      <c r="CR72" s="72">
        <f t="shared" si="248"/>
        <v>421</v>
      </c>
      <c r="CS72" s="72">
        <f t="shared" si="249"/>
        <v>434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0"/>
        <v>acm1_human_5CXV</v>
      </c>
      <c r="B73" s="3" t="s">
        <v>146</v>
      </c>
      <c r="C73" s="3" t="s">
        <v>62</v>
      </c>
      <c r="D73" s="3" t="str">
        <f>IFERROR(MID(VLOOKUP($B73,Seqs!$A:$B,2,0),E73,1),"")</f>
        <v>P</v>
      </c>
      <c r="E73" s="3">
        <v>22</v>
      </c>
      <c r="F73" s="3" t="str">
        <f>IFERROR(MID(VLOOKUP($B73,Seqs!$A:$B,2,0),G73,1),"")</f>
        <v>N</v>
      </c>
      <c r="G73" s="3">
        <v>53</v>
      </c>
      <c r="H73" s="3" t="str">
        <f>IFERROR(MID(VLOOKUP($B73,Seqs!$A:$B,2,0),I73,1),"")</f>
        <v>T</v>
      </c>
      <c r="I73" s="23">
        <v>54</v>
      </c>
      <c r="J73" s="3" t="str">
        <f>IFERROR(MID(VLOOKUP($B73,Seqs!$A:$B,2,0),K73,1),"")</f>
        <v>K</v>
      </c>
      <c r="K73" s="23">
        <v>57</v>
      </c>
      <c r="L73" s="3" t="str">
        <f>IFERROR(MID(VLOOKUP($B73,Seqs!$A:$B,2,0),M73,1),"")</f>
        <v>T</v>
      </c>
      <c r="M73" s="3">
        <v>58</v>
      </c>
      <c r="N73" s="3" t="str">
        <f>IFERROR(MID(VLOOKUP($B73,Seqs!$A:$B,2,0),O73,1),"")</f>
        <v>G</v>
      </c>
      <c r="O73" s="3">
        <v>89</v>
      </c>
      <c r="P73" s="3" t="str">
        <f>IFERROR(MID(VLOOKUP($B73,Seqs!$A:$B,2,0),Q73,1),"")</f>
        <v>H</v>
      </c>
      <c r="Q73" s="3">
        <v>90</v>
      </c>
      <c r="R73" s="3" t="str">
        <f>IFERROR(MID(VLOOKUP($B73,Seqs!$A:$B,2,0),S73,1),"")</f>
        <v>L</v>
      </c>
      <c r="S73" s="3">
        <v>93</v>
      </c>
      <c r="T73" s="3" t="str">
        <f>IFERROR(MID(VLOOKUP($B73,Seqs!$A:$B,2,0),U73,1),"")</f>
        <v>G</v>
      </c>
      <c r="U73" s="3">
        <v>94</v>
      </c>
      <c r="V73" s="3" t="str">
        <f>IFERROR(MID(VLOOKUP($B73,Seqs!$A:$B,2,0),W73,1),"")</f>
        <v>R</v>
      </c>
      <c r="W73" s="3">
        <v>129</v>
      </c>
      <c r="X73" s="3" t="str">
        <f>IFERROR(MID(VLOOKUP($B73,Seqs!$A:$B,2,0),Y73,1),"")</f>
        <v>P</v>
      </c>
      <c r="Y73" s="3">
        <v>130</v>
      </c>
      <c r="Z73" s="3" t="str">
        <f>IFERROR(MID(VLOOKUP($B73,Seqs!$A:$B,2,0),AA73,1),"")</f>
        <v>R</v>
      </c>
      <c r="AA73" s="3">
        <v>137</v>
      </c>
      <c r="AB73" s="3" t="str">
        <f>IFERROR(MID(VLOOKUP($B73,Seqs!$A:$B,2,0),AC73,1),"")</f>
        <v>T</v>
      </c>
      <c r="AC73" s="9">
        <v>138</v>
      </c>
      <c r="AD73" s="3" t="str">
        <f>IFERROR(MID(VLOOKUP($B73,Seqs!$A:$B,2,0),AE73,1),"")</f>
        <v>G</v>
      </c>
      <c r="AE73" s="3">
        <v>169</v>
      </c>
      <c r="AF73" s="3" t="str">
        <f>IFERROR(MID(VLOOKUP($B73,Seqs!$A:$B,2,0),AG73,1),"")</f>
        <v>C</v>
      </c>
      <c r="AG73" s="3">
        <v>178</v>
      </c>
      <c r="AH73" s="3" t="str">
        <f>IFERROR(MID(VLOOKUP($B73,Seqs!$A:$B,2,0),AI73,1),"")</f>
        <v>I</v>
      </c>
      <c r="AI73" s="3">
        <v>180</v>
      </c>
      <c r="AJ73" s="3" t="str">
        <f>IFERROR(MID(VLOOKUP($B73,Seqs!$A:$B,2,0),AK73,1),"")</f>
        <v>Q</v>
      </c>
      <c r="AK73" s="3">
        <v>185</v>
      </c>
      <c r="AL73" s="3" t="str">
        <f>IFERROR(MID(VLOOKUP($B73,Seqs!$A:$B,2,0),AM73,1),"")</f>
        <v>R</v>
      </c>
      <c r="AM73" s="3">
        <v>213</v>
      </c>
      <c r="AN73" s="3" t="str">
        <f>IFERROR(MID(VLOOKUP($B73,Seqs!$A:$B,2,0),AO73,1),"")</f>
        <v>L</v>
      </c>
      <c r="AO73" s="3">
        <v>357</v>
      </c>
      <c r="AP73" s="3" t="str">
        <f>IFERROR(MID(VLOOKUP($B73,Seqs!$A:$B,2,0),AQ73,1),"")</f>
        <v>C</v>
      </c>
      <c r="AQ73" s="3">
        <v>391</v>
      </c>
      <c r="AR73" s="3" t="str">
        <f>IFERROR(MID(VLOOKUP($B73,Seqs!$A:$B,2,0),AS73,1),"")</f>
        <v>P</v>
      </c>
      <c r="AS73" s="3">
        <v>396</v>
      </c>
      <c r="AT73" s="3" t="str">
        <f>IFERROR(MID(VLOOKUP($B73,Seqs!$A:$B,2,0),AU73,1),"")</f>
        <v>C</v>
      </c>
      <c r="AU73" s="3">
        <v>421</v>
      </c>
      <c r="AV73" s="3" t="str">
        <f>IFERROR(MID(VLOOKUP($B73,Seqs!$A:$B,2,0),AW73,1),"")</f>
        <v>N</v>
      </c>
      <c r="AW73" s="3">
        <v>422</v>
      </c>
      <c r="AX73" s="3" t="str">
        <f>IFERROR(MID(VLOOKUP($B73,Seqs!$A:$B,2,0),AY73,1),"")</f>
        <v>L</v>
      </c>
      <c r="AY73" s="3">
        <v>434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1"/>
        <v>1</v>
      </c>
      <c r="BC73" s="23">
        <f t="shared" si="225"/>
        <v>254</v>
      </c>
      <c r="BD73" s="16" t="s">
        <v>1376</v>
      </c>
      <c r="BE73" s="3" t="s">
        <v>1374</v>
      </c>
      <c r="BF73" s="119">
        <v>2.7</v>
      </c>
      <c r="BG73" s="49" t="s">
        <v>1377</v>
      </c>
      <c r="BH73" s="49" t="s">
        <v>1377</v>
      </c>
      <c r="BI73" s="1"/>
      <c r="BJ73" s="70" t="s">
        <v>1287</v>
      </c>
      <c r="BK73" s="57" t="s">
        <v>1287</v>
      </c>
      <c r="BL73" s="57" t="s">
        <v>1287</v>
      </c>
      <c r="BM73" s="57" t="s">
        <v>1287</v>
      </c>
      <c r="BN73" s="57" t="s">
        <v>1287</v>
      </c>
      <c r="BO73" s="57" t="s">
        <v>1287</v>
      </c>
      <c r="BP73" s="57" t="s">
        <v>1287</v>
      </c>
      <c r="BQ73" s="57" t="s">
        <v>1287</v>
      </c>
      <c r="BR73" s="57" t="s">
        <v>1287</v>
      </c>
      <c r="BS73" s="57" t="s">
        <v>1287</v>
      </c>
      <c r="BT73" s="57" t="s">
        <v>1287</v>
      </c>
      <c r="BU73" s="57" t="s">
        <v>1287</v>
      </c>
      <c r="BV73" s="70">
        <f t="shared" si="226"/>
        <v>22</v>
      </c>
      <c r="BW73" s="71">
        <f t="shared" si="227"/>
        <v>54</v>
      </c>
      <c r="BX73" s="72">
        <f t="shared" si="228"/>
        <v>58</v>
      </c>
      <c r="BY73" s="71">
        <f t="shared" si="229"/>
        <v>90</v>
      </c>
      <c r="BZ73" s="72">
        <f t="shared" si="230"/>
        <v>94</v>
      </c>
      <c r="CA73" s="71">
        <f t="shared" si="231"/>
        <v>130</v>
      </c>
      <c r="CB73" s="72">
        <f t="shared" si="232"/>
        <v>138</v>
      </c>
      <c r="CC73" s="71">
        <f t="shared" si="233"/>
        <v>178</v>
      </c>
      <c r="CD73" s="72">
        <f t="shared" si="234"/>
        <v>185</v>
      </c>
      <c r="CE73" s="71">
        <f t="shared" si="235"/>
        <v>357</v>
      </c>
      <c r="CF73" s="72">
        <f t="shared" si="236"/>
        <v>396</v>
      </c>
      <c r="CG73" s="71">
        <f t="shared" si="237"/>
        <v>422</v>
      </c>
      <c r="CH73" s="70">
        <f t="shared" si="238"/>
        <v>53</v>
      </c>
      <c r="CI73" s="71">
        <f t="shared" si="239"/>
        <v>57</v>
      </c>
      <c r="CJ73" s="72">
        <f t="shared" si="240"/>
        <v>89</v>
      </c>
      <c r="CK73" s="72">
        <f t="shared" si="241"/>
        <v>93</v>
      </c>
      <c r="CL73" s="72">
        <f t="shared" si="242"/>
        <v>129</v>
      </c>
      <c r="CM73" s="72">
        <f t="shared" si="243"/>
        <v>137</v>
      </c>
      <c r="CN73" s="72">
        <f t="shared" si="244"/>
        <v>169</v>
      </c>
      <c r="CO73" s="72">
        <f t="shared" si="245"/>
        <v>180</v>
      </c>
      <c r="CP73" s="72">
        <f t="shared" si="246"/>
        <v>213</v>
      </c>
      <c r="CQ73" s="72">
        <f t="shared" si="247"/>
        <v>391</v>
      </c>
      <c r="CR73" s="72">
        <f t="shared" si="248"/>
        <v>421</v>
      </c>
      <c r="CS73" s="72">
        <f t="shared" si="249"/>
        <v>434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s="12" customFormat="1" x14ac:dyDescent="0.2">
      <c r="A74" s="9" t="str">
        <f t="shared" ref="A74" si="419">CONCATENATE(B74,"_",C74)</f>
        <v>acm1_human_6OIJ</v>
      </c>
      <c r="B74" s="9" t="s">
        <v>146</v>
      </c>
      <c r="C74" s="9" t="s">
        <v>1577</v>
      </c>
      <c r="D74" s="9" t="str">
        <f>IFERROR(MID(VLOOKUP($B74,Seqs!$A:$B,2,0),E74,1),"")</f>
        <v>W</v>
      </c>
      <c r="E74" s="9">
        <v>23</v>
      </c>
      <c r="F74" s="9" t="str">
        <f>IFERROR(MID(VLOOKUP($B74,Seqs!$A:$B,2,0),G74,1),"")</f>
        <v>N</v>
      </c>
      <c r="G74" s="9">
        <v>53</v>
      </c>
      <c r="H74" s="9" t="str">
        <f>IFERROR(MID(VLOOKUP($B74,Seqs!$A:$B,2,0),I74,1),"")</f>
        <v>T</v>
      </c>
      <c r="I74" s="109">
        <v>54</v>
      </c>
      <c r="J74" s="9" t="str">
        <f>IFERROR(MID(VLOOKUP($B74,Seqs!$A:$B,2,0),K74,1),"")</f>
        <v>K</v>
      </c>
      <c r="K74" s="109">
        <v>57</v>
      </c>
      <c r="L74" s="9" t="str">
        <f>IFERROR(MID(VLOOKUP($B74,Seqs!$A:$B,2,0),M74,1),"")</f>
        <v>N</v>
      </c>
      <c r="M74" s="9">
        <v>60</v>
      </c>
      <c r="N74" s="9" t="str">
        <f>IFERROR(MID(VLOOKUP($B74,Seqs!$A:$B,2,0),O74,1),"")</f>
        <v>G</v>
      </c>
      <c r="O74" s="9">
        <v>89</v>
      </c>
      <c r="P74" s="9" t="str">
        <f>IFERROR(MID(VLOOKUP($B74,Seqs!$A:$B,2,0),Q74,1),"")</f>
        <v>H</v>
      </c>
      <c r="Q74" s="9">
        <v>90</v>
      </c>
      <c r="R74" s="9" t="str">
        <f>IFERROR(MID(VLOOKUP($B74,Seqs!$A:$B,2,0),S74,1),"")</f>
        <v>L</v>
      </c>
      <c r="S74" s="9">
        <v>93</v>
      </c>
      <c r="T74" s="9" t="str">
        <f>IFERROR(MID(VLOOKUP($B74,Seqs!$A:$B,2,0),U74,1),"")</f>
        <v>G</v>
      </c>
      <c r="U74" s="9">
        <v>94</v>
      </c>
      <c r="V74" s="9" t="str">
        <f>IFERROR(MID(VLOOKUP($B74,Seqs!$A:$B,2,0),W74,1),"")</f>
        <v>R</v>
      </c>
      <c r="W74" s="9">
        <v>129</v>
      </c>
      <c r="X74" s="9" t="str">
        <f>IFERROR(MID(VLOOKUP($B74,Seqs!$A:$B,2,0),Y74,1),"")</f>
        <v>P</v>
      </c>
      <c r="Y74" s="9">
        <v>130</v>
      </c>
      <c r="Z74" s="9" t="str">
        <f>IFERROR(MID(VLOOKUP($B74,Seqs!$A:$B,2,0),AA74,1),"")</f>
        <v>R</v>
      </c>
      <c r="AA74" s="9">
        <v>137</v>
      </c>
      <c r="AB74" s="9" t="str">
        <f>IFERROR(MID(VLOOKUP($B74,Seqs!$A:$B,2,0),AC74,1),"")</f>
        <v>T</v>
      </c>
      <c r="AC74" s="9">
        <v>138</v>
      </c>
      <c r="AD74" s="9" t="str">
        <f>IFERROR(MID(VLOOKUP($B74,Seqs!$A:$B,2,0),AE74,1),"")</f>
        <v>G</v>
      </c>
      <c r="AE74" s="9">
        <v>169</v>
      </c>
      <c r="AF74" s="9" t="str">
        <f>IFERROR(MID(VLOOKUP($B74,Seqs!$A:$B,2,0),AG74,1),"")</f>
        <v>C</v>
      </c>
      <c r="AG74" s="9">
        <v>178</v>
      </c>
      <c r="AH74" s="9" t="str">
        <f>IFERROR(MID(VLOOKUP($B74,Seqs!$A:$B,2,0),AI74,1),"")</f>
        <v>I</v>
      </c>
      <c r="AI74" s="9">
        <v>180</v>
      </c>
      <c r="AJ74" s="9" t="str">
        <f>IFERROR(MID(VLOOKUP($B74,Seqs!$A:$B,2,0),AK74,1),"")</f>
        <v>Q</v>
      </c>
      <c r="AK74" s="9">
        <v>185</v>
      </c>
      <c r="AL74" s="9" t="str">
        <f>IFERROR(MID(VLOOKUP($B74,Seqs!$A:$B,2,0),AM74,1),"")</f>
        <v>L</v>
      </c>
      <c r="AM74" s="9">
        <v>225</v>
      </c>
      <c r="AN74" s="9" t="str">
        <f>IFERROR(MID(VLOOKUP($B74,Seqs!$A:$B,2,0),AO74,1),"")</f>
        <v>K</v>
      </c>
      <c r="AO74" s="9">
        <v>362</v>
      </c>
      <c r="AP74" s="9" t="str">
        <f>IFERROR(MID(VLOOKUP($B74,Seqs!$A:$B,2,0),AQ74,1),"")</f>
        <v>C</v>
      </c>
      <c r="AQ74" s="9">
        <v>391</v>
      </c>
      <c r="AR74" s="9" t="str">
        <f>IFERROR(MID(VLOOKUP($B74,Seqs!$A:$B,2,0),AS74,1),"")</f>
        <v>E</v>
      </c>
      <c r="AS74" s="9">
        <v>397</v>
      </c>
      <c r="AT74" s="9" t="str">
        <f>IFERROR(MID(VLOOKUP($B74,Seqs!$A:$B,2,0),AU74,1),"")</f>
        <v>C</v>
      </c>
      <c r="AU74" s="9">
        <v>421</v>
      </c>
      <c r="AV74" s="9" t="str">
        <f>IFERROR(MID(VLOOKUP($B74,Seqs!$A:$B,2,0),AW74,1),"")</f>
        <v>N</v>
      </c>
      <c r="AW74" s="9">
        <v>422</v>
      </c>
      <c r="AX74" s="9" t="str">
        <f>IFERROR(MID(VLOOKUP($B74,Seqs!$A:$B,2,0),AY74,1),"")</f>
        <v>L</v>
      </c>
      <c r="AY74" s="9">
        <v>433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420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421">_xlfn.AGGREGATE(9,6,CH74:CS74)-_xlfn.AGGREGATE(9,6,BV74:CG74)+12</f>
        <v>256</v>
      </c>
      <c r="BD74" s="127" t="s">
        <v>1375</v>
      </c>
      <c r="BE74" s="9" t="s">
        <v>1291</v>
      </c>
      <c r="BF74" s="120">
        <v>3.3</v>
      </c>
      <c r="BG74" s="51" t="s">
        <v>1422</v>
      </c>
      <c r="BH74" s="51" t="s">
        <v>1422</v>
      </c>
      <c r="BJ74" s="111" t="s">
        <v>1287</v>
      </c>
      <c r="BK74" s="112" t="s">
        <v>1287</v>
      </c>
      <c r="BL74" s="112" t="s">
        <v>1287</v>
      </c>
      <c r="BM74" s="112" t="s">
        <v>1287</v>
      </c>
      <c r="BN74" s="112" t="s">
        <v>1287</v>
      </c>
      <c r="BO74" s="112" t="s">
        <v>1287</v>
      </c>
      <c r="BP74" s="112" t="s">
        <v>1287</v>
      </c>
      <c r="BQ74" s="112" t="s">
        <v>1287</v>
      </c>
      <c r="BR74" s="112" t="s">
        <v>1287</v>
      </c>
      <c r="BS74" s="112" t="s">
        <v>1287</v>
      </c>
      <c r="BT74" s="112" t="s">
        <v>1287</v>
      </c>
      <c r="BU74" s="112" t="s">
        <v>1287</v>
      </c>
      <c r="BV74" s="111">
        <f t="shared" ref="BV74" si="422">E74</f>
        <v>23</v>
      </c>
      <c r="BW74" s="113">
        <f t="shared" ref="BW74" si="423">I74</f>
        <v>54</v>
      </c>
      <c r="BX74" s="114">
        <f t="shared" ref="BX74" si="424">M74</f>
        <v>60</v>
      </c>
      <c r="BY74" s="113">
        <f t="shared" ref="BY74" si="425">Q74</f>
        <v>90</v>
      </c>
      <c r="BZ74" s="114">
        <f t="shared" ref="BZ74" si="426">U74</f>
        <v>94</v>
      </c>
      <c r="CA74" s="113">
        <f t="shared" ref="CA74" si="427">Y74</f>
        <v>130</v>
      </c>
      <c r="CB74" s="114">
        <f t="shared" ref="CB74" si="428">AC74</f>
        <v>138</v>
      </c>
      <c r="CC74" s="113">
        <f t="shared" ref="CC74" si="429">AG74</f>
        <v>178</v>
      </c>
      <c r="CD74" s="114">
        <f t="shared" ref="CD74" si="430">AK74</f>
        <v>185</v>
      </c>
      <c r="CE74" s="113">
        <f t="shared" ref="CE74" si="431">AO74</f>
        <v>362</v>
      </c>
      <c r="CF74" s="114">
        <f t="shared" ref="CF74" si="432">AS74</f>
        <v>397</v>
      </c>
      <c r="CG74" s="113">
        <f t="shared" ref="CG74" si="433">AW74</f>
        <v>422</v>
      </c>
      <c r="CH74" s="111">
        <f t="shared" ref="CH74" si="434">G74</f>
        <v>53</v>
      </c>
      <c r="CI74" s="113">
        <f t="shared" ref="CI74" si="435">K74</f>
        <v>57</v>
      </c>
      <c r="CJ74" s="114">
        <f t="shared" ref="CJ74" si="436">O74</f>
        <v>89</v>
      </c>
      <c r="CK74" s="114">
        <f t="shared" ref="CK74" si="437">S74</f>
        <v>93</v>
      </c>
      <c r="CL74" s="114">
        <f t="shared" ref="CL74" si="438">W74</f>
        <v>129</v>
      </c>
      <c r="CM74" s="114">
        <f t="shared" ref="CM74" si="439">AA74</f>
        <v>137</v>
      </c>
      <c r="CN74" s="114">
        <f t="shared" ref="CN74" si="440">AE74</f>
        <v>169</v>
      </c>
      <c r="CO74" s="114">
        <f t="shared" ref="CO74" si="441">AI74</f>
        <v>180</v>
      </c>
      <c r="CP74" s="114">
        <f t="shared" ref="CP74" si="442">AM74</f>
        <v>225</v>
      </c>
      <c r="CQ74" s="114">
        <f t="shared" ref="CQ74" si="443">AQ74</f>
        <v>391</v>
      </c>
      <c r="CR74" s="114">
        <f t="shared" ref="CR74" si="444">AU74</f>
        <v>421</v>
      </c>
      <c r="CS74" s="114">
        <f t="shared" ref="CS74" si="445">AY74</f>
        <v>433</v>
      </c>
      <c r="CT74" s="109">
        <f t="shared" ref="CT74" si="446">M74-K74</f>
        <v>3</v>
      </c>
    </row>
    <row r="75" spans="1:1029" x14ac:dyDescent="0.2">
      <c r="A75" s="3" t="str">
        <f t="shared" si="0"/>
        <v>acm2_human__wt</v>
      </c>
      <c r="B75" s="3" t="s">
        <v>147</v>
      </c>
      <c r="C75" s="3" t="s">
        <v>100</v>
      </c>
      <c r="D75" s="3" t="str">
        <f>IFERROR(MID(VLOOKUP($B75,Seqs!$A:$B,2,0),E75,1),"")</f>
        <v>K</v>
      </c>
      <c r="E75" s="3">
        <v>19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105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E</v>
      </c>
      <c r="AM75" s="3">
        <v>223</v>
      </c>
      <c r="AN75" s="3" t="str">
        <f>IFERROR(MID(VLOOKUP($B75,Seqs!$A:$B,2,0),AO75,1),"")</f>
        <v>K</v>
      </c>
      <c r="AO75" s="3">
        <v>376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270</v>
      </c>
      <c r="BD75" s="56" t="s">
        <v>23</v>
      </c>
      <c r="BE75" s="3" t="s">
        <v>23</v>
      </c>
      <c r="BF75" s="119" t="s">
        <v>23</v>
      </c>
      <c r="BG75" s="49" t="s">
        <v>1372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19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376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87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223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:A120" si="447">CONCATENATE(B76,"_",C76)</f>
        <v>acm2_human_3UON</v>
      </c>
      <c r="B76" s="3" t="s">
        <v>147</v>
      </c>
      <c r="C76" s="3" t="s">
        <v>79</v>
      </c>
      <c r="D76" s="3" t="str">
        <f>IFERROR(MID(VLOOKUP($B76,Seqs!$A:$B,2,0),E76,1),"")</f>
        <v>V</v>
      </c>
      <c r="E76" s="3">
        <v>23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I</v>
      </c>
      <c r="O76" s="3">
        <v>86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S</v>
      </c>
      <c r="AM76" s="3">
        <v>213</v>
      </c>
      <c r="AN76" s="3" t="str">
        <f>IFERROR(MID(VLOOKUP($B76,Seqs!$A:$B,2,0),AO76,1),"")</f>
        <v>K</v>
      </c>
      <c r="AO76" s="3">
        <v>384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:BB120" si="448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si="225"/>
        <v>247</v>
      </c>
      <c r="BD76" s="16" t="s">
        <v>23</v>
      </c>
      <c r="BE76" s="3" t="s">
        <v>1374</v>
      </c>
      <c r="BF76" s="119">
        <v>3</v>
      </c>
      <c r="BG76" s="49" t="s">
        <v>1377</v>
      </c>
      <c r="BH76" s="49" t="s">
        <v>1377</v>
      </c>
      <c r="BI76" s="1"/>
      <c r="BJ76" s="70" t="s">
        <v>1287</v>
      </c>
      <c r="BK76" s="57" t="s">
        <v>1287</v>
      </c>
      <c r="BL76" s="57" t="s">
        <v>1287</v>
      </c>
      <c r="BM76" s="57" t="s">
        <v>1287</v>
      </c>
      <c r="BN76" s="57" t="s">
        <v>1287</v>
      </c>
      <c r="BO76" s="57" t="s">
        <v>1287</v>
      </c>
      <c r="BP76" s="57" t="s">
        <v>1287</v>
      </c>
      <c r="BQ76" s="57" t="s">
        <v>1287</v>
      </c>
      <c r="BR76" s="57" t="s">
        <v>1287</v>
      </c>
      <c r="BS76" s="57" t="s">
        <v>1287</v>
      </c>
      <c r="BT76" s="57" t="s">
        <v>1287</v>
      </c>
      <c r="BU76" s="57" t="s">
        <v>1287</v>
      </c>
      <c r="BV76" s="70">
        <f t="shared" si="226"/>
        <v>23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384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86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213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447"/>
        <v>acm2_human_4MQS</v>
      </c>
      <c r="B77" s="3" t="s">
        <v>147</v>
      </c>
      <c r="C77" s="3" t="s">
        <v>68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S</v>
      </c>
      <c r="AO77" s="3">
        <v>380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448"/>
        <v>1</v>
      </c>
      <c r="BC77" s="23">
        <f t="shared" si="225"/>
        <v>257</v>
      </c>
      <c r="BD77" s="4" t="s">
        <v>23</v>
      </c>
      <c r="BE77" s="3" t="s">
        <v>1291</v>
      </c>
      <c r="BF77" s="119">
        <v>3.5</v>
      </c>
      <c r="BG77" s="49" t="s">
        <v>1377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380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214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447"/>
        <v>acm2_human_4MQT</v>
      </c>
      <c r="B78" s="3" t="s">
        <v>147</v>
      </c>
      <c r="C78" s="3" t="s">
        <v>1046</v>
      </c>
      <c r="D78" s="3" t="str">
        <f>IFERROR(MID(VLOOKUP($B78,Seqs!$A:$B,2,0),E78,1),"")</f>
        <v>K</v>
      </c>
      <c r="E78" s="3">
        <v>19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215</v>
      </c>
      <c r="AN78" s="3" t="str">
        <f>IFERROR(MID(VLOOKUP($B78,Seqs!$A:$B,2,0),AO78,1),"")</f>
        <v>P</v>
      </c>
      <c r="AO78" s="3">
        <v>379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C</v>
      </c>
      <c r="AY78" s="3">
        <v>457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448"/>
        <v>1</v>
      </c>
      <c r="BC78" s="23">
        <f t="shared" si="225"/>
        <v>260</v>
      </c>
      <c r="BD78" s="4" t="s">
        <v>1375</v>
      </c>
      <c r="BE78" s="3" t="s">
        <v>1291</v>
      </c>
      <c r="BF78" s="119">
        <v>3.7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19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379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87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215</v>
      </c>
      <c r="CQ78" s="72">
        <f t="shared" si="247"/>
        <v>413</v>
      </c>
      <c r="CR78" s="72">
        <f t="shared" si="248"/>
        <v>443</v>
      </c>
      <c r="CS78" s="72">
        <f t="shared" si="249"/>
        <v>457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acm2_human_5ZKC</v>
      </c>
      <c r="B79" s="3" t="s">
        <v>147</v>
      </c>
      <c r="C79" s="3" t="s">
        <v>1530</v>
      </c>
      <c r="D79" s="3" t="str">
        <f>IFERROR(MID(VLOOKUP($B79,Seqs!$A:$B,2,0),E79,1),"")</f>
        <v>P</v>
      </c>
      <c r="E79" s="3">
        <v>17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257</v>
      </c>
      <c r="BD79" s="4" t="s">
        <v>1376</v>
      </c>
      <c r="BE79" s="3" t="s">
        <v>1374</v>
      </c>
      <c r="BF79" s="119">
        <v>2.2999999999999998</v>
      </c>
      <c r="BG79" s="49" t="s">
        <v>1</v>
      </c>
      <c r="BH79" s="49" t="s">
        <v>1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ref="BV79" si="452">E79</f>
        <v>17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acm2_human_5ZKB</v>
      </c>
      <c r="B80" s="3" t="s">
        <v>147</v>
      </c>
      <c r="C80" s="3" t="s">
        <v>1531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V</v>
      </c>
      <c r="AE80" s="3">
        <v>166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S</v>
      </c>
      <c r="AO80" s="3">
        <v>380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257</v>
      </c>
      <c r="BD80" s="4" t="s">
        <v>23</v>
      </c>
      <c r="BE80" s="3" t="s">
        <v>1374</v>
      </c>
      <c r="BF80" s="119">
        <v>2.95</v>
      </c>
      <c r="BG80" s="49" t="s">
        <v>1</v>
      </c>
      <c r="BH80" s="49" t="s">
        <v>1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380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166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acm2_human_5ZK8</v>
      </c>
      <c r="B81" s="3" t="s">
        <v>147</v>
      </c>
      <c r="C81" s="3" t="s">
        <v>1532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K</v>
      </c>
      <c r="AO81" s="3">
        <v>383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255</v>
      </c>
      <c r="BD81" s="4" t="s">
        <v>23</v>
      </c>
      <c r="BE81" s="3" t="s">
        <v>1374</v>
      </c>
      <c r="BF81" s="119">
        <v>3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383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acm2_human_5ZK3</v>
      </c>
      <c r="B82" s="3" t="s">
        <v>147</v>
      </c>
      <c r="C82" s="3" t="s">
        <v>1533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E</v>
      </c>
      <c r="AO82" s="3">
        <v>382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256</v>
      </c>
      <c r="BD82" s="4" t="s">
        <v>23</v>
      </c>
      <c r="BE82" s="3" t="s">
        <v>1374</v>
      </c>
      <c r="BF82" s="119">
        <v>2.6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382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acm2_human_5YC8</v>
      </c>
      <c r="B83" s="3" t="s">
        <v>147</v>
      </c>
      <c r="C83" s="3" t="s">
        <v>1534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R</v>
      </c>
      <c r="AO83" s="3">
        <v>381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257</v>
      </c>
      <c r="BD83" s="4" t="s">
        <v>23</v>
      </c>
      <c r="BE83" s="3" t="s">
        <v>1374</v>
      </c>
      <c r="BF83" s="119">
        <v>2.5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381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s="12" customFormat="1" x14ac:dyDescent="0.2">
      <c r="A84" s="9" t="str">
        <f t="shared" ref="A84" si="589">CONCATENATE(B84,"_",C84)</f>
        <v>acm2_human_6OIK</v>
      </c>
      <c r="B84" s="9" t="s">
        <v>147</v>
      </c>
      <c r="C84" s="9" t="s">
        <v>1578</v>
      </c>
      <c r="D84" s="9" t="str">
        <f>IFERROR(MID(VLOOKUP($B84,Seqs!$A:$B,2,0),E84,1),"")</f>
        <v>T</v>
      </c>
      <c r="E84" s="9">
        <v>20</v>
      </c>
      <c r="F84" s="9" t="str">
        <f>IFERROR(MID(VLOOKUP($B84,Seqs!$A:$B,2,0),G84,1),"")</f>
        <v>V</v>
      </c>
      <c r="G84" s="9">
        <v>50</v>
      </c>
      <c r="H84" s="9" t="str">
        <f>IFERROR(MID(VLOOKUP($B84,Seqs!$A:$B,2,0),I84,1),"")</f>
        <v>R</v>
      </c>
      <c r="I84" s="109">
        <v>52</v>
      </c>
      <c r="J84" s="9" t="str">
        <f>IFERROR(MID(VLOOKUP($B84,Seqs!$A:$B,2,0),K84,1),"")</f>
        <v>Q</v>
      </c>
      <c r="K84" s="109">
        <v>55</v>
      </c>
      <c r="L84" s="9" t="str">
        <f>IFERROR(MID(VLOOKUP($B84,Seqs!$A:$B,2,0),M84,1),"")</f>
        <v>T</v>
      </c>
      <c r="M84" s="9">
        <v>56</v>
      </c>
      <c r="N84" s="9" t="str">
        <f>IFERROR(MID(VLOOKUP($B84,Seqs!$A:$B,2,0),O84,1),"")</f>
        <v>G</v>
      </c>
      <c r="O84" s="9">
        <v>87</v>
      </c>
      <c r="P84" s="9" t="str">
        <f>IFERROR(MID(VLOOKUP($B84,Seqs!$A:$B,2,0),Q84,1),"")</f>
        <v>Y</v>
      </c>
      <c r="Q84" s="9">
        <v>88</v>
      </c>
      <c r="R84" s="9" t="str">
        <f>IFERROR(MID(VLOOKUP($B84,Seqs!$A:$B,2,0),S84,1),"")</f>
        <v>L</v>
      </c>
      <c r="S84" s="9">
        <v>91</v>
      </c>
      <c r="T84" s="9" t="str">
        <f>IFERROR(MID(VLOOKUP($B84,Seqs!$A:$B,2,0),U84,1),"")</f>
        <v>G</v>
      </c>
      <c r="U84" s="9">
        <v>92</v>
      </c>
      <c r="V84" s="9" t="str">
        <f>IFERROR(MID(VLOOKUP($B84,Seqs!$A:$B,2,0),W84,1),"")</f>
        <v>K</v>
      </c>
      <c r="W84" s="9">
        <v>127</v>
      </c>
      <c r="X84" s="9" t="str">
        <f>IFERROR(MID(VLOOKUP($B84,Seqs!$A:$B,2,0),Y84,1),"")</f>
        <v>P</v>
      </c>
      <c r="Y84" s="9">
        <v>128</v>
      </c>
      <c r="Z84" s="9" t="str">
        <f>IFERROR(MID(VLOOKUP($B84,Seqs!$A:$B,2,0),AA84,1),"")</f>
        <v>R</v>
      </c>
      <c r="AA84" s="9">
        <v>135</v>
      </c>
      <c r="AB84" s="9" t="str">
        <f>IFERROR(MID(VLOOKUP($B84,Seqs!$A:$B,2,0),AC84,1),"")</f>
        <v>T</v>
      </c>
      <c r="AC84" s="9">
        <v>136</v>
      </c>
      <c r="AD84" s="9" t="str">
        <f>IFERROR(MID(VLOOKUP($B84,Seqs!$A:$B,2,0),AE84,1),"")</f>
        <v>G</v>
      </c>
      <c r="AE84" s="9">
        <v>167</v>
      </c>
      <c r="AF84" s="9" t="str">
        <f>IFERROR(MID(VLOOKUP($B84,Seqs!$A:$B,2,0),AG84,1),"")</f>
        <v>C</v>
      </c>
      <c r="AG84" s="9">
        <v>176</v>
      </c>
      <c r="AH84" s="9" t="str">
        <f>IFERROR(MID(VLOOKUP($B84,Seqs!$A:$B,2,0),AI84,1),"")</f>
        <v>I</v>
      </c>
      <c r="AI84" s="9">
        <v>178</v>
      </c>
      <c r="AJ84" s="9" t="str">
        <f>IFERROR(MID(VLOOKUP($B84,Seqs!$A:$B,2,0),AK84,1),"")</f>
        <v>A</v>
      </c>
      <c r="AK84" s="9">
        <v>184</v>
      </c>
      <c r="AL84" s="9" t="str">
        <f>IFERROR(MID(VLOOKUP($B84,Seqs!$A:$B,2,0),AM84,1),"")</f>
        <v>S</v>
      </c>
      <c r="AM84" s="9">
        <v>213</v>
      </c>
      <c r="AN84" s="9" t="str">
        <f>IFERROR(MID(VLOOKUP($B84,Seqs!$A:$B,2,0),AO84,1),"")</f>
        <v>E</v>
      </c>
      <c r="AO84" s="9">
        <v>382</v>
      </c>
      <c r="AP84" s="9" t="str">
        <f>IFERROR(MID(VLOOKUP($B84,Seqs!$A:$B,2,0),AQ84,1),"")</f>
        <v>C</v>
      </c>
      <c r="AQ84" s="9">
        <v>413</v>
      </c>
      <c r="AR84" s="9" t="str">
        <f>IFERROR(MID(VLOOKUP($B84,Seqs!$A:$B,2,0),AS84,1),"")</f>
        <v>N</v>
      </c>
      <c r="AS84" s="9">
        <v>419</v>
      </c>
      <c r="AT84" s="9" t="str">
        <f>IFERROR(MID(VLOOKUP($B84,Seqs!$A:$B,2,0),AU84,1),"")</f>
        <v>C</v>
      </c>
      <c r="AU84" s="9">
        <v>443</v>
      </c>
      <c r="AV84" s="9" t="str">
        <f>IFERROR(MID(VLOOKUP($B84,Seqs!$A:$B,2,0),AW84,1),"")</f>
        <v>N</v>
      </c>
      <c r="AW84" s="9">
        <v>444</v>
      </c>
      <c r="AX84" s="9" t="str">
        <f>IFERROR(MID(VLOOKUP($B84,Seqs!$A:$B,2,0),AY84,1),"")</f>
        <v>L</v>
      </c>
      <c r="AY84" s="9">
        <v>454</v>
      </c>
      <c r="AZ84" s="110" t="str">
        <f>VLOOKUP(B84,Classification!A:D,2,0)</f>
        <v>A</v>
      </c>
      <c r="BA84" s="98" t="str">
        <f>VLOOKUP(B84,Classification!A:D,4,0)</f>
        <v>Acetylcholine(muscarinic)</v>
      </c>
      <c r="BB84" s="36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109">
        <f t="shared" ref="BC84" si="591">_xlfn.AGGREGATE(9,6,CH84:CS84)-_xlfn.AGGREGATE(9,6,BV84:CG84)+12</f>
        <v>248</v>
      </c>
      <c r="BD84" s="11" t="s">
        <v>23</v>
      </c>
      <c r="BE84" s="9" t="s">
        <v>1291</v>
      </c>
      <c r="BF84" s="120">
        <v>3.6</v>
      </c>
      <c r="BG84" s="51" t="s">
        <v>1422</v>
      </c>
      <c r="BH84" s="51" t="s">
        <v>1422</v>
      </c>
      <c r="BJ84" s="111" t="s">
        <v>1287</v>
      </c>
      <c r="BK84" s="112" t="s">
        <v>1287</v>
      </c>
      <c r="BL84" s="112" t="s">
        <v>1287</v>
      </c>
      <c r="BM84" s="112" t="s">
        <v>1287</v>
      </c>
      <c r="BN84" s="112" t="s">
        <v>1287</v>
      </c>
      <c r="BO84" s="112" t="s">
        <v>1287</v>
      </c>
      <c r="BP84" s="112" t="s">
        <v>1287</v>
      </c>
      <c r="BQ84" s="112" t="s">
        <v>1287</v>
      </c>
      <c r="BR84" s="112" t="s">
        <v>1287</v>
      </c>
      <c r="BS84" s="112" t="s">
        <v>1287</v>
      </c>
      <c r="BT84" s="112" t="s">
        <v>1287</v>
      </c>
      <c r="BU84" s="112" t="s">
        <v>1287</v>
      </c>
      <c r="BV84" s="111">
        <f t="shared" ref="BV84" si="592">E84</f>
        <v>20</v>
      </c>
      <c r="BW84" s="113">
        <f t="shared" ref="BW84" si="593">I84</f>
        <v>52</v>
      </c>
      <c r="BX84" s="114">
        <f t="shared" ref="BX84" si="594">M84</f>
        <v>56</v>
      </c>
      <c r="BY84" s="113">
        <f t="shared" ref="BY84" si="595">Q84</f>
        <v>88</v>
      </c>
      <c r="BZ84" s="114">
        <f t="shared" ref="BZ84" si="596">U84</f>
        <v>92</v>
      </c>
      <c r="CA84" s="113">
        <f t="shared" ref="CA84" si="597">Y84</f>
        <v>128</v>
      </c>
      <c r="CB84" s="114">
        <f t="shared" ref="CB84" si="598">AC84</f>
        <v>136</v>
      </c>
      <c r="CC84" s="113">
        <f t="shared" ref="CC84" si="599">AG84</f>
        <v>176</v>
      </c>
      <c r="CD84" s="114">
        <f t="shared" ref="CD84" si="600">AK84</f>
        <v>184</v>
      </c>
      <c r="CE84" s="113">
        <f t="shared" ref="CE84" si="601">AO84</f>
        <v>382</v>
      </c>
      <c r="CF84" s="114">
        <f t="shared" ref="CF84" si="602">AS84</f>
        <v>419</v>
      </c>
      <c r="CG84" s="113">
        <f t="shared" ref="CG84" si="603">AW84</f>
        <v>444</v>
      </c>
      <c r="CH84" s="111">
        <f t="shared" ref="CH84" si="604">G84</f>
        <v>50</v>
      </c>
      <c r="CI84" s="113">
        <f t="shared" ref="CI84" si="605">K84</f>
        <v>55</v>
      </c>
      <c r="CJ84" s="114">
        <f t="shared" ref="CJ84" si="606">O84</f>
        <v>87</v>
      </c>
      <c r="CK84" s="114">
        <f t="shared" ref="CK84" si="607">S84</f>
        <v>91</v>
      </c>
      <c r="CL84" s="114">
        <f t="shared" ref="CL84" si="608">W84</f>
        <v>127</v>
      </c>
      <c r="CM84" s="114">
        <f t="shared" ref="CM84" si="609">AA84</f>
        <v>135</v>
      </c>
      <c r="CN84" s="114">
        <f t="shared" ref="CN84" si="610">AE84</f>
        <v>167</v>
      </c>
      <c r="CO84" s="114">
        <f t="shared" ref="CO84" si="611">AI84</f>
        <v>178</v>
      </c>
      <c r="CP84" s="114">
        <f t="shared" ref="CP84" si="612">AM84</f>
        <v>213</v>
      </c>
      <c r="CQ84" s="114">
        <f t="shared" ref="CQ84" si="613">AQ84</f>
        <v>413</v>
      </c>
      <c r="CR84" s="114">
        <f t="shared" ref="CR84" si="614">AU84</f>
        <v>443</v>
      </c>
      <c r="CS84" s="114">
        <f t="shared" ref="CS84" si="615">AY84</f>
        <v>454</v>
      </c>
      <c r="CT84" s="109">
        <f t="shared" ref="CT84" si="616">M84-K84</f>
        <v>1</v>
      </c>
    </row>
    <row r="85" spans="1:1029" x14ac:dyDescent="0.2">
      <c r="A85" s="3" t="str">
        <f t="shared" si="447"/>
        <v>acm3_rat__wt</v>
      </c>
      <c r="B85" s="3" t="s">
        <v>909</v>
      </c>
      <c r="C85" s="3" t="s">
        <v>100</v>
      </c>
      <c r="D85" s="3" t="str">
        <f>IFERROR(MID(VLOOKUP($B85,Seqs!$A:$B,2,0),E85,1),"")</f>
        <v>T</v>
      </c>
      <c r="E85" s="105">
        <v>63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3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L</v>
      </c>
      <c r="AM85" s="3">
        <v>267</v>
      </c>
      <c r="AN85" s="3" t="str">
        <f>IFERROR(MID(VLOOKUP($B85,Seqs!$A:$B,2,0),AO85,1),"")</f>
        <v>R</v>
      </c>
      <c r="AO85" s="3">
        <v>479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>N</v>
      </c>
      <c r="AW85" s="3">
        <v>547</v>
      </c>
      <c r="AX85" s="3" t="str">
        <f>IFERROR(MID(VLOOKUP($B85,Seqs!$A:$B,2,0),AY85,1),"")</f>
        <v>C</v>
      </c>
      <c r="AY85" s="3">
        <v>560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448"/>
        <v>1</v>
      </c>
      <c r="BC85" s="23">
        <f t="shared" si="225"/>
        <v>270</v>
      </c>
      <c r="BD85" s="56" t="s">
        <v>23</v>
      </c>
      <c r="BE85" s="3" t="s">
        <v>23</v>
      </c>
      <c r="BF85" s="119" t="s">
        <v>23</v>
      </c>
      <c r="BG85" s="49" t="s">
        <v>1372</v>
      </c>
      <c r="BH85" s="49" t="s">
        <v>1377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si="226"/>
        <v>63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479</v>
      </c>
      <c r="CF85" s="72">
        <f t="shared" si="236"/>
        <v>521</v>
      </c>
      <c r="CG85" s="71">
        <f t="shared" si="237"/>
        <v>547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267</v>
      </c>
      <c r="CQ85" s="72">
        <f t="shared" si="247"/>
        <v>516</v>
      </c>
      <c r="CR85" s="72">
        <f t="shared" si="248"/>
        <v>546</v>
      </c>
      <c r="CS85" s="72">
        <f t="shared" si="249"/>
        <v>560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447"/>
        <v>acm3_rat_4U15</v>
      </c>
      <c r="B86" s="3" t="s">
        <v>909</v>
      </c>
      <c r="C86" s="3" t="s">
        <v>71</v>
      </c>
      <c r="D86" s="3" t="str">
        <f>IFERROR(MID(VLOOKUP($B86,Seqs!$A:$B,2,0),E86,1),"")</f>
        <v>I</v>
      </c>
      <c r="E86" s="3">
        <v>64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9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K</v>
      </c>
      <c r="AM86" s="3">
        <v>259</v>
      </c>
      <c r="AN86" s="3" t="str">
        <f>IFERROR(MID(VLOOKUP($B86,Seqs!$A:$B,2,0),AO86,1),"")</f>
        <v>I</v>
      </c>
      <c r="AO86" s="3">
        <v>483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>N</v>
      </c>
      <c r="AW86" s="3">
        <v>547</v>
      </c>
      <c r="AX86" s="3" t="str">
        <f>IFERROR(MID(VLOOKUP($B86,Seqs!$A:$B,2,0),AY86,1),"")</f>
        <v>L</v>
      </c>
      <c r="AY86" s="3">
        <v>558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48"/>
        <v>1</v>
      </c>
      <c r="BC86" s="23">
        <f t="shared" si="225"/>
        <v>255</v>
      </c>
      <c r="BD86" s="16" t="s">
        <v>23</v>
      </c>
      <c r="BE86" s="3" t="s">
        <v>1374</v>
      </c>
      <c r="BF86" s="119">
        <v>2.8</v>
      </c>
      <c r="BG86" s="49" t="s">
        <v>1377</v>
      </c>
      <c r="BH86" s="49" t="s">
        <v>1377</v>
      </c>
      <c r="BI86" s="1"/>
      <c r="BJ86" s="70" t="s">
        <v>1287</v>
      </c>
      <c r="BK86" s="57" t="s">
        <v>1287</v>
      </c>
      <c r="BL86" s="57" t="s">
        <v>1287</v>
      </c>
      <c r="BM86" s="57" t="s">
        <v>1287</v>
      </c>
      <c r="BN86" s="57" t="s">
        <v>1287</v>
      </c>
      <c r="BO86" s="57" t="s">
        <v>1287</v>
      </c>
      <c r="BP86" s="57" t="s">
        <v>1287</v>
      </c>
      <c r="BQ86" s="57" t="s">
        <v>1287</v>
      </c>
      <c r="BR86" s="57" t="s">
        <v>1287</v>
      </c>
      <c r="BS86" s="57" t="s">
        <v>1287</v>
      </c>
      <c r="BT86" s="57" t="s">
        <v>1287</v>
      </c>
      <c r="BU86" s="57" t="s">
        <v>1287</v>
      </c>
      <c r="BV86" s="70">
        <f t="shared" si="226"/>
        <v>64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483</v>
      </c>
      <c r="CF86" s="72">
        <f t="shared" si="236"/>
        <v>521</v>
      </c>
      <c r="CG86" s="71">
        <f t="shared" si="237"/>
        <v>547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259</v>
      </c>
      <c r="CQ86" s="72">
        <f t="shared" si="247"/>
        <v>516</v>
      </c>
      <c r="CR86" s="72">
        <f t="shared" si="248"/>
        <v>546</v>
      </c>
      <c r="CS86" s="72">
        <f t="shared" si="249"/>
        <v>558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447"/>
        <v>acm3_rat_4U16</v>
      </c>
      <c r="B87" s="3" t="s">
        <v>909</v>
      </c>
      <c r="C87" s="3" t="s">
        <v>1053</v>
      </c>
      <c r="D87" s="3" t="str">
        <f>IFERROR(MID(VLOOKUP($B87,Seqs!$A:$B,2,0),E87,1),"")</f>
        <v>I</v>
      </c>
      <c r="E87" s="3">
        <v>64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9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K</v>
      </c>
      <c r="AM87" s="3">
        <v>259</v>
      </c>
      <c r="AN87" s="3" t="str">
        <f>IFERROR(MID(VLOOKUP($B87,Seqs!$A:$B,2,0),AO87,1),"")</f>
        <v>I</v>
      </c>
      <c r="AO87" s="3">
        <v>483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/>
      </c>
      <c r="AW87" s="3" t="s">
        <v>23</v>
      </c>
      <c r="AX87" s="3" t="str">
        <f>IFERROR(MID(VLOOKUP($B87,Seqs!$A:$B,2,0),AY87,1),"")</f>
        <v/>
      </c>
      <c r="AY87" s="3" t="s">
        <v>23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448"/>
        <v>1</v>
      </c>
      <c r="BC87" s="23">
        <f t="shared" si="225"/>
        <v>244</v>
      </c>
      <c r="BD87" s="4" t="s">
        <v>23</v>
      </c>
      <c r="BE87" s="3" t="s">
        <v>1374</v>
      </c>
      <c r="BF87" s="119">
        <v>3.7</v>
      </c>
      <c r="BG87" s="49" t="s">
        <v>1377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64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483</v>
      </c>
      <c r="CF87" s="72">
        <f t="shared" si="236"/>
        <v>521</v>
      </c>
      <c r="CG87" s="71" t="str">
        <f t="shared" si="237"/>
        <v>-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259</v>
      </c>
      <c r="CQ87" s="72">
        <f t="shared" si="247"/>
        <v>516</v>
      </c>
      <c r="CR87" s="72">
        <f t="shared" si="248"/>
        <v>546</v>
      </c>
      <c r="CS87" s="72" t="str">
        <f t="shared" si="249"/>
        <v>-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s="12" customFormat="1" x14ac:dyDescent="0.2">
      <c r="A88" s="9" t="str">
        <f t="shared" ref="A88" si="617">CONCATENATE(B88,"_",C88)</f>
        <v>acm3_rat_5ZHP</v>
      </c>
      <c r="B88" s="9" t="s">
        <v>909</v>
      </c>
      <c r="C88" s="9" t="s">
        <v>1576</v>
      </c>
      <c r="D88" s="9" t="str">
        <f>IFERROR(MID(VLOOKUP($B88,Seqs!$A:$B,2,0),E88,1),"")</f>
        <v>T</v>
      </c>
      <c r="E88" s="9">
        <v>63</v>
      </c>
      <c r="F88" s="9" t="str">
        <f>IFERROR(MID(VLOOKUP($B88,Seqs!$A:$B,2,0),G88,1),"")</f>
        <v>N</v>
      </c>
      <c r="G88" s="9">
        <v>95</v>
      </c>
      <c r="H88" s="9" t="str">
        <f>IFERROR(MID(VLOOKUP($B88,Seqs!$A:$B,2,0),I88,1),"")</f>
        <v>K</v>
      </c>
      <c r="I88" s="109">
        <v>96</v>
      </c>
      <c r="J88" s="9" t="str">
        <f>IFERROR(MID(VLOOKUP($B88,Seqs!$A:$B,2,0),K88,1),"")</f>
        <v>K</v>
      </c>
      <c r="K88" s="109">
        <v>99</v>
      </c>
      <c r="L88" s="9" t="str">
        <f>IFERROR(MID(VLOOKUP($B88,Seqs!$A:$B,2,0),M88,1),"")</f>
        <v>T</v>
      </c>
      <c r="M88" s="9">
        <v>100</v>
      </c>
      <c r="N88" s="9" t="str">
        <f>IFERROR(MID(VLOOKUP($B88,Seqs!$A:$B,2,0),O88,1),"")</f>
        <v>M</v>
      </c>
      <c r="O88" s="9">
        <v>130</v>
      </c>
      <c r="P88" s="9" t="str">
        <f>IFERROR(MID(VLOOKUP($B88,Seqs!$A:$B,2,0),Q88,1),"")</f>
        <v>R</v>
      </c>
      <c r="Q88" s="9">
        <v>132</v>
      </c>
      <c r="R88" s="9" t="str">
        <f>IFERROR(MID(VLOOKUP($B88,Seqs!$A:$B,2,0),S88,1),"")</f>
        <v>L</v>
      </c>
      <c r="S88" s="9">
        <v>135</v>
      </c>
      <c r="T88" s="9" t="str">
        <f>IFERROR(MID(VLOOKUP($B88,Seqs!$A:$B,2,0),U88,1),"")</f>
        <v>G</v>
      </c>
      <c r="U88" s="9">
        <v>136</v>
      </c>
      <c r="V88" s="9" t="str">
        <f>IFERROR(MID(VLOOKUP($B88,Seqs!$A:$B,2,0),W88,1),"")</f>
        <v>R</v>
      </c>
      <c r="W88" s="9">
        <v>171</v>
      </c>
      <c r="X88" s="9" t="str">
        <f>IFERROR(MID(VLOOKUP($B88,Seqs!$A:$B,2,0),Y88,1),"")</f>
        <v>P</v>
      </c>
      <c r="Y88" s="9">
        <v>172</v>
      </c>
      <c r="Z88" s="9" t="str">
        <f>IFERROR(MID(VLOOKUP($B88,Seqs!$A:$B,2,0),AA88,1),"")</f>
        <v>R</v>
      </c>
      <c r="AA88" s="9">
        <v>179</v>
      </c>
      <c r="AB88" s="9" t="str">
        <f>IFERROR(MID(VLOOKUP($B88,Seqs!$A:$B,2,0),AC88,1),"")</f>
        <v>T</v>
      </c>
      <c r="AC88" s="9">
        <v>180</v>
      </c>
      <c r="AD88" s="9" t="str">
        <f>IFERROR(MID(VLOOKUP($B88,Seqs!$A:$B,2,0),AE88,1),"")</f>
        <v>G</v>
      </c>
      <c r="AE88" s="9">
        <v>211</v>
      </c>
      <c r="AF88" s="9" t="str">
        <f>IFERROR(MID(VLOOKUP($B88,Seqs!$A:$B,2,0),AG88,1),"")</f>
        <v>C</v>
      </c>
      <c r="AG88" s="9">
        <v>220</v>
      </c>
      <c r="AH88" s="9" t="str">
        <f>IFERROR(MID(VLOOKUP($B88,Seqs!$A:$B,2,0),AI88,1),"")</f>
        <v>I</v>
      </c>
      <c r="AI88" s="9">
        <v>222</v>
      </c>
      <c r="AJ88" s="9" t="str">
        <f>IFERROR(MID(VLOOKUP($B88,Seqs!$A:$B,2,0),AK88,1),"")</f>
        <v>E</v>
      </c>
      <c r="AK88" s="9">
        <v>227</v>
      </c>
      <c r="AL88" s="9" t="str">
        <f>IFERROR(MID(VLOOKUP($B88,Seqs!$A:$B,2,0),AM88,1),"")</f>
        <v>K</v>
      </c>
      <c r="AM88" s="9">
        <v>259</v>
      </c>
      <c r="AN88" s="9" t="str">
        <f>IFERROR(MID(VLOOKUP($B88,Seqs!$A:$B,2,0),AO88,1),"")</f>
        <v>L</v>
      </c>
      <c r="AO88" s="9">
        <v>482</v>
      </c>
      <c r="AP88" s="9" t="str">
        <f>IFERROR(MID(VLOOKUP($B88,Seqs!$A:$B,2,0),AQ88,1),"")</f>
        <v>C</v>
      </c>
      <c r="AQ88" s="9">
        <v>516</v>
      </c>
      <c r="AR88" s="9" t="str">
        <f>IFERROR(MID(VLOOKUP($B88,Seqs!$A:$B,2,0),AS88,1),"")</f>
        <v>P</v>
      </c>
      <c r="AS88" s="9">
        <v>521</v>
      </c>
      <c r="AT88" s="9" t="str">
        <f>IFERROR(MID(VLOOKUP($B88,Seqs!$A:$B,2,0),AU88,1),"")</f>
        <v>C</v>
      </c>
      <c r="AU88" s="9">
        <v>546</v>
      </c>
      <c r="AV88" s="9" t="str">
        <f>IFERROR(MID(VLOOKUP($B88,Seqs!$A:$B,2,0),AW88,1),"")</f>
        <v>N</v>
      </c>
      <c r="AW88" s="9">
        <v>547</v>
      </c>
      <c r="AX88" s="9" t="str">
        <f>IFERROR(MID(VLOOKUP($B88,Seqs!$A:$B,2,0),AY88,1),"")</f>
        <v>C</v>
      </c>
      <c r="AY88" s="9">
        <v>560</v>
      </c>
      <c r="AZ88" s="110" t="str">
        <f>VLOOKUP(B88,Classification!A:D,2,0)</f>
        <v>A</v>
      </c>
      <c r="BA88" s="98" t="str">
        <f>VLOOKUP(B88,Classification!A:D,4,0)</f>
        <v>Acetylcholine(muscarinic)</v>
      </c>
      <c r="BB88" s="36" t="b">
        <f t="shared" ref="BB88" si="618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109">
        <f t="shared" ref="BC88" si="619">_xlfn.AGGREGATE(9,6,CH88:CS88)-_xlfn.AGGREGATE(9,6,BV88:CG88)+12</f>
        <v>259</v>
      </c>
      <c r="BD88" s="11" t="s">
        <v>1376</v>
      </c>
      <c r="BE88" s="9" t="s">
        <v>1374</v>
      </c>
      <c r="BF88" s="120">
        <v>3.1</v>
      </c>
      <c r="BG88" s="51" t="s">
        <v>1281</v>
      </c>
      <c r="BH88" s="51" t="s">
        <v>1281</v>
      </c>
      <c r="BJ88" s="111" t="s">
        <v>1287</v>
      </c>
      <c r="BK88" s="112" t="s">
        <v>1287</v>
      </c>
      <c r="BL88" s="112" t="s">
        <v>1287</v>
      </c>
      <c r="BM88" s="112" t="s">
        <v>1287</v>
      </c>
      <c r="BN88" s="112" t="s">
        <v>1287</v>
      </c>
      <c r="BO88" s="112" t="s">
        <v>1287</v>
      </c>
      <c r="BP88" s="112" t="s">
        <v>1287</v>
      </c>
      <c r="BQ88" s="112" t="s">
        <v>1287</v>
      </c>
      <c r="BR88" s="112" t="s">
        <v>1287</v>
      </c>
      <c r="BS88" s="112" t="s">
        <v>1287</v>
      </c>
      <c r="BT88" s="112" t="s">
        <v>1287</v>
      </c>
      <c r="BU88" s="112" t="s">
        <v>1287</v>
      </c>
      <c r="BV88" s="111">
        <f t="shared" ref="BV88" si="620">E88</f>
        <v>63</v>
      </c>
      <c r="BW88" s="113">
        <f t="shared" ref="BW88" si="621">I88</f>
        <v>96</v>
      </c>
      <c r="BX88" s="114">
        <f t="shared" ref="BX88" si="622">M88</f>
        <v>100</v>
      </c>
      <c r="BY88" s="113">
        <f t="shared" ref="BY88" si="623">Q88</f>
        <v>132</v>
      </c>
      <c r="BZ88" s="114">
        <f t="shared" ref="BZ88" si="624">U88</f>
        <v>136</v>
      </c>
      <c r="CA88" s="113">
        <f t="shared" ref="CA88" si="625">Y88</f>
        <v>172</v>
      </c>
      <c r="CB88" s="114">
        <f t="shared" ref="CB88" si="626">AC88</f>
        <v>180</v>
      </c>
      <c r="CC88" s="113">
        <f t="shared" ref="CC88" si="627">AG88</f>
        <v>220</v>
      </c>
      <c r="CD88" s="114">
        <f t="shared" ref="CD88" si="628">AK88</f>
        <v>227</v>
      </c>
      <c r="CE88" s="113">
        <f t="shared" ref="CE88" si="629">AO88</f>
        <v>482</v>
      </c>
      <c r="CF88" s="114">
        <f t="shared" ref="CF88" si="630">AS88</f>
        <v>521</v>
      </c>
      <c r="CG88" s="113">
        <f t="shared" ref="CG88" si="631">AW88</f>
        <v>547</v>
      </c>
      <c r="CH88" s="111">
        <f t="shared" ref="CH88" si="632">G88</f>
        <v>95</v>
      </c>
      <c r="CI88" s="113">
        <f t="shared" ref="CI88" si="633">K88</f>
        <v>99</v>
      </c>
      <c r="CJ88" s="114">
        <f t="shared" ref="CJ88" si="634">O88</f>
        <v>130</v>
      </c>
      <c r="CK88" s="114">
        <f t="shared" ref="CK88" si="635">S88</f>
        <v>135</v>
      </c>
      <c r="CL88" s="114">
        <f t="shared" ref="CL88" si="636">W88</f>
        <v>171</v>
      </c>
      <c r="CM88" s="114">
        <f t="shared" ref="CM88" si="637">AA88</f>
        <v>179</v>
      </c>
      <c r="CN88" s="114">
        <f t="shared" ref="CN88" si="638">AE88</f>
        <v>211</v>
      </c>
      <c r="CO88" s="114">
        <f t="shared" ref="CO88" si="639">AI88</f>
        <v>222</v>
      </c>
      <c r="CP88" s="114">
        <f t="shared" ref="CP88" si="640">AM88</f>
        <v>259</v>
      </c>
      <c r="CQ88" s="114">
        <f t="shared" ref="CQ88" si="641">AQ88</f>
        <v>516</v>
      </c>
      <c r="CR88" s="114">
        <f t="shared" ref="CR88" si="642">AU88</f>
        <v>546</v>
      </c>
      <c r="CS88" s="114">
        <f t="shared" ref="CS88" si="643">AY88</f>
        <v>560</v>
      </c>
      <c r="CT88" s="109">
        <f t="shared" ref="CT88" si="644">M88-K88</f>
        <v>1</v>
      </c>
    </row>
    <row r="89" spans="1:1029" x14ac:dyDescent="0.2">
      <c r="A89" s="3" t="str">
        <f t="shared" si="447"/>
        <v>acm4_human__wt</v>
      </c>
      <c r="B89" s="3" t="s">
        <v>149</v>
      </c>
      <c r="C89" s="3" t="s">
        <v>100</v>
      </c>
      <c r="D89" s="3" t="str">
        <f>IFERROR(MID(VLOOKUP($B89,Seqs!$A:$B,2,0),E89,1),"")</f>
        <v>R</v>
      </c>
      <c r="E89" s="3">
        <v>26</v>
      </c>
      <c r="F89" s="3" t="str">
        <f>IFERROR(MID(VLOOKUP($B89,Seqs!$A:$B,2,0),G89,1),"")</f>
        <v>N</v>
      </c>
      <c r="G89" s="3">
        <v>60</v>
      </c>
      <c r="H89" s="3" t="str">
        <f>IFERROR(MID(VLOOKUP($B89,Seqs!$A:$B,2,0),I89,1),"")</f>
        <v>R</v>
      </c>
      <c r="I89" s="23">
        <v>61</v>
      </c>
      <c r="J89" s="3" t="str">
        <f>IFERROR(MID(VLOOKUP($B89,Seqs!$A:$B,2,0),K89,1),"")</f>
        <v>Q</v>
      </c>
      <c r="K89" s="23">
        <v>64</v>
      </c>
      <c r="L89" s="3" t="str">
        <f>IFERROR(MID(VLOOKUP($B89,Seqs!$A:$B,2,0),M89,1),"")</f>
        <v>T</v>
      </c>
      <c r="M89" s="3">
        <v>65</v>
      </c>
      <c r="N89" s="3" t="str">
        <f>IFERROR(MID(VLOOKUP($B89,Seqs!$A:$B,2,0),O89,1),"")</f>
        <v>K</v>
      </c>
      <c r="O89" s="3">
        <v>95</v>
      </c>
      <c r="P89" s="3" t="str">
        <f>IFERROR(MID(VLOOKUP($B89,Seqs!$A:$B,2,0),Q89,1),"")</f>
        <v>Y</v>
      </c>
      <c r="Q89" s="3">
        <v>97</v>
      </c>
      <c r="R89" s="3" t="str">
        <f>IFERROR(MID(VLOOKUP($B89,Seqs!$A:$B,2,0),S89,1),"")</f>
        <v>L</v>
      </c>
      <c r="S89" s="3">
        <v>100</v>
      </c>
      <c r="T89" s="3" t="str">
        <f>IFERROR(MID(VLOOKUP($B89,Seqs!$A:$B,2,0),U89,1),"")</f>
        <v>G</v>
      </c>
      <c r="U89" s="3">
        <v>101</v>
      </c>
      <c r="V89" s="3" t="str">
        <f>IFERROR(MID(VLOOKUP($B89,Seqs!$A:$B,2,0),W89,1),"")</f>
        <v>K</v>
      </c>
      <c r="W89" s="3">
        <v>136</v>
      </c>
      <c r="X89" s="3" t="str">
        <f>IFERROR(MID(VLOOKUP($B89,Seqs!$A:$B,2,0),Y89,1),"")</f>
        <v>P</v>
      </c>
      <c r="Y89" s="3">
        <v>137</v>
      </c>
      <c r="Z89" s="3" t="str">
        <f>IFERROR(MID(VLOOKUP($B89,Seqs!$A:$B,2,0),AA89,1),"")</f>
        <v>R</v>
      </c>
      <c r="AA89" s="3">
        <v>144</v>
      </c>
      <c r="AB89" s="3" t="str">
        <f>IFERROR(MID(VLOOKUP($B89,Seqs!$A:$B,2,0),AC89,1),"")</f>
        <v>T</v>
      </c>
      <c r="AC89" s="9">
        <v>145</v>
      </c>
      <c r="AD89" s="3" t="str">
        <f>IFERROR(MID(VLOOKUP($B89,Seqs!$A:$B,2,0),AE89,1),"")</f>
        <v>G</v>
      </c>
      <c r="AE89" s="3">
        <v>176</v>
      </c>
      <c r="AF89" s="3" t="str">
        <f>IFERROR(MID(VLOOKUP($B89,Seqs!$A:$B,2,0),AG89,1),"")</f>
        <v>C</v>
      </c>
      <c r="AG89" s="3">
        <v>185</v>
      </c>
      <c r="AH89" s="3" t="str">
        <f>IFERROR(MID(VLOOKUP($B89,Seqs!$A:$B,2,0),AI89,1),"")</f>
        <v>I</v>
      </c>
      <c r="AI89" s="3">
        <v>187</v>
      </c>
      <c r="AJ89" s="3" t="str">
        <f>IFERROR(MID(VLOOKUP($B89,Seqs!$A:$B,2,0),AK89,1),"")</f>
        <v>N</v>
      </c>
      <c r="AK89" s="3">
        <v>192</v>
      </c>
      <c r="AL89" s="3" t="str">
        <f>IFERROR(MID(VLOOKUP($B89,Seqs!$A:$B,2,0),AM89,1),"")</f>
        <v>E</v>
      </c>
      <c r="AM89" s="3">
        <v>232</v>
      </c>
      <c r="AN89" s="3" t="str">
        <f>IFERROR(MID(VLOOKUP($B89,Seqs!$A:$B,2,0),AO89,1),"")</f>
        <v>R</v>
      </c>
      <c r="AO89" s="3">
        <v>389</v>
      </c>
      <c r="AP89" s="3" t="str">
        <f>IFERROR(MID(VLOOKUP($B89,Seqs!$A:$B,2,0),AQ89,1),"")</f>
        <v>C</v>
      </c>
      <c r="AQ89" s="3">
        <v>426</v>
      </c>
      <c r="AR89" s="3" t="str">
        <f>IFERROR(MID(VLOOKUP($B89,Seqs!$A:$B,2,0),AS89,1),"")</f>
        <v>P</v>
      </c>
      <c r="AS89" s="3">
        <v>431</v>
      </c>
      <c r="AT89" s="3" t="str">
        <f>IFERROR(MID(VLOOKUP($B89,Seqs!$A:$B,2,0),AU89,1),"")</f>
        <v>C</v>
      </c>
      <c r="AU89" s="3">
        <v>456</v>
      </c>
      <c r="AV89" s="3" t="str">
        <f>IFERROR(MID(VLOOKUP($B89,Seqs!$A:$B,2,0),AW89,1),"")</f>
        <v>N</v>
      </c>
      <c r="AW89" s="3">
        <v>457</v>
      </c>
      <c r="AX89" s="3" t="str">
        <f>IFERROR(MID(VLOOKUP($B89,Seqs!$A:$B,2,0),AY89,1),"")</f>
        <v>L</v>
      </c>
      <c r="AY89" s="3">
        <v>469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448"/>
        <v>1</v>
      </c>
      <c r="BC89" s="23">
        <f t="shared" si="225"/>
        <v>271</v>
      </c>
      <c r="BD89" s="34" t="s">
        <v>23</v>
      </c>
      <c r="BE89" s="3" t="s">
        <v>23</v>
      </c>
      <c r="BF89" s="119" t="s">
        <v>23</v>
      </c>
      <c r="BG89" s="49" t="s">
        <v>1372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26</v>
      </c>
      <c r="BW89" s="71">
        <f t="shared" si="227"/>
        <v>61</v>
      </c>
      <c r="BX89" s="72">
        <f t="shared" si="228"/>
        <v>65</v>
      </c>
      <c r="BY89" s="71">
        <f t="shared" si="229"/>
        <v>97</v>
      </c>
      <c r="BZ89" s="72">
        <f t="shared" si="230"/>
        <v>101</v>
      </c>
      <c r="CA89" s="71">
        <f t="shared" si="231"/>
        <v>137</v>
      </c>
      <c r="CB89" s="72">
        <f t="shared" si="232"/>
        <v>145</v>
      </c>
      <c r="CC89" s="71">
        <f t="shared" si="233"/>
        <v>185</v>
      </c>
      <c r="CD89" s="72">
        <f t="shared" si="234"/>
        <v>192</v>
      </c>
      <c r="CE89" s="71">
        <f t="shared" si="235"/>
        <v>389</v>
      </c>
      <c r="CF89" s="72">
        <f t="shared" si="236"/>
        <v>431</v>
      </c>
      <c r="CG89" s="71">
        <f t="shared" si="237"/>
        <v>457</v>
      </c>
      <c r="CH89" s="70">
        <f t="shared" si="238"/>
        <v>60</v>
      </c>
      <c r="CI89" s="71">
        <f t="shared" si="239"/>
        <v>64</v>
      </c>
      <c r="CJ89" s="72">
        <f t="shared" si="240"/>
        <v>95</v>
      </c>
      <c r="CK89" s="72">
        <f t="shared" si="241"/>
        <v>100</v>
      </c>
      <c r="CL89" s="72">
        <f t="shared" si="242"/>
        <v>136</v>
      </c>
      <c r="CM89" s="72">
        <f t="shared" si="243"/>
        <v>144</v>
      </c>
      <c r="CN89" s="72">
        <f t="shared" si="244"/>
        <v>176</v>
      </c>
      <c r="CO89" s="72">
        <f t="shared" si="245"/>
        <v>187</v>
      </c>
      <c r="CP89" s="72">
        <f t="shared" si="246"/>
        <v>232</v>
      </c>
      <c r="CQ89" s="72">
        <f t="shared" si="247"/>
        <v>426</v>
      </c>
      <c r="CR89" s="72">
        <f t="shared" si="248"/>
        <v>456</v>
      </c>
      <c r="CS89" s="72">
        <f t="shared" si="249"/>
        <v>469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447"/>
        <v>acm4_human_5DSG</v>
      </c>
      <c r="B90" s="3" t="s">
        <v>149</v>
      </c>
      <c r="C90" s="3" t="s">
        <v>61</v>
      </c>
      <c r="D90" s="3" t="str">
        <f>IFERROR(MID(VLOOKUP($B90,Seqs!$A:$B,2,0),E90,1),"")</f>
        <v>R</v>
      </c>
      <c r="E90" s="3">
        <v>26</v>
      </c>
      <c r="F90" s="3" t="str">
        <f>IFERROR(MID(VLOOKUP($B90,Seqs!$A:$B,2,0),G90,1),"")</f>
        <v>N</v>
      </c>
      <c r="G90" s="3">
        <v>60</v>
      </c>
      <c r="H90" s="3" t="str">
        <f>IFERROR(MID(VLOOKUP($B90,Seqs!$A:$B,2,0),I90,1),"")</f>
        <v>R</v>
      </c>
      <c r="I90" s="23">
        <v>61</v>
      </c>
      <c r="J90" s="3" t="str">
        <f>IFERROR(MID(VLOOKUP($B90,Seqs!$A:$B,2,0),K90,1),"")</f>
        <v>Q</v>
      </c>
      <c r="K90" s="23">
        <v>64</v>
      </c>
      <c r="L90" s="3" t="str">
        <f>IFERROR(MID(VLOOKUP($B90,Seqs!$A:$B,2,0),M90,1),"")</f>
        <v>T</v>
      </c>
      <c r="M90" s="3">
        <v>65</v>
      </c>
      <c r="N90" s="3" t="str">
        <f>IFERROR(MID(VLOOKUP($B90,Seqs!$A:$B,2,0),O90,1),"")</f>
        <v>K</v>
      </c>
      <c r="O90" s="3">
        <v>95</v>
      </c>
      <c r="P90" s="3" t="str">
        <f>IFERROR(MID(VLOOKUP($B90,Seqs!$A:$B,2,0),Q90,1),"")</f>
        <v>Y</v>
      </c>
      <c r="Q90" s="3">
        <v>97</v>
      </c>
      <c r="R90" s="3" t="str">
        <f>IFERROR(MID(VLOOKUP($B90,Seqs!$A:$B,2,0),S90,1),"")</f>
        <v>L</v>
      </c>
      <c r="S90" s="3">
        <v>100</v>
      </c>
      <c r="T90" s="3" t="str">
        <f>IFERROR(MID(VLOOKUP($B90,Seqs!$A:$B,2,0),U90,1),"")</f>
        <v>G</v>
      </c>
      <c r="U90" s="3">
        <v>101</v>
      </c>
      <c r="V90" s="3" t="str">
        <f>IFERROR(MID(VLOOKUP($B90,Seqs!$A:$B,2,0),W90,1),"")</f>
        <v>K</v>
      </c>
      <c r="W90" s="3">
        <v>136</v>
      </c>
      <c r="X90" s="3" t="str">
        <f>IFERROR(MID(VLOOKUP($B90,Seqs!$A:$B,2,0),Y90,1),"")</f>
        <v>P</v>
      </c>
      <c r="Y90" s="3">
        <v>137</v>
      </c>
      <c r="Z90" s="3" t="str">
        <f>IFERROR(MID(VLOOKUP($B90,Seqs!$A:$B,2,0),AA90,1),"")</f>
        <v>R</v>
      </c>
      <c r="AA90" s="3">
        <v>144</v>
      </c>
      <c r="AB90" s="3" t="str">
        <f>IFERROR(MID(VLOOKUP($B90,Seqs!$A:$B,2,0),AC90,1),"")</f>
        <v>T</v>
      </c>
      <c r="AC90" s="9">
        <v>145</v>
      </c>
      <c r="AD90" s="3" t="str">
        <f>IFERROR(MID(VLOOKUP($B90,Seqs!$A:$B,2,0),AE90,1),"")</f>
        <v>G</v>
      </c>
      <c r="AE90" s="3">
        <v>176</v>
      </c>
      <c r="AF90" s="3" t="str">
        <f>IFERROR(MID(VLOOKUP($B90,Seqs!$A:$B,2,0),AG90,1),"")</f>
        <v>C</v>
      </c>
      <c r="AG90" s="3">
        <v>185</v>
      </c>
      <c r="AH90" s="3" t="str">
        <f>IFERROR(MID(VLOOKUP($B90,Seqs!$A:$B,2,0),AI90,1),"")</f>
        <v>I</v>
      </c>
      <c r="AI90" s="3">
        <v>187</v>
      </c>
      <c r="AJ90" s="3" t="str">
        <f>IFERROR(MID(VLOOKUP($B90,Seqs!$A:$B,2,0),AK90,1),"")</f>
        <v>N</v>
      </c>
      <c r="AK90" s="3">
        <v>192</v>
      </c>
      <c r="AL90" s="3" t="str">
        <f>IFERROR(MID(VLOOKUP($B90,Seqs!$A:$B,2,0),AM90,1),"")</f>
        <v>L</v>
      </c>
      <c r="AM90" s="3">
        <v>220</v>
      </c>
      <c r="AN90" s="3" t="str">
        <f>IFERROR(MID(VLOOKUP($B90,Seqs!$A:$B,2,0),AO90,1),"")</f>
        <v>R</v>
      </c>
      <c r="AO90" s="3">
        <v>396</v>
      </c>
      <c r="AP90" s="3" t="str">
        <f>IFERROR(MID(VLOOKUP($B90,Seqs!$A:$B,2,0),AQ90,1),"")</f>
        <v>C</v>
      </c>
      <c r="AQ90" s="3">
        <v>426</v>
      </c>
      <c r="AR90" s="3" t="str">
        <f>IFERROR(MID(VLOOKUP($B90,Seqs!$A:$B,2,0),AS90,1),"")</f>
        <v>P</v>
      </c>
      <c r="AS90" s="3">
        <v>431</v>
      </c>
      <c r="AT90" s="3" t="str">
        <f>IFERROR(MID(VLOOKUP($B90,Seqs!$A:$B,2,0),AU90,1),"")</f>
        <v>C</v>
      </c>
      <c r="AU90" s="3">
        <v>456</v>
      </c>
      <c r="AV90" s="3" t="str">
        <f>IFERROR(MID(VLOOKUP($B90,Seqs!$A:$B,2,0),AW90,1),"")</f>
        <v>N</v>
      </c>
      <c r="AW90" s="3">
        <v>457</v>
      </c>
      <c r="AX90" s="3" t="str">
        <f>IFERROR(MID(VLOOKUP($B90,Seqs!$A:$B,2,0),AY90,1),"")</f>
        <v>L</v>
      </c>
      <c r="AY90" s="3">
        <v>469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448"/>
        <v>1</v>
      </c>
      <c r="BC90" s="23">
        <f t="shared" si="225"/>
        <v>252</v>
      </c>
      <c r="BD90" s="2" t="s">
        <v>1376</v>
      </c>
      <c r="BE90" s="3" t="s">
        <v>1374</v>
      </c>
      <c r="BF90" s="119">
        <v>2.6</v>
      </c>
      <c r="BG90" s="49" t="s">
        <v>1377</v>
      </c>
      <c r="BH90" s="49" t="s">
        <v>1377</v>
      </c>
      <c r="BI90" s="1"/>
      <c r="BJ90" s="70" t="s">
        <v>1287</v>
      </c>
      <c r="BK90" s="57" t="s">
        <v>1287</v>
      </c>
      <c r="BL90" s="57" t="s">
        <v>1287</v>
      </c>
      <c r="BM90" s="57" t="s">
        <v>1287</v>
      </c>
      <c r="BN90" s="57" t="s">
        <v>1287</v>
      </c>
      <c r="BO90" s="57" t="s">
        <v>1287</v>
      </c>
      <c r="BP90" s="57" t="s">
        <v>1287</v>
      </c>
      <c r="BQ90" s="57" t="s">
        <v>1287</v>
      </c>
      <c r="BR90" s="57" t="s">
        <v>1287</v>
      </c>
      <c r="BS90" s="57" t="s">
        <v>1287</v>
      </c>
      <c r="BT90" s="57" t="s">
        <v>1287</v>
      </c>
      <c r="BU90" s="57" t="s">
        <v>1287</v>
      </c>
      <c r="BV90" s="70">
        <f t="shared" si="226"/>
        <v>26</v>
      </c>
      <c r="BW90" s="71">
        <f t="shared" si="227"/>
        <v>61</v>
      </c>
      <c r="BX90" s="72">
        <f t="shared" si="228"/>
        <v>65</v>
      </c>
      <c r="BY90" s="71">
        <f t="shared" si="229"/>
        <v>97</v>
      </c>
      <c r="BZ90" s="72">
        <f t="shared" si="230"/>
        <v>101</v>
      </c>
      <c r="CA90" s="71">
        <f t="shared" si="231"/>
        <v>137</v>
      </c>
      <c r="CB90" s="72">
        <f t="shared" si="232"/>
        <v>145</v>
      </c>
      <c r="CC90" s="71">
        <f t="shared" si="233"/>
        <v>185</v>
      </c>
      <c r="CD90" s="72">
        <f t="shared" si="234"/>
        <v>192</v>
      </c>
      <c r="CE90" s="71">
        <f t="shared" si="235"/>
        <v>396</v>
      </c>
      <c r="CF90" s="72">
        <f t="shared" si="236"/>
        <v>431</v>
      </c>
      <c r="CG90" s="71">
        <f t="shared" si="237"/>
        <v>457</v>
      </c>
      <c r="CH90" s="70">
        <f t="shared" si="238"/>
        <v>60</v>
      </c>
      <c r="CI90" s="71">
        <f t="shared" si="239"/>
        <v>64</v>
      </c>
      <c r="CJ90" s="72">
        <f t="shared" si="240"/>
        <v>95</v>
      </c>
      <c r="CK90" s="72">
        <f t="shared" si="241"/>
        <v>100</v>
      </c>
      <c r="CL90" s="72">
        <f t="shared" si="242"/>
        <v>136</v>
      </c>
      <c r="CM90" s="72">
        <f t="shared" si="243"/>
        <v>144</v>
      </c>
      <c r="CN90" s="72">
        <f t="shared" si="244"/>
        <v>176</v>
      </c>
      <c r="CO90" s="72">
        <f t="shared" si="245"/>
        <v>187</v>
      </c>
      <c r="CP90" s="72">
        <f t="shared" si="246"/>
        <v>220</v>
      </c>
      <c r="CQ90" s="72">
        <f t="shared" si="247"/>
        <v>426</v>
      </c>
      <c r="CR90" s="72">
        <f t="shared" si="248"/>
        <v>456</v>
      </c>
      <c r="CS90" s="72">
        <f t="shared" si="249"/>
        <v>469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47"/>
        <v>adrb1_melga__wt</v>
      </c>
      <c r="B91" s="3" t="s">
        <v>911</v>
      </c>
      <c r="C91" s="3" t="s">
        <v>100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E</v>
      </c>
      <c r="AM91" s="3">
        <v>245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448"/>
        <v>1</v>
      </c>
      <c r="BC91" s="23">
        <f t="shared" si="225"/>
        <v>272</v>
      </c>
      <c r="BD91" s="34" t="s">
        <v>23</v>
      </c>
      <c r="BE91" s="3" t="s">
        <v>23</v>
      </c>
      <c r="BF91" s="119" t="s">
        <v>23</v>
      </c>
      <c r="BG91" s="49" t="s">
        <v>1372</v>
      </c>
      <c r="BH91" s="49" t="s">
        <v>1377</v>
      </c>
      <c r="BI91" s="3" t="s">
        <v>1165</v>
      </c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245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47"/>
        <v>adrb1_melga_2Y00</v>
      </c>
      <c r="B92" s="3" t="s">
        <v>911</v>
      </c>
      <c r="C92" s="3" t="s">
        <v>1022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48"/>
        <v>1</v>
      </c>
      <c r="BC92" s="23">
        <f t="shared" si="225"/>
        <v>265</v>
      </c>
      <c r="BD92" s="4" t="s">
        <v>23</v>
      </c>
      <c r="BE92" s="3" t="s">
        <v>1374</v>
      </c>
      <c r="BF92" s="119">
        <v>2.5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47"/>
        <v>adrb1_melga_2Y02</v>
      </c>
      <c r="B93" s="3" t="s">
        <v>911</v>
      </c>
      <c r="C93" s="3" t="s">
        <v>1023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48"/>
        <v>1</v>
      </c>
      <c r="BC93" s="23">
        <f t="shared" si="225"/>
        <v>265</v>
      </c>
      <c r="BD93" s="4" t="s">
        <v>23</v>
      </c>
      <c r="BE93" s="3" t="s">
        <v>1374</v>
      </c>
      <c r="BF93" s="119">
        <v>2.6</v>
      </c>
      <c r="BG93" s="49" t="s">
        <v>1377</v>
      </c>
      <c r="BH93" s="49" t="s">
        <v>1377</v>
      </c>
      <c r="BI93" s="1"/>
      <c r="BJ93" s="70" t="s">
        <v>1287</v>
      </c>
      <c r="BK93" s="57" t="s">
        <v>1287</v>
      </c>
      <c r="BL93" s="57" t="s">
        <v>1287</v>
      </c>
      <c r="BM93" s="57" t="s">
        <v>1287</v>
      </c>
      <c r="BN93" s="57" t="s">
        <v>1287</v>
      </c>
      <c r="BO93" s="57" t="s">
        <v>1287</v>
      </c>
      <c r="BP93" s="57" t="s">
        <v>1287</v>
      </c>
      <c r="BQ93" s="57" t="s">
        <v>1287</v>
      </c>
      <c r="BR93" s="57" t="s">
        <v>1287</v>
      </c>
      <c r="BS93" s="57" t="s">
        <v>1287</v>
      </c>
      <c r="BT93" s="57" t="s">
        <v>1287</v>
      </c>
      <c r="BU93" s="57" t="s">
        <v>1287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47"/>
        <v>adrb1_melga_2Y03</v>
      </c>
      <c r="B94" s="3" t="s">
        <v>911</v>
      </c>
      <c r="C94" s="3" t="s">
        <v>1024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48"/>
        <v>1</v>
      </c>
      <c r="BC94" s="23">
        <f t="shared" si="225"/>
        <v>265</v>
      </c>
      <c r="BD94" s="4" t="s">
        <v>23</v>
      </c>
      <c r="BE94" s="3" t="s">
        <v>1374</v>
      </c>
      <c r="BF94" s="119">
        <v>2.85</v>
      </c>
      <c r="BG94" s="49" t="s">
        <v>1377</v>
      </c>
      <c r="BH94" s="49" t="s">
        <v>1377</v>
      </c>
      <c r="BI94" s="1"/>
      <c r="BJ94" s="70" t="s">
        <v>1287</v>
      </c>
      <c r="BK94" s="57" t="s">
        <v>1287</v>
      </c>
      <c r="BL94" s="57" t="s">
        <v>1287</v>
      </c>
      <c r="BM94" s="57" t="s">
        <v>1287</v>
      </c>
      <c r="BN94" s="57" t="s">
        <v>1287</v>
      </c>
      <c r="BO94" s="57" t="s">
        <v>1287</v>
      </c>
      <c r="BP94" s="57" t="s">
        <v>1287</v>
      </c>
      <c r="BQ94" s="57" t="s">
        <v>1287</v>
      </c>
      <c r="BR94" s="57" t="s">
        <v>1287</v>
      </c>
      <c r="BS94" s="57" t="s">
        <v>1287</v>
      </c>
      <c r="BT94" s="57" t="s">
        <v>1287</v>
      </c>
      <c r="BU94" s="57" t="s">
        <v>1287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47"/>
        <v>adrb1_melga_2Y04</v>
      </c>
      <c r="B95" s="3" t="s">
        <v>911</v>
      </c>
      <c r="C95" s="3" t="s">
        <v>1025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48"/>
        <v>1</v>
      </c>
      <c r="BC95" s="23">
        <f t="shared" si="225"/>
        <v>265</v>
      </c>
      <c r="BD95" s="4" t="s">
        <v>23</v>
      </c>
      <c r="BE95" s="3" t="s">
        <v>1374</v>
      </c>
      <c r="BF95" s="119">
        <v>3.05</v>
      </c>
      <c r="BG95" s="49" t="s">
        <v>1377</v>
      </c>
      <c r="BH95" s="49" t="s">
        <v>1377</v>
      </c>
      <c r="BI95" s="1"/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47"/>
        <v>adrb1_melga_2YCW</v>
      </c>
      <c r="B96" s="3" t="s">
        <v>911</v>
      </c>
      <c r="C96" s="3" t="s">
        <v>1026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K</v>
      </c>
      <c r="AM96" s="3">
        <v>240</v>
      </c>
      <c r="AN96" s="3" t="str">
        <f>IFERROR(MID(VLOOKUP($B96,Seqs!$A:$B,2,0),AO96,1),"")</f>
        <v>L</v>
      </c>
      <c r="AO96" s="3">
        <v>289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48"/>
        <v>1</v>
      </c>
      <c r="BC96" s="23">
        <f t="shared" si="225"/>
        <v>249</v>
      </c>
      <c r="BD96" s="4" t="s">
        <v>23</v>
      </c>
      <c r="BE96" s="3" t="s">
        <v>1374</v>
      </c>
      <c r="BF96" s="119">
        <v>3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37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289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240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47"/>
        <v>adrb1_melga_2YCZ</v>
      </c>
      <c r="B97" s="3" t="s">
        <v>911</v>
      </c>
      <c r="C97" s="3" t="s">
        <v>1027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K</v>
      </c>
      <c r="AM97" s="3">
        <v>240</v>
      </c>
      <c r="AN97" s="3" t="str">
        <f>IFERROR(MID(VLOOKUP($B97,Seqs!$A:$B,2,0),AO97,1),"")</f>
        <v>A</v>
      </c>
      <c r="AO97" s="3">
        <v>288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48"/>
        <v>1</v>
      </c>
      <c r="BC97" s="23">
        <f t="shared" si="225"/>
        <v>254</v>
      </c>
      <c r="BD97" s="16" t="s">
        <v>23</v>
      </c>
      <c r="BE97" s="3" t="s">
        <v>1374</v>
      </c>
      <c r="BF97" s="119">
        <v>3.65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288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240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47"/>
        <v>adrb1_melga_3ZPQ</v>
      </c>
      <c r="B98" s="3" t="s">
        <v>911</v>
      </c>
      <c r="C98" s="3" t="s">
        <v>1037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48"/>
        <v>1</v>
      </c>
      <c r="BC98" s="23">
        <f t="shared" si="225"/>
        <v>265</v>
      </c>
      <c r="BD98" s="4" t="s">
        <v>23</v>
      </c>
      <c r="BE98" s="3" t="s">
        <v>1374</v>
      </c>
      <c r="BF98" s="119">
        <v>2.8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47"/>
        <v>adrb1_melga_3ZPR</v>
      </c>
      <c r="B99" s="3" t="s">
        <v>911</v>
      </c>
      <c r="C99" s="3" t="s">
        <v>1038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48"/>
        <v>1</v>
      </c>
      <c r="BC99" s="23">
        <f t="shared" si="225"/>
        <v>265</v>
      </c>
      <c r="BD99" s="4" t="s">
        <v>23</v>
      </c>
      <c r="BE99" s="3" t="s">
        <v>1374</v>
      </c>
      <c r="BF99" s="119">
        <v>2.7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47"/>
        <v>adrb1_melga_4AMI</v>
      </c>
      <c r="B100" s="3" t="s">
        <v>911</v>
      </c>
      <c r="C100" s="3" t="s">
        <v>1039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E</v>
      </c>
      <c r="AM100" s="3">
        <v>236</v>
      </c>
      <c r="AN100" s="3" t="str">
        <f>IFERROR(MID(VLOOKUP($B100,Seqs!$A:$B,2,0),AO100,1),"")</f>
        <v>A</v>
      </c>
      <c r="AO100" s="3">
        <v>288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48"/>
        <v>1</v>
      </c>
      <c r="BC100" s="23">
        <f t="shared" si="225"/>
        <v>250</v>
      </c>
      <c r="BD100" s="4" t="s">
        <v>23</v>
      </c>
      <c r="BE100" s="3" t="s">
        <v>1374</v>
      </c>
      <c r="BF100" s="119">
        <v>3.2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288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236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47"/>
        <v>adrb1_melga_4AMJ</v>
      </c>
      <c r="B101" s="3" t="s">
        <v>911</v>
      </c>
      <c r="C101" s="3" t="s">
        <v>1040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48"/>
        <v>1</v>
      </c>
      <c r="BC101" s="23">
        <f t="shared" si="225"/>
        <v>265</v>
      </c>
      <c r="BD101" s="2" t="s">
        <v>1376</v>
      </c>
      <c r="BE101" s="3" t="s">
        <v>1374</v>
      </c>
      <c r="BF101" s="119">
        <v>2.2999999999999998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47"/>
        <v>adrb1_melga_4BVN</v>
      </c>
      <c r="B102" s="3" t="s">
        <v>911</v>
      </c>
      <c r="C102" s="3" t="s">
        <v>82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R</v>
      </c>
      <c r="AM102" s="3">
        <v>239</v>
      </c>
      <c r="AN102" s="3" t="str">
        <f>IFERROR(MID(VLOOKUP($B102,Seqs!$A:$B,2,0),AO102,1),"")</f>
        <v>R</v>
      </c>
      <c r="AO102" s="3">
        <v>279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48"/>
        <v>1</v>
      </c>
      <c r="BC102" s="23">
        <f t="shared" ref="BC102:BC164" si="645">_xlfn.AGGREGATE(9,6,CH102:CS102)-_xlfn.AGGREGATE(9,6,BV102:CG102)+12</f>
        <v>258</v>
      </c>
      <c r="BD102" s="4" t="s">
        <v>23</v>
      </c>
      <c r="BE102" s="3" t="s">
        <v>1374</v>
      </c>
      <c r="BF102" s="119">
        <v>2.1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ref="BV102:BV164" si="646">E102</f>
        <v>37</v>
      </c>
      <c r="BW102" s="71">
        <f t="shared" ref="BW102:BW164" si="647">I102</f>
        <v>70</v>
      </c>
      <c r="BX102" s="72">
        <f t="shared" ref="BX102:BX164" si="648">M102</f>
        <v>74</v>
      </c>
      <c r="BY102" s="71">
        <f t="shared" ref="BY102:BY164" si="649">Q102</f>
        <v>106</v>
      </c>
      <c r="BZ102" s="72">
        <f t="shared" ref="BZ102:BZ164" si="650">U102</f>
        <v>110</v>
      </c>
      <c r="CA102" s="71">
        <f t="shared" ref="CA102:CA164" si="651">Y102</f>
        <v>146</v>
      </c>
      <c r="CB102" s="72">
        <f t="shared" ref="CB102:CB164" si="652">AC102</f>
        <v>154</v>
      </c>
      <c r="CC102" s="71">
        <f t="shared" ref="CC102:CC164" si="653">AG102</f>
        <v>199</v>
      </c>
      <c r="CD102" s="72">
        <f t="shared" ref="CD102:CD164" si="654">AK102</f>
        <v>204</v>
      </c>
      <c r="CE102" s="71">
        <f t="shared" ref="CE102:CE164" si="655">AO102</f>
        <v>279</v>
      </c>
      <c r="CF102" s="72">
        <f t="shared" ref="CF102:CF164" si="656">AS102</f>
        <v>321</v>
      </c>
      <c r="CG102" s="71">
        <f t="shared" ref="CG102:CG164" si="657">AW102</f>
        <v>346</v>
      </c>
      <c r="CH102" s="70">
        <f t="shared" ref="CH102:CH164" si="658">G102</f>
        <v>69</v>
      </c>
      <c r="CI102" s="71">
        <f t="shared" ref="CI102:CI164" si="659">K102</f>
        <v>73</v>
      </c>
      <c r="CJ102" s="72">
        <f t="shared" ref="CJ102:CJ164" si="660">O102</f>
        <v>104</v>
      </c>
      <c r="CK102" s="72">
        <f t="shared" ref="CK102:CK164" si="661">S102</f>
        <v>109</v>
      </c>
      <c r="CL102" s="72">
        <f t="shared" ref="CL102:CL164" si="662">W102</f>
        <v>145</v>
      </c>
      <c r="CM102" s="72">
        <f t="shared" ref="CM102:CM164" si="663">AA102</f>
        <v>153</v>
      </c>
      <c r="CN102" s="72">
        <f t="shared" ref="CN102:CN164" si="664">AE102</f>
        <v>180</v>
      </c>
      <c r="CO102" s="72">
        <f t="shared" ref="CO102:CO164" si="665">AI102</f>
        <v>201</v>
      </c>
      <c r="CP102" s="72">
        <f t="shared" ref="CP102:CP164" si="666">AM102</f>
        <v>239</v>
      </c>
      <c r="CQ102" s="72">
        <f t="shared" ref="CQ102:CQ164" si="667">AQ102</f>
        <v>316</v>
      </c>
      <c r="CR102" s="72">
        <f t="shared" ref="CR102:CR164" si="668">AU102</f>
        <v>345</v>
      </c>
      <c r="CS102" s="72">
        <f t="shared" ref="CS102:CS164" si="669">AY102</f>
        <v>358</v>
      </c>
      <c r="CT102" s="23">
        <f t="shared" ref="CT102:CT164" si="670">M102-K102</f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47"/>
        <v>adrb1_melga_4GPO</v>
      </c>
      <c r="B103" s="3" t="s">
        <v>911</v>
      </c>
      <c r="C103" s="3" t="s">
        <v>1041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E</v>
      </c>
      <c r="AM103" s="3">
        <v>233</v>
      </c>
      <c r="AN103" s="3" t="str">
        <f>IFERROR(MID(VLOOKUP($B103,Seqs!$A:$B,2,0),AO103,1),"")</f>
        <v>M</v>
      </c>
      <c r="AO103" s="3">
        <v>283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L</v>
      </c>
      <c r="AY103" s="3">
        <v>356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48"/>
        <v>1</v>
      </c>
      <c r="BC103" s="23">
        <f t="shared" si="645"/>
        <v>246</v>
      </c>
      <c r="BD103" s="4" t="s">
        <v>23</v>
      </c>
      <c r="BE103" s="3" t="s">
        <v>1374</v>
      </c>
      <c r="BF103" s="119">
        <v>3.5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646"/>
        <v>37</v>
      </c>
      <c r="BW103" s="71">
        <f t="shared" si="647"/>
        <v>70</v>
      </c>
      <c r="BX103" s="72">
        <f t="shared" si="648"/>
        <v>74</v>
      </c>
      <c r="BY103" s="71">
        <f t="shared" si="649"/>
        <v>106</v>
      </c>
      <c r="BZ103" s="72">
        <f t="shared" si="650"/>
        <v>110</v>
      </c>
      <c r="CA103" s="71">
        <f t="shared" si="651"/>
        <v>146</v>
      </c>
      <c r="CB103" s="72">
        <f t="shared" si="652"/>
        <v>154</v>
      </c>
      <c r="CC103" s="71">
        <f t="shared" si="653"/>
        <v>199</v>
      </c>
      <c r="CD103" s="72">
        <f t="shared" si="654"/>
        <v>204</v>
      </c>
      <c r="CE103" s="71">
        <f t="shared" si="655"/>
        <v>283</v>
      </c>
      <c r="CF103" s="72">
        <f t="shared" si="656"/>
        <v>321</v>
      </c>
      <c r="CG103" s="71">
        <f t="shared" si="657"/>
        <v>346</v>
      </c>
      <c r="CH103" s="70">
        <f t="shared" si="658"/>
        <v>69</v>
      </c>
      <c r="CI103" s="71">
        <f t="shared" si="659"/>
        <v>73</v>
      </c>
      <c r="CJ103" s="72">
        <f t="shared" si="660"/>
        <v>104</v>
      </c>
      <c r="CK103" s="72">
        <f t="shared" si="661"/>
        <v>109</v>
      </c>
      <c r="CL103" s="72">
        <f t="shared" si="662"/>
        <v>145</v>
      </c>
      <c r="CM103" s="72">
        <f t="shared" si="663"/>
        <v>153</v>
      </c>
      <c r="CN103" s="72">
        <f t="shared" si="664"/>
        <v>180</v>
      </c>
      <c r="CO103" s="72">
        <f t="shared" si="665"/>
        <v>201</v>
      </c>
      <c r="CP103" s="72">
        <f t="shared" si="666"/>
        <v>233</v>
      </c>
      <c r="CQ103" s="72">
        <f t="shared" si="667"/>
        <v>316</v>
      </c>
      <c r="CR103" s="72">
        <f t="shared" si="668"/>
        <v>345</v>
      </c>
      <c r="CS103" s="72">
        <f t="shared" si="669"/>
        <v>356</v>
      </c>
      <c r="CT103" s="23">
        <f t="shared" si="67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47"/>
        <v>adrb1_melga_5A8E</v>
      </c>
      <c r="B104" s="3" t="s">
        <v>911</v>
      </c>
      <c r="C104" s="3" t="s">
        <v>1058</v>
      </c>
      <c r="D104" s="3" t="str">
        <f>IFERROR(MID(VLOOKUP($B104,Seqs!$A:$B,2,0),E104,1),"")</f>
        <v>S</v>
      </c>
      <c r="E104" s="3">
        <v>37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R</v>
      </c>
      <c r="AM104" s="3">
        <v>239</v>
      </c>
      <c r="AN104" s="3" t="str">
        <f>IFERROR(MID(VLOOKUP($B104,Seqs!$A:$B,2,0),AO104,1),"")</f>
        <v>R</v>
      </c>
      <c r="AO104" s="3">
        <v>279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K</v>
      </c>
      <c r="AY104" s="3">
        <v>354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48"/>
        <v>1</v>
      </c>
      <c r="BC104" s="23">
        <f t="shared" si="645"/>
        <v>254</v>
      </c>
      <c r="BD104" s="4" t="s">
        <v>23</v>
      </c>
      <c r="BE104" s="3" t="s">
        <v>1374</v>
      </c>
      <c r="BF104" s="119">
        <v>2.42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646"/>
        <v>37</v>
      </c>
      <c r="BW104" s="71">
        <f t="shared" si="647"/>
        <v>70</v>
      </c>
      <c r="BX104" s="72">
        <f t="shared" si="648"/>
        <v>74</v>
      </c>
      <c r="BY104" s="71">
        <f t="shared" si="649"/>
        <v>106</v>
      </c>
      <c r="BZ104" s="72">
        <f t="shared" si="650"/>
        <v>110</v>
      </c>
      <c r="CA104" s="71">
        <f t="shared" si="651"/>
        <v>146</v>
      </c>
      <c r="CB104" s="72">
        <f t="shared" si="652"/>
        <v>154</v>
      </c>
      <c r="CC104" s="71">
        <f t="shared" si="653"/>
        <v>199</v>
      </c>
      <c r="CD104" s="72">
        <f t="shared" si="654"/>
        <v>204</v>
      </c>
      <c r="CE104" s="71">
        <f t="shared" si="655"/>
        <v>279</v>
      </c>
      <c r="CF104" s="72">
        <f t="shared" si="656"/>
        <v>321</v>
      </c>
      <c r="CG104" s="71">
        <f t="shared" si="657"/>
        <v>346</v>
      </c>
      <c r="CH104" s="70">
        <f t="shared" si="658"/>
        <v>69</v>
      </c>
      <c r="CI104" s="71">
        <f t="shared" si="659"/>
        <v>73</v>
      </c>
      <c r="CJ104" s="72">
        <f t="shared" si="660"/>
        <v>104</v>
      </c>
      <c r="CK104" s="72">
        <f t="shared" si="661"/>
        <v>109</v>
      </c>
      <c r="CL104" s="72">
        <f t="shared" si="662"/>
        <v>145</v>
      </c>
      <c r="CM104" s="72">
        <f t="shared" si="663"/>
        <v>153</v>
      </c>
      <c r="CN104" s="72">
        <f t="shared" si="664"/>
        <v>180</v>
      </c>
      <c r="CO104" s="72">
        <f t="shared" si="665"/>
        <v>201</v>
      </c>
      <c r="CP104" s="72">
        <f t="shared" si="666"/>
        <v>239</v>
      </c>
      <c r="CQ104" s="72">
        <f t="shared" si="667"/>
        <v>316</v>
      </c>
      <c r="CR104" s="72">
        <f t="shared" si="668"/>
        <v>345</v>
      </c>
      <c r="CS104" s="72">
        <f t="shared" si="669"/>
        <v>354</v>
      </c>
      <c r="CT104" s="23">
        <f t="shared" si="67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447"/>
        <v>adrb1_melga_5F8U</v>
      </c>
      <c r="B105" s="3" t="s">
        <v>911</v>
      </c>
      <c r="C105" s="3" t="s">
        <v>1354</v>
      </c>
      <c r="D105" s="3" t="str">
        <f>IFERROR(MID(VLOOKUP($B105,Seqs!$A:$B,2,0),E105,1),"")</f>
        <v>W</v>
      </c>
      <c r="E105" s="3">
        <v>40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Q</v>
      </c>
      <c r="AM105" s="3">
        <v>237</v>
      </c>
      <c r="AN105" s="3" t="str">
        <f>IFERROR(MID(VLOOKUP($B105,Seqs!$A:$B,2,0),AO105,1),"")</f>
        <v>R</v>
      </c>
      <c r="AO105" s="3">
        <v>284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448"/>
        <v>1</v>
      </c>
      <c r="BC105" s="23">
        <f t="shared" si="645"/>
        <v>248</v>
      </c>
      <c r="BD105" s="5" t="s">
        <v>23</v>
      </c>
      <c r="BE105" s="3" t="s">
        <v>1374</v>
      </c>
      <c r="BF105" s="119">
        <v>3.35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646"/>
        <v>40</v>
      </c>
      <c r="BW105" s="71">
        <f t="shared" si="647"/>
        <v>70</v>
      </c>
      <c r="BX105" s="72">
        <f t="shared" si="648"/>
        <v>74</v>
      </c>
      <c r="BY105" s="71">
        <f t="shared" si="649"/>
        <v>106</v>
      </c>
      <c r="BZ105" s="72">
        <f t="shared" si="650"/>
        <v>110</v>
      </c>
      <c r="CA105" s="71">
        <f t="shared" si="651"/>
        <v>146</v>
      </c>
      <c r="CB105" s="72">
        <f t="shared" si="652"/>
        <v>154</v>
      </c>
      <c r="CC105" s="71">
        <f t="shared" si="653"/>
        <v>199</v>
      </c>
      <c r="CD105" s="72">
        <f t="shared" si="654"/>
        <v>204</v>
      </c>
      <c r="CE105" s="71">
        <f t="shared" si="655"/>
        <v>284</v>
      </c>
      <c r="CF105" s="72">
        <f t="shared" si="656"/>
        <v>321</v>
      </c>
      <c r="CG105" s="71">
        <f t="shared" si="657"/>
        <v>346</v>
      </c>
      <c r="CH105" s="70">
        <f t="shared" si="658"/>
        <v>69</v>
      </c>
      <c r="CI105" s="71">
        <f t="shared" si="659"/>
        <v>73</v>
      </c>
      <c r="CJ105" s="72">
        <f t="shared" si="660"/>
        <v>104</v>
      </c>
      <c r="CK105" s="72">
        <f t="shared" si="661"/>
        <v>109</v>
      </c>
      <c r="CL105" s="72">
        <f t="shared" si="662"/>
        <v>145</v>
      </c>
      <c r="CM105" s="72">
        <f t="shared" si="663"/>
        <v>153</v>
      </c>
      <c r="CN105" s="72">
        <f t="shared" si="664"/>
        <v>180</v>
      </c>
      <c r="CO105" s="72">
        <f t="shared" si="665"/>
        <v>201</v>
      </c>
      <c r="CP105" s="72">
        <f t="shared" si="666"/>
        <v>237</v>
      </c>
      <c r="CQ105" s="72">
        <f t="shared" si="667"/>
        <v>316</v>
      </c>
      <c r="CR105" s="72">
        <f t="shared" si="668"/>
        <v>345</v>
      </c>
      <c r="CS105" s="72">
        <f t="shared" si="669"/>
        <v>358</v>
      </c>
      <c r="CT105" s="23">
        <f t="shared" si="67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s="12" customFormat="1" x14ac:dyDescent="0.2">
      <c r="A106" s="9" t="str">
        <f t="shared" ref="A106" si="671">CONCATENATE(B106,"_",C106)</f>
        <v>adrb1_melga_6H7J</v>
      </c>
      <c r="B106" s="9" t="s">
        <v>911</v>
      </c>
      <c r="C106" s="9" t="s">
        <v>1519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1291</v>
      </c>
      <c r="BF106" s="120">
        <v>2.8</v>
      </c>
      <c r="BG106" s="51" t="s">
        <v>1</v>
      </c>
      <c r="BH106" s="51" t="s">
        <v>1</v>
      </c>
      <c r="BJ106" s="111" t="s">
        <v>1287</v>
      </c>
      <c r="BK106" s="112" t="s">
        <v>1287</v>
      </c>
      <c r="BL106" s="112" t="s">
        <v>1287</v>
      </c>
      <c r="BM106" s="112" t="s">
        <v>1287</v>
      </c>
      <c r="BN106" s="112" t="s">
        <v>1287</v>
      </c>
      <c r="BO106" s="112" t="s">
        <v>1287</v>
      </c>
      <c r="BP106" s="112" t="s">
        <v>1287</v>
      </c>
      <c r="BQ106" s="112" t="s">
        <v>1287</v>
      </c>
      <c r="BR106" s="112" t="s">
        <v>1287</v>
      </c>
      <c r="BS106" s="112" t="s">
        <v>1287</v>
      </c>
      <c r="BT106" s="112" t="s">
        <v>1287</v>
      </c>
      <c r="BU106" s="112" t="s">
        <v>1287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adrb1_melga_6H7L</v>
      </c>
      <c r="B107" s="9" t="s">
        <v>911</v>
      </c>
      <c r="C107" s="9" t="s">
        <v>1520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1291</v>
      </c>
      <c r="BF107" s="120">
        <v>2.7</v>
      </c>
      <c r="BG107" s="51" t="s">
        <v>1</v>
      </c>
      <c r="BH107" s="51" t="s">
        <v>1</v>
      </c>
      <c r="BJ107" s="111" t="s">
        <v>1287</v>
      </c>
      <c r="BK107" s="112" t="s">
        <v>1287</v>
      </c>
      <c r="BL107" s="112" t="s">
        <v>1287</v>
      </c>
      <c r="BM107" s="112" t="s">
        <v>1287</v>
      </c>
      <c r="BN107" s="112" t="s">
        <v>1287</v>
      </c>
      <c r="BO107" s="112" t="s">
        <v>1287</v>
      </c>
      <c r="BP107" s="112" t="s">
        <v>1287</v>
      </c>
      <c r="BQ107" s="112" t="s">
        <v>1287</v>
      </c>
      <c r="BR107" s="112" t="s">
        <v>1287</v>
      </c>
      <c r="BS107" s="112" t="s">
        <v>1287</v>
      </c>
      <c r="BT107" s="112" t="s">
        <v>1287</v>
      </c>
      <c r="BU107" s="112" t="s">
        <v>1287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adrb1_melga_6H7M</v>
      </c>
      <c r="B108" s="9" t="s">
        <v>911</v>
      </c>
      <c r="C108" s="9" t="s">
        <v>1521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23</v>
      </c>
      <c r="BE108" s="9" t="s">
        <v>1291</v>
      </c>
      <c r="BF108" s="120">
        <v>2.76</v>
      </c>
      <c r="BG108" s="51" t="s">
        <v>1</v>
      </c>
      <c r="BH108" s="51" t="s">
        <v>1</v>
      </c>
      <c r="BJ108" s="111" t="s">
        <v>1287</v>
      </c>
      <c r="BK108" s="112" t="s">
        <v>1287</v>
      </c>
      <c r="BL108" s="112" t="s">
        <v>1287</v>
      </c>
      <c r="BM108" s="112" t="s">
        <v>1287</v>
      </c>
      <c r="BN108" s="112" t="s">
        <v>1287</v>
      </c>
      <c r="BO108" s="112" t="s">
        <v>1287</v>
      </c>
      <c r="BP108" s="112" t="s">
        <v>1287</v>
      </c>
      <c r="BQ108" s="112" t="s">
        <v>1287</v>
      </c>
      <c r="BR108" s="112" t="s">
        <v>1287</v>
      </c>
      <c r="BS108" s="112" t="s">
        <v>1287</v>
      </c>
      <c r="BT108" s="112" t="s">
        <v>1287</v>
      </c>
      <c r="BU108" s="112" t="s">
        <v>1287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adrb1_melga_6H7N</v>
      </c>
      <c r="B109" s="9" t="s">
        <v>911</v>
      </c>
      <c r="C109" s="9" t="s">
        <v>1522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1375</v>
      </c>
      <c r="BE109" s="9" t="s">
        <v>1291</v>
      </c>
      <c r="BF109" s="120">
        <v>2.5</v>
      </c>
      <c r="BG109" s="51" t="s">
        <v>1</v>
      </c>
      <c r="BH109" s="51" t="s">
        <v>1</v>
      </c>
      <c r="BJ109" s="111" t="s">
        <v>1287</v>
      </c>
      <c r="BK109" s="112" t="s">
        <v>1287</v>
      </c>
      <c r="BL109" s="112" t="s">
        <v>1287</v>
      </c>
      <c r="BM109" s="112" t="s">
        <v>1287</v>
      </c>
      <c r="BN109" s="112" t="s">
        <v>1287</v>
      </c>
      <c r="BO109" s="112" t="s">
        <v>1287</v>
      </c>
      <c r="BP109" s="112" t="s">
        <v>1287</v>
      </c>
      <c r="BQ109" s="112" t="s">
        <v>1287</v>
      </c>
      <c r="BR109" s="112" t="s">
        <v>1287</v>
      </c>
      <c r="BS109" s="112" t="s">
        <v>1287</v>
      </c>
      <c r="BT109" s="112" t="s">
        <v>1287</v>
      </c>
      <c r="BU109" s="112" t="s">
        <v>1287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adrb1_melga_6H7O</v>
      </c>
      <c r="B110" s="9" t="s">
        <v>911</v>
      </c>
      <c r="C110" s="9" t="s">
        <v>1523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285</v>
      </c>
      <c r="BD110" s="13" t="s">
        <v>23</v>
      </c>
      <c r="BE110" s="9" t="s">
        <v>1291</v>
      </c>
      <c r="BF110" s="120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86">E110</f>
        <v>40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345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s="12" customFormat="1" x14ac:dyDescent="0.2">
      <c r="A111" s="9" t="str">
        <f t="shared" ref="A111" si="811">CONCATENATE(B111,"_",C111)</f>
        <v>adrb1_melga_6IBL</v>
      </c>
      <c r="B111" s="9" t="s">
        <v>911</v>
      </c>
      <c r="C111" s="9" t="s">
        <v>1550</v>
      </c>
      <c r="D111" s="9" t="str">
        <f>IFERROR(MID(VLOOKUP($B111,Seqs!$A:$B,2,0),E111,1),"")</f>
        <v>E</v>
      </c>
      <c r="E111" s="9">
        <v>41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C</v>
      </c>
      <c r="AU111" s="9">
        <v>344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812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813">_xlfn.AGGREGATE(9,6,CH111:CS111)-_xlfn.AGGREGATE(9,6,BV111:CG111)+12</f>
        <v>283</v>
      </c>
      <c r="BD111" s="13" t="s">
        <v>23</v>
      </c>
      <c r="BE111" s="9" t="s">
        <v>1291</v>
      </c>
      <c r="BF111" s="120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814">E111</f>
        <v>41</v>
      </c>
      <c r="BW111" s="113">
        <f t="shared" ref="BW111" si="815">I111</f>
        <v>70</v>
      </c>
      <c r="BX111" s="114">
        <f t="shared" ref="BX111" si="816">M111</f>
        <v>74</v>
      </c>
      <c r="BY111" s="113">
        <f t="shared" ref="BY111" si="817">Q111</f>
        <v>106</v>
      </c>
      <c r="BZ111" s="114">
        <f t="shared" ref="BZ111" si="818">U111</f>
        <v>110</v>
      </c>
      <c r="CA111" s="113">
        <f t="shared" ref="CA111" si="819">Y111</f>
        <v>146</v>
      </c>
      <c r="CB111" s="114">
        <f t="shared" ref="CB111" si="820">AC111</f>
        <v>154</v>
      </c>
      <c r="CC111" s="113">
        <f t="shared" ref="CC111" si="821">AG111</f>
        <v>199</v>
      </c>
      <c r="CD111" s="114">
        <f t="shared" ref="CD111" si="822">AK111</f>
        <v>204</v>
      </c>
      <c r="CE111" s="113">
        <f t="shared" ref="CE111" si="823">AO111</f>
        <v>282</v>
      </c>
      <c r="CF111" s="114">
        <f t="shared" ref="CF111" si="824">AS111</f>
        <v>321</v>
      </c>
      <c r="CG111" s="113">
        <f t="shared" ref="CG111" si="825">AW111</f>
        <v>346</v>
      </c>
      <c r="CH111" s="111">
        <f t="shared" ref="CH111" si="826">G111</f>
        <v>69</v>
      </c>
      <c r="CI111" s="113">
        <f t="shared" ref="CI111" si="827">K111</f>
        <v>73</v>
      </c>
      <c r="CJ111" s="114">
        <f t="shared" ref="CJ111" si="828">O111</f>
        <v>104</v>
      </c>
      <c r="CK111" s="114">
        <f t="shared" ref="CK111" si="829">S111</f>
        <v>109</v>
      </c>
      <c r="CL111" s="114">
        <f t="shared" ref="CL111" si="830">W111</f>
        <v>145</v>
      </c>
      <c r="CM111" s="114">
        <f t="shared" ref="CM111" si="831">AA111</f>
        <v>153</v>
      </c>
      <c r="CN111" s="114">
        <f t="shared" ref="CN111" si="832">AE111</f>
        <v>180</v>
      </c>
      <c r="CO111" s="114">
        <f t="shared" ref="CO111" si="833">AI111</f>
        <v>201</v>
      </c>
      <c r="CP111" s="114">
        <f t="shared" ref="CP111" si="834">AM111</f>
        <v>273</v>
      </c>
      <c r="CQ111" s="114">
        <f t="shared" ref="CQ111" si="835">AQ111</f>
        <v>316</v>
      </c>
      <c r="CR111" s="114">
        <f t="shared" ref="CR111" si="836">AU111</f>
        <v>344</v>
      </c>
      <c r="CS111" s="114">
        <f t="shared" ref="CS111" si="837">AY111</f>
        <v>357</v>
      </c>
      <c r="CT111" s="109">
        <f t="shared" ref="CT111" si="838">M111-K111</f>
        <v>1</v>
      </c>
    </row>
    <row r="112" spans="1:1029" x14ac:dyDescent="0.2">
      <c r="A112" s="3" t="str">
        <f t="shared" si="447"/>
        <v>adrb2_human__wt</v>
      </c>
      <c r="B112" s="3" t="s">
        <v>126</v>
      </c>
      <c r="C112" s="3" t="s">
        <v>100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237</v>
      </c>
      <c r="AN112" s="3" t="str">
        <f>IFERROR(MID(VLOOKUP($B112,Seqs!$A:$B,2,0),AO112,1),"")</f>
        <v>S</v>
      </c>
      <c r="AO112" s="3">
        <v>262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448"/>
        <v>1</v>
      </c>
      <c r="BC112" s="23">
        <f t="shared" si="645"/>
        <v>267</v>
      </c>
      <c r="BD112" s="56" t="s">
        <v>23</v>
      </c>
      <c r="BE112" s="3" t="s">
        <v>23</v>
      </c>
      <c r="BF112" s="119" t="s">
        <v>23</v>
      </c>
      <c r="BG112" s="49" t="s">
        <v>1372</v>
      </c>
      <c r="BH112" s="49" t="s">
        <v>1377</v>
      </c>
      <c r="BI112" s="3" t="s">
        <v>1165</v>
      </c>
      <c r="BJ112" s="70" t="s">
        <v>1287</v>
      </c>
      <c r="BK112" s="57" t="s">
        <v>1287</v>
      </c>
      <c r="BL112" s="57" t="s">
        <v>1287</v>
      </c>
      <c r="BM112" s="57" t="s">
        <v>1287</v>
      </c>
      <c r="BN112" s="57" t="s">
        <v>1287</v>
      </c>
      <c r="BO112" s="57" t="s">
        <v>1287</v>
      </c>
      <c r="BP112" s="57" t="s">
        <v>1287</v>
      </c>
      <c r="BQ112" s="57" t="s">
        <v>1287</v>
      </c>
      <c r="BR112" s="57" t="s">
        <v>1287</v>
      </c>
      <c r="BS112" s="57" t="s">
        <v>1287</v>
      </c>
      <c r="BT112" s="57" t="s">
        <v>1287</v>
      </c>
      <c r="BU112" s="57" t="s">
        <v>1287</v>
      </c>
      <c r="BV112" s="70">
        <f t="shared" si="646"/>
        <v>26</v>
      </c>
      <c r="BW112" s="71">
        <f t="shared" si="647"/>
        <v>62</v>
      </c>
      <c r="BX112" s="72">
        <f t="shared" si="648"/>
        <v>66</v>
      </c>
      <c r="BY112" s="71">
        <f t="shared" si="649"/>
        <v>98</v>
      </c>
      <c r="BZ112" s="72">
        <f t="shared" si="650"/>
        <v>102</v>
      </c>
      <c r="CA112" s="71">
        <f t="shared" si="651"/>
        <v>138</v>
      </c>
      <c r="CB112" s="72">
        <f t="shared" si="652"/>
        <v>146</v>
      </c>
      <c r="CC112" s="71">
        <f t="shared" si="653"/>
        <v>191</v>
      </c>
      <c r="CD112" s="72">
        <f t="shared" si="654"/>
        <v>196</v>
      </c>
      <c r="CE112" s="71">
        <f t="shared" si="655"/>
        <v>262</v>
      </c>
      <c r="CF112" s="72">
        <f t="shared" si="656"/>
        <v>304</v>
      </c>
      <c r="CG112" s="71">
        <f t="shared" si="657"/>
        <v>329</v>
      </c>
      <c r="CH112" s="70">
        <f t="shared" si="658"/>
        <v>61</v>
      </c>
      <c r="CI112" s="71">
        <f t="shared" si="659"/>
        <v>65</v>
      </c>
      <c r="CJ112" s="72">
        <f t="shared" si="660"/>
        <v>96</v>
      </c>
      <c r="CK112" s="72">
        <f t="shared" si="661"/>
        <v>101</v>
      </c>
      <c r="CL112" s="72">
        <f t="shared" si="662"/>
        <v>137</v>
      </c>
      <c r="CM112" s="72">
        <f t="shared" si="663"/>
        <v>145</v>
      </c>
      <c r="CN112" s="72">
        <f t="shared" si="664"/>
        <v>172</v>
      </c>
      <c r="CO112" s="72">
        <f t="shared" si="665"/>
        <v>193</v>
      </c>
      <c r="CP112" s="72">
        <f t="shared" si="666"/>
        <v>237</v>
      </c>
      <c r="CQ112" s="72">
        <f t="shared" si="667"/>
        <v>299</v>
      </c>
      <c r="CR112" s="72">
        <f t="shared" si="668"/>
        <v>328</v>
      </c>
      <c r="CS112" s="72">
        <f t="shared" si="669"/>
        <v>341</v>
      </c>
      <c r="CT112" s="23">
        <f t="shared" si="67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47"/>
        <v>adrb2_human_2RH1</v>
      </c>
      <c r="B113" s="3" t="s">
        <v>126</v>
      </c>
      <c r="C113" s="3" t="s">
        <v>75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48"/>
        <v>1</v>
      </c>
      <c r="BC113" s="23">
        <f t="shared" si="645"/>
        <v>244</v>
      </c>
      <c r="BD113" s="4" t="s">
        <v>23</v>
      </c>
      <c r="BE113" s="3" t="s">
        <v>1374</v>
      </c>
      <c r="BF113" s="119">
        <v>2.4</v>
      </c>
      <c r="BG113" s="49" t="s">
        <v>1377</v>
      </c>
      <c r="BH113" s="49" t="s">
        <v>1377</v>
      </c>
      <c r="BI113" s="1"/>
      <c r="BJ113" s="70" t="s">
        <v>1287</v>
      </c>
      <c r="BK113" s="57" t="s">
        <v>1287</v>
      </c>
      <c r="BL113" s="57" t="s">
        <v>1287</v>
      </c>
      <c r="BM113" s="57" t="s">
        <v>1287</v>
      </c>
      <c r="BN113" s="57" t="s">
        <v>1287</v>
      </c>
      <c r="BO113" s="57" t="s">
        <v>1287</v>
      </c>
      <c r="BP113" s="57" t="s">
        <v>1287</v>
      </c>
      <c r="BQ113" s="57" t="s">
        <v>1287</v>
      </c>
      <c r="BR113" s="57" t="s">
        <v>1287</v>
      </c>
      <c r="BS113" s="57" t="s">
        <v>1287</v>
      </c>
      <c r="BT113" s="57" t="s">
        <v>1287</v>
      </c>
      <c r="BU113" s="57" t="s">
        <v>1287</v>
      </c>
      <c r="BV113" s="70">
        <f t="shared" si="646"/>
        <v>29</v>
      </c>
      <c r="BW113" s="71">
        <f t="shared" si="647"/>
        <v>62</v>
      </c>
      <c r="BX113" s="72">
        <f t="shared" si="648"/>
        <v>66</v>
      </c>
      <c r="BY113" s="71">
        <f t="shared" si="649"/>
        <v>98</v>
      </c>
      <c r="BZ113" s="72">
        <f t="shared" si="650"/>
        <v>102</v>
      </c>
      <c r="CA113" s="71" t="str">
        <f t="shared" si="651"/>
        <v>-</v>
      </c>
      <c r="CB113" s="72">
        <f t="shared" si="652"/>
        <v>146</v>
      </c>
      <c r="CC113" s="71">
        <f t="shared" si="653"/>
        <v>191</v>
      </c>
      <c r="CD113" s="72">
        <f t="shared" si="654"/>
        <v>196</v>
      </c>
      <c r="CE113" s="71">
        <f t="shared" si="655"/>
        <v>267</v>
      </c>
      <c r="CF113" s="72">
        <f t="shared" si="656"/>
        <v>304</v>
      </c>
      <c r="CG113" s="71">
        <f t="shared" si="657"/>
        <v>329</v>
      </c>
      <c r="CH113" s="70">
        <f t="shared" si="658"/>
        <v>61</v>
      </c>
      <c r="CI113" s="71">
        <f t="shared" si="659"/>
        <v>65</v>
      </c>
      <c r="CJ113" s="72">
        <f t="shared" si="660"/>
        <v>96</v>
      </c>
      <c r="CK113" s="72">
        <f t="shared" si="661"/>
        <v>101</v>
      </c>
      <c r="CL113" s="72">
        <f t="shared" si="662"/>
        <v>137</v>
      </c>
      <c r="CM113" s="72" t="str">
        <f t="shared" si="663"/>
        <v>-</v>
      </c>
      <c r="CN113" s="72">
        <f t="shared" si="664"/>
        <v>172</v>
      </c>
      <c r="CO113" s="72">
        <f t="shared" si="665"/>
        <v>193</v>
      </c>
      <c r="CP113" s="72">
        <f t="shared" si="666"/>
        <v>229</v>
      </c>
      <c r="CQ113" s="72">
        <f t="shared" si="667"/>
        <v>299</v>
      </c>
      <c r="CR113" s="72">
        <f t="shared" si="668"/>
        <v>328</v>
      </c>
      <c r="CS113" s="72">
        <f t="shared" si="669"/>
        <v>341</v>
      </c>
      <c r="CT113" s="23">
        <f t="shared" si="67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47"/>
        <v>adrb2_human_3D4S</v>
      </c>
      <c r="B114" s="3" t="s">
        <v>126</v>
      </c>
      <c r="C114" s="3" t="s">
        <v>76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48"/>
        <v>1</v>
      </c>
      <c r="BC114" s="23">
        <f t="shared" si="645"/>
        <v>241</v>
      </c>
      <c r="BD114" s="4" t="s">
        <v>23</v>
      </c>
      <c r="BE114" s="3" t="s">
        <v>1374</v>
      </c>
      <c r="BF114" s="119">
        <v>2.8</v>
      </c>
      <c r="BG114" s="49" t="s">
        <v>1377</v>
      </c>
      <c r="BH114" s="49" t="s">
        <v>1377</v>
      </c>
      <c r="BI114" s="1"/>
      <c r="BJ114" s="70" t="s">
        <v>1287</v>
      </c>
      <c r="BK114" s="57" t="s">
        <v>1287</v>
      </c>
      <c r="BL114" s="57" t="s">
        <v>1287</v>
      </c>
      <c r="BM114" s="57" t="s">
        <v>1287</v>
      </c>
      <c r="BN114" s="57" t="s">
        <v>1287</v>
      </c>
      <c r="BO114" s="57" t="s">
        <v>1287</v>
      </c>
      <c r="BP114" s="57" t="s">
        <v>1287</v>
      </c>
      <c r="BQ114" s="57" t="s">
        <v>1287</v>
      </c>
      <c r="BR114" s="57" t="s">
        <v>1287</v>
      </c>
      <c r="BS114" s="57" t="s">
        <v>1287</v>
      </c>
      <c r="BT114" s="57" t="s">
        <v>1287</v>
      </c>
      <c r="BU114" s="57" t="s">
        <v>1287</v>
      </c>
      <c r="BV114" s="70">
        <f t="shared" si="646"/>
        <v>32</v>
      </c>
      <c r="BW114" s="71">
        <f t="shared" si="647"/>
        <v>62</v>
      </c>
      <c r="BX114" s="72">
        <f t="shared" si="648"/>
        <v>66</v>
      </c>
      <c r="BY114" s="71">
        <f t="shared" si="649"/>
        <v>98</v>
      </c>
      <c r="BZ114" s="72">
        <f t="shared" si="650"/>
        <v>102</v>
      </c>
      <c r="CA114" s="71" t="str">
        <f t="shared" si="651"/>
        <v>-</v>
      </c>
      <c r="CB114" s="72">
        <f t="shared" si="652"/>
        <v>146</v>
      </c>
      <c r="CC114" s="71">
        <f t="shared" si="653"/>
        <v>191</v>
      </c>
      <c r="CD114" s="72">
        <f t="shared" si="654"/>
        <v>196</v>
      </c>
      <c r="CE114" s="71">
        <f t="shared" si="655"/>
        <v>267</v>
      </c>
      <c r="CF114" s="72">
        <f t="shared" si="656"/>
        <v>304</v>
      </c>
      <c r="CG114" s="71">
        <f t="shared" si="657"/>
        <v>329</v>
      </c>
      <c r="CH114" s="70">
        <f t="shared" si="658"/>
        <v>61</v>
      </c>
      <c r="CI114" s="71">
        <f t="shared" si="659"/>
        <v>65</v>
      </c>
      <c r="CJ114" s="72">
        <f t="shared" si="660"/>
        <v>96</v>
      </c>
      <c r="CK114" s="72">
        <f t="shared" si="661"/>
        <v>101</v>
      </c>
      <c r="CL114" s="72">
        <f t="shared" si="662"/>
        <v>137</v>
      </c>
      <c r="CM114" s="72" t="str">
        <f t="shared" si="663"/>
        <v>-</v>
      </c>
      <c r="CN114" s="72">
        <f t="shared" si="664"/>
        <v>172</v>
      </c>
      <c r="CO114" s="72">
        <f t="shared" si="665"/>
        <v>193</v>
      </c>
      <c r="CP114" s="72">
        <f t="shared" si="666"/>
        <v>229</v>
      </c>
      <c r="CQ114" s="72">
        <f t="shared" si="667"/>
        <v>299</v>
      </c>
      <c r="CR114" s="72">
        <f t="shared" si="668"/>
        <v>328</v>
      </c>
      <c r="CS114" s="72">
        <f t="shared" si="669"/>
        <v>341</v>
      </c>
      <c r="CT114" s="23">
        <f t="shared" si="67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47"/>
        <v>adrb2_human_3NY8</v>
      </c>
      <c r="B115" s="3" t="s">
        <v>126</v>
      </c>
      <c r="C115" s="3" t="s">
        <v>1333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48"/>
        <v>1</v>
      </c>
      <c r="BC115" s="23">
        <f t="shared" si="645"/>
        <v>241</v>
      </c>
      <c r="BD115" s="4" t="s">
        <v>23</v>
      </c>
      <c r="BE115" s="3" t="s">
        <v>1374</v>
      </c>
      <c r="BF115" s="119">
        <v>2.84</v>
      </c>
      <c r="BG115" s="49" t="s">
        <v>1377</v>
      </c>
      <c r="BH115" s="49" t="s">
        <v>1377</v>
      </c>
      <c r="BI115" s="1"/>
      <c r="BJ115" s="70" t="s">
        <v>1287</v>
      </c>
      <c r="BK115" s="57" t="s">
        <v>1287</v>
      </c>
      <c r="BL115" s="57" t="s">
        <v>1287</v>
      </c>
      <c r="BM115" s="57" t="s">
        <v>1287</v>
      </c>
      <c r="BN115" s="57" t="s">
        <v>1287</v>
      </c>
      <c r="BO115" s="57" t="s">
        <v>1287</v>
      </c>
      <c r="BP115" s="57" t="s">
        <v>1287</v>
      </c>
      <c r="BQ115" s="57" t="s">
        <v>1287</v>
      </c>
      <c r="BR115" s="57" t="s">
        <v>1287</v>
      </c>
      <c r="BS115" s="57" t="s">
        <v>1287</v>
      </c>
      <c r="BT115" s="57" t="s">
        <v>1287</v>
      </c>
      <c r="BU115" s="57" t="s">
        <v>1287</v>
      </c>
      <c r="BV115" s="70">
        <f t="shared" si="646"/>
        <v>32</v>
      </c>
      <c r="BW115" s="71">
        <f t="shared" si="647"/>
        <v>62</v>
      </c>
      <c r="BX115" s="72">
        <f t="shared" si="648"/>
        <v>66</v>
      </c>
      <c r="BY115" s="71">
        <f t="shared" si="649"/>
        <v>98</v>
      </c>
      <c r="BZ115" s="72">
        <f t="shared" si="650"/>
        <v>102</v>
      </c>
      <c r="CA115" s="71" t="str">
        <f t="shared" si="651"/>
        <v>-</v>
      </c>
      <c r="CB115" s="72">
        <f t="shared" si="652"/>
        <v>146</v>
      </c>
      <c r="CC115" s="71">
        <f t="shared" si="653"/>
        <v>191</v>
      </c>
      <c r="CD115" s="72">
        <f t="shared" si="654"/>
        <v>196</v>
      </c>
      <c r="CE115" s="71">
        <f t="shared" si="655"/>
        <v>267</v>
      </c>
      <c r="CF115" s="72">
        <f t="shared" si="656"/>
        <v>304</v>
      </c>
      <c r="CG115" s="71">
        <f t="shared" si="657"/>
        <v>329</v>
      </c>
      <c r="CH115" s="70">
        <f t="shared" si="658"/>
        <v>61</v>
      </c>
      <c r="CI115" s="71">
        <f t="shared" si="659"/>
        <v>65</v>
      </c>
      <c r="CJ115" s="72">
        <f t="shared" si="660"/>
        <v>96</v>
      </c>
      <c r="CK115" s="72">
        <f t="shared" si="661"/>
        <v>101</v>
      </c>
      <c r="CL115" s="72">
        <f t="shared" si="662"/>
        <v>137</v>
      </c>
      <c r="CM115" s="72" t="str">
        <f t="shared" si="663"/>
        <v>-</v>
      </c>
      <c r="CN115" s="72">
        <f t="shared" si="664"/>
        <v>172</v>
      </c>
      <c r="CO115" s="72">
        <f t="shared" si="665"/>
        <v>193</v>
      </c>
      <c r="CP115" s="72">
        <f t="shared" si="666"/>
        <v>229</v>
      </c>
      <c r="CQ115" s="72">
        <f t="shared" si="667"/>
        <v>299</v>
      </c>
      <c r="CR115" s="72">
        <f t="shared" si="668"/>
        <v>328</v>
      </c>
      <c r="CS115" s="72">
        <f t="shared" si="669"/>
        <v>341</v>
      </c>
      <c r="CT115" s="23">
        <f t="shared" si="67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47"/>
        <v>adrb2_human_3NY9</v>
      </c>
      <c r="B116" s="3" t="s">
        <v>126</v>
      </c>
      <c r="C116" s="3" t="s">
        <v>1029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48"/>
        <v>1</v>
      </c>
      <c r="BC116" s="23">
        <f t="shared" si="645"/>
        <v>241</v>
      </c>
      <c r="BD116" s="4" t="s">
        <v>23</v>
      </c>
      <c r="BE116" s="3" t="s">
        <v>1374</v>
      </c>
      <c r="BF116" s="119">
        <v>2.84</v>
      </c>
      <c r="BG116" s="49" t="s">
        <v>1377</v>
      </c>
      <c r="BH116" s="49" t="s">
        <v>1377</v>
      </c>
      <c r="BI116" s="1"/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646"/>
        <v>32</v>
      </c>
      <c r="BW116" s="71">
        <f t="shared" si="647"/>
        <v>62</v>
      </c>
      <c r="BX116" s="72">
        <f t="shared" si="648"/>
        <v>66</v>
      </c>
      <c r="BY116" s="71">
        <f t="shared" si="649"/>
        <v>98</v>
      </c>
      <c r="BZ116" s="72">
        <f t="shared" si="650"/>
        <v>102</v>
      </c>
      <c r="CA116" s="71" t="str">
        <f t="shared" si="651"/>
        <v>-</v>
      </c>
      <c r="CB116" s="72">
        <f t="shared" si="652"/>
        <v>146</v>
      </c>
      <c r="CC116" s="71">
        <f t="shared" si="653"/>
        <v>191</v>
      </c>
      <c r="CD116" s="72">
        <f t="shared" si="654"/>
        <v>196</v>
      </c>
      <c r="CE116" s="71">
        <f t="shared" si="655"/>
        <v>267</v>
      </c>
      <c r="CF116" s="72">
        <f t="shared" si="656"/>
        <v>304</v>
      </c>
      <c r="CG116" s="71">
        <f t="shared" si="657"/>
        <v>329</v>
      </c>
      <c r="CH116" s="70">
        <f t="shared" si="658"/>
        <v>61</v>
      </c>
      <c r="CI116" s="71">
        <f t="shared" si="659"/>
        <v>65</v>
      </c>
      <c r="CJ116" s="72">
        <f t="shared" si="660"/>
        <v>96</v>
      </c>
      <c r="CK116" s="72">
        <f t="shared" si="661"/>
        <v>101</v>
      </c>
      <c r="CL116" s="72">
        <f t="shared" si="662"/>
        <v>137</v>
      </c>
      <c r="CM116" s="72" t="str">
        <f t="shared" si="663"/>
        <v>-</v>
      </c>
      <c r="CN116" s="72">
        <f t="shared" si="664"/>
        <v>172</v>
      </c>
      <c r="CO116" s="72">
        <f t="shared" si="665"/>
        <v>193</v>
      </c>
      <c r="CP116" s="72">
        <f t="shared" si="666"/>
        <v>229</v>
      </c>
      <c r="CQ116" s="72">
        <f t="shared" si="667"/>
        <v>299</v>
      </c>
      <c r="CR116" s="72">
        <f t="shared" si="668"/>
        <v>328</v>
      </c>
      <c r="CS116" s="72">
        <f t="shared" si="669"/>
        <v>341</v>
      </c>
      <c r="CT116" s="23">
        <f t="shared" si="67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47"/>
        <v>adrb2_human_3NYA</v>
      </c>
      <c r="B117" s="3" t="s">
        <v>126</v>
      </c>
      <c r="C117" s="3" t="s">
        <v>1334</v>
      </c>
      <c r="D117" s="3" t="str">
        <f>IFERROR(MID(VLOOKUP($B117,Seqs!$A:$B,2,0),E117,1),"")</f>
        <v>W</v>
      </c>
      <c r="E117" s="3">
        <v>32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48"/>
        <v>1</v>
      </c>
      <c r="BC117" s="23">
        <f t="shared" si="645"/>
        <v>241</v>
      </c>
      <c r="BD117" s="4" t="s">
        <v>23</v>
      </c>
      <c r="BE117" s="3" t="s">
        <v>1374</v>
      </c>
      <c r="BF117" s="119">
        <v>3.16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646"/>
        <v>32</v>
      </c>
      <c r="BW117" s="71">
        <f t="shared" si="647"/>
        <v>62</v>
      </c>
      <c r="BX117" s="72">
        <f t="shared" si="648"/>
        <v>66</v>
      </c>
      <c r="BY117" s="71">
        <f t="shared" si="649"/>
        <v>98</v>
      </c>
      <c r="BZ117" s="72">
        <f t="shared" si="650"/>
        <v>102</v>
      </c>
      <c r="CA117" s="71" t="str">
        <f t="shared" si="651"/>
        <v>-</v>
      </c>
      <c r="CB117" s="72">
        <f t="shared" si="652"/>
        <v>146</v>
      </c>
      <c r="CC117" s="71">
        <f t="shared" si="653"/>
        <v>191</v>
      </c>
      <c r="CD117" s="72">
        <f t="shared" si="654"/>
        <v>196</v>
      </c>
      <c r="CE117" s="71">
        <f t="shared" si="655"/>
        <v>267</v>
      </c>
      <c r="CF117" s="72">
        <f t="shared" si="656"/>
        <v>304</v>
      </c>
      <c r="CG117" s="71">
        <f t="shared" si="657"/>
        <v>329</v>
      </c>
      <c r="CH117" s="70">
        <f t="shared" si="658"/>
        <v>61</v>
      </c>
      <c r="CI117" s="71">
        <f t="shared" si="659"/>
        <v>65</v>
      </c>
      <c r="CJ117" s="72">
        <f t="shared" si="660"/>
        <v>96</v>
      </c>
      <c r="CK117" s="72">
        <f t="shared" si="661"/>
        <v>101</v>
      </c>
      <c r="CL117" s="72">
        <f t="shared" si="662"/>
        <v>137</v>
      </c>
      <c r="CM117" s="72" t="str">
        <f t="shared" si="663"/>
        <v>-</v>
      </c>
      <c r="CN117" s="72">
        <f t="shared" si="664"/>
        <v>172</v>
      </c>
      <c r="CO117" s="72">
        <f t="shared" si="665"/>
        <v>193</v>
      </c>
      <c r="CP117" s="72">
        <f t="shared" si="666"/>
        <v>229</v>
      </c>
      <c r="CQ117" s="72">
        <f t="shared" si="667"/>
        <v>299</v>
      </c>
      <c r="CR117" s="72">
        <f t="shared" si="668"/>
        <v>328</v>
      </c>
      <c r="CS117" s="72">
        <f t="shared" si="669"/>
        <v>341</v>
      </c>
      <c r="CT117" s="23">
        <f t="shared" si="67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47"/>
        <v>adrb2_human_3P0G</v>
      </c>
      <c r="B118" s="3" t="s">
        <v>126</v>
      </c>
      <c r="C118" s="3" t="s">
        <v>66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A</v>
      </c>
      <c r="AM118" s="3">
        <v>226</v>
      </c>
      <c r="AN118" s="3" t="str">
        <f>IFERROR(MID(VLOOKUP($B118,Seqs!$A:$B,2,0),AO118,1),"")</f>
        <v>H</v>
      </c>
      <c r="AO118" s="3">
        <v>269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48"/>
        <v>1</v>
      </c>
      <c r="BC118" s="23">
        <f t="shared" si="645"/>
        <v>249</v>
      </c>
      <c r="BD118" s="16" t="s">
        <v>23</v>
      </c>
      <c r="BE118" s="3" t="s">
        <v>1291</v>
      </c>
      <c r="BF118" s="119">
        <v>3.5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646"/>
        <v>26</v>
      </c>
      <c r="BW118" s="71">
        <f t="shared" si="647"/>
        <v>62</v>
      </c>
      <c r="BX118" s="72">
        <f t="shared" si="648"/>
        <v>66</v>
      </c>
      <c r="BY118" s="71">
        <f t="shared" si="649"/>
        <v>98</v>
      </c>
      <c r="BZ118" s="72">
        <f t="shared" si="650"/>
        <v>102</v>
      </c>
      <c r="CA118" s="71">
        <f t="shared" si="651"/>
        <v>138</v>
      </c>
      <c r="CB118" s="72">
        <f t="shared" si="652"/>
        <v>146</v>
      </c>
      <c r="CC118" s="71">
        <f t="shared" si="653"/>
        <v>191</v>
      </c>
      <c r="CD118" s="72">
        <f t="shared" si="654"/>
        <v>196</v>
      </c>
      <c r="CE118" s="71">
        <f t="shared" si="655"/>
        <v>269</v>
      </c>
      <c r="CF118" s="72">
        <f t="shared" si="656"/>
        <v>304</v>
      </c>
      <c r="CG118" s="71">
        <f t="shared" si="657"/>
        <v>329</v>
      </c>
      <c r="CH118" s="70">
        <f t="shared" si="658"/>
        <v>61</v>
      </c>
      <c r="CI118" s="71">
        <f t="shared" si="659"/>
        <v>65</v>
      </c>
      <c r="CJ118" s="72">
        <f t="shared" si="660"/>
        <v>96</v>
      </c>
      <c r="CK118" s="72">
        <f t="shared" si="661"/>
        <v>101</v>
      </c>
      <c r="CL118" s="72">
        <f t="shared" si="662"/>
        <v>137</v>
      </c>
      <c r="CM118" s="72">
        <f t="shared" si="663"/>
        <v>145</v>
      </c>
      <c r="CN118" s="72">
        <f t="shared" si="664"/>
        <v>172</v>
      </c>
      <c r="CO118" s="72">
        <f t="shared" si="665"/>
        <v>193</v>
      </c>
      <c r="CP118" s="72">
        <f t="shared" si="666"/>
        <v>226</v>
      </c>
      <c r="CQ118" s="72">
        <f t="shared" si="667"/>
        <v>299</v>
      </c>
      <c r="CR118" s="72">
        <f t="shared" si="668"/>
        <v>328</v>
      </c>
      <c r="CS118" s="72">
        <f t="shared" si="669"/>
        <v>341</v>
      </c>
      <c r="CT118" s="23">
        <f t="shared" si="67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447"/>
        <v>adrb2_human_3PDS</v>
      </c>
      <c r="B119" s="3" t="s">
        <v>126</v>
      </c>
      <c r="C119" s="3" t="s">
        <v>1335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L</v>
      </c>
      <c r="AO119" s="3">
        <v>266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48"/>
        <v>1</v>
      </c>
      <c r="BC119" s="23">
        <f t="shared" si="645"/>
        <v>245</v>
      </c>
      <c r="BD119" s="5" t="s">
        <v>23</v>
      </c>
      <c r="BE119" s="3" t="s">
        <v>1374</v>
      </c>
      <c r="BF119" s="119">
        <v>3.5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646"/>
        <v>29</v>
      </c>
      <c r="BW119" s="71">
        <f t="shared" si="647"/>
        <v>62</v>
      </c>
      <c r="BX119" s="72">
        <f t="shared" si="648"/>
        <v>66</v>
      </c>
      <c r="BY119" s="71">
        <f t="shared" si="649"/>
        <v>98</v>
      </c>
      <c r="BZ119" s="72">
        <f t="shared" si="650"/>
        <v>102</v>
      </c>
      <c r="CA119" s="71" t="str">
        <f t="shared" si="651"/>
        <v>-</v>
      </c>
      <c r="CB119" s="72">
        <f t="shared" si="652"/>
        <v>146</v>
      </c>
      <c r="CC119" s="71">
        <f t="shared" si="653"/>
        <v>191</v>
      </c>
      <c r="CD119" s="72">
        <f t="shared" si="654"/>
        <v>196</v>
      </c>
      <c r="CE119" s="71">
        <f t="shared" si="655"/>
        <v>266</v>
      </c>
      <c r="CF119" s="72">
        <f t="shared" si="656"/>
        <v>304</v>
      </c>
      <c r="CG119" s="71">
        <f t="shared" si="657"/>
        <v>329</v>
      </c>
      <c r="CH119" s="70">
        <f t="shared" si="658"/>
        <v>61</v>
      </c>
      <c r="CI119" s="71">
        <f t="shared" si="659"/>
        <v>65</v>
      </c>
      <c r="CJ119" s="72">
        <f t="shared" si="660"/>
        <v>96</v>
      </c>
      <c r="CK119" s="72">
        <f t="shared" si="661"/>
        <v>101</v>
      </c>
      <c r="CL119" s="72">
        <f t="shared" si="662"/>
        <v>137</v>
      </c>
      <c r="CM119" s="72" t="str">
        <f t="shared" si="663"/>
        <v>-</v>
      </c>
      <c r="CN119" s="72">
        <f t="shared" si="664"/>
        <v>172</v>
      </c>
      <c r="CO119" s="72">
        <f t="shared" si="665"/>
        <v>193</v>
      </c>
      <c r="CP119" s="72">
        <f t="shared" si="666"/>
        <v>229</v>
      </c>
      <c r="CQ119" s="72">
        <f t="shared" si="667"/>
        <v>299</v>
      </c>
      <c r="CR119" s="72">
        <f t="shared" si="668"/>
        <v>328</v>
      </c>
      <c r="CS119" s="72">
        <f t="shared" si="669"/>
        <v>341</v>
      </c>
      <c r="CT119" s="23">
        <f t="shared" si="67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ht="17" customHeight="1" x14ac:dyDescent="0.2">
      <c r="A120" s="3" t="str">
        <f t="shared" si="447"/>
        <v>adrb2_human_3SN6</v>
      </c>
      <c r="B120" s="3" t="s">
        <v>126</v>
      </c>
      <c r="C120" s="3" t="s">
        <v>85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>P</v>
      </c>
      <c r="Y120" s="3">
        <v>138</v>
      </c>
      <c r="Z120" s="3" t="str">
        <f>IFERROR(MID(VLOOKUP($B120,Seqs!$A:$B,2,0),AA120,1),"")</f>
        <v>L</v>
      </c>
      <c r="AA120" s="3">
        <v>145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E</v>
      </c>
      <c r="AM120" s="3">
        <v>237</v>
      </c>
      <c r="AN120" s="3" t="str">
        <f>IFERROR(MID(VLOOKUP($B120,Seqs!$A:$B,2,0),AO120,1),"")</f>
        <v>C</v>
      </c>
      <c r="AO120" s="3">
        <v>265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448"/>
        <v>1</v>
      </c>
      <c r="BC120" s="23">
        <f t="shared" si="645"/>
        <v>261</v>
      </c>
      <c r="BD120" s="4" t="s">
        <v>1375</v>
      </c>
      <c r="BE120" s="3" t="s">
        <v>1291</v>
      </c>
      <c r="BF120" s="119">
        <v>3.2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646"/>
        <v>29</v>
      </c>
      <c r="BW120" s="71">
        <f t="shared" si="647"/>
        <v>62</v>
      </c>
      <c r="BX120" s="72">
        <f t="shared" si="648"/>
        <v>66</v>
      </c>
      <c r="BY120" s="71">
        <f t="shared" si="649"/>
        <v>98</v>
      </c>
      <c r="BZ120" s="72">
        <f t="shared" si="650"/>
        <v>102</v>
      </c>
      <c r="CA120" s="71">
        <f t="shared" si="651"/>
        <v>138</v>
      </c>
      <c r="CB120" s="72">
        <f t="shared" si="652"/>
        <v>146</v>
      </c>
      <c r="CC120" s="71">
        <f t="shared" si="653"/>
        <v>191</v>
      </c>
      <c r="CD120" s="72">
        <f t="shared" si="654"/>
        <v>196</v>
      </c>
      <c r="CE120" s="71">
        <f t="shared" si="655"/>
        <v>265</v>
      </c>
      <c r="CF120" s="72">
        <f t="shared" si="656"/>
        <v>304</v>
      </c>
      <c r="CG120" s="71">
        <f t="shared" si="657"/>
        <v>329</v>
      </c>
      <c r="CH120" s="70">
        <f t="shared" si="658"/>
        <v>61</v>
      </c>
      <c r="CI120" s="71">
        <f t="shared" si="659"/>
        <v>65</v>
      </c>
      <c r="CJ120" s="72">
        <f t="shared" si="660"/>
        <v>96</v>
      </c>
      <c r="CK120" s="72">
        <f t="shared" si="661"/>
        <v>101</v>
      </c>
      <c r="CL120" s="72">
        <f t="shared" si="662"/>
        <v>137</v>
      </c>
      <c r="CM120" s="72">
        <f t="shared" si="663"/>
        <v>145</v>
      </c>
      <c r="CN120" s="72">
        <f t="shared" si="664"/>
        <v>172</v>
      </c>
      <c r="CO120" s="72">
        <f t="shared" si="665"/>
        <v>193</v>
      </c>
      <c r="CP120" s="72">
        <f t="shared" si="666"/>
        <v>237</v>
      </c>
      <c r="CQ120" s="72">
        <f t="shared" si="667"/>
        <v>299</v>
      </c>
      <c r="CR120" s="72">
        <f t="shared" si="668"/>
        <v>328</v>
      </c>
      <c r="CS120" s="72">
        <f t="shared" si="669"/>
        <v>341</v>
      </c>
      <c r="CT120" s="23">
        <f t="shared" si="67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s="12" customFormat="1" ht="17" customHeight="1" x14ac:dyDescent="0.2">
      <c r="A121" s="9" t="str">
        <f t="shared" ref="A121" si="839">CONCATENATE(B121,"_",C121)</f>
        <v>adrb2_human_4GBR</v>
      </c>
      <c r="B121" s="9" t="s">
        <v>126</v>
      </c>
      <c r="C121" s="9" t="s">
        <v>1106</v>
      </c>
      <c r="D121" s="9" t="str">
        <f>IFERROR(MID(VLOOKUP($B121,Seqs!$A:$B,2,0),E121,1),"")</f>
        <v>D</v>
      </c>
      <c r="E121" s="9">
        <v>29</v>
      </c>
      <c r="F121" s="9" t="str">
        <f>IFERROR(MID(VLOOKUP($B121,Seqs!$A:$B,2,0),G121,1),"")</f>
        <v>F</v>
      </c>
      <c r="G121" s="9">
        <v>61</v>
      </c>
      <c r="H121" s="9" t="str">
        <f>IFERROR(MID(VLOOKUP($B121,Seqs!$A:$B,2,0),I121,1),"")</f>
        <v>E</v>
      </c>
      <c r="I121" s="109">
        <v>62</v>
      </c>
      <c r="J121" s="9" t="str">
        <f>IFERROR(MID(VLOOKUP($B121,Seqs!$A:$B,2,0),K121,1),"")</f>
        <v>Q</v>
      </c>
      <c r="K121" s="109">
        <v>65</v>
      </c>
      <c r="L121" s="9" t="str">
        <f>IFERROR(MID(VLOOKUP($B121,Seqs!$A:$B,2,0),M121,1),"")</f>
        <v>T</v>
      </c>
      <c r="M121" s="9">
        <v>66</v>
      </c>
      <c r="N121" s="9" t="str">
        <f>IFERROR(MID(VLOOKUP($B121,Seqs!$A:$B,2,0),O121,1),"")</f>
        <v>M</v>
      </c>
      <c r="O121" s="9">
        <v>96</v>
      </c>
      <c r="P121" s="9" t="str">
        <f>IFERROR(MID(VLOOKUP($B121,Seqs!$A:$B,2,0),Q121,1),"")</f>
        <v>M</v>
      </c>
      <c r="Q121" s="9">
        <v>98</v>
      </c>
      <c r="R121" s="9" t="str">
        <f>IFERROR(MID(VLOOKUP($B121,Seqs!$A:$B,2,0),S121,1),"")</f>
        <v>F</v>
      </c>
      <c r="S121" s="9">
        <v>101</v>
      </c>
      <c r="T121" s="9" t="str">
        <f>IFERROR(MID(VLOOKUP($B121,Seqs!$A:$B,2,0),U121,1),"")</f>
        <v>G</v>
      </c>
      <c r="U121" s="9">
        <v>102</v>
      </c>
      <c r="V121" s="9" t="str">
        <f>IFERROR(MID(VLOOKUP($B121,Seqs!$A:$B,2,0),W121,1),"")</f>
        <v>T</v>
      </c>
      <c r="W121" s="9">
        <v>136</v>
      </c>
      <c r="X121" s="9" t="str">
        <f>IFERROR(MID(VLOOKUP($B121,Seqs!$A:$B,2,0),Y121,1),"")</f>
        <v/>
      </c>
      <c r="Y121" s="9" t="s">
        <v>23</v>
      </c>
      <c r="Z121" s="9" t="str">
        <f>IFERROR(MID(VLOOKUP($B121,Seqs!$A:$B,2,0),AA121,1),"")</f>
        <v/>
      </c>
      <c r="AA121" s="9" t="s">
        <v>23</v>
      </c>
      <c r="AB121" s="9" t="str">
        <f>IFERROR(MID(VLOOKUP($B121,Seqs!$A:$B,2,0),AC121,1),"")</f>
        <v>T</v>
      </c>
      <c r="AC121" s="9">
        <v>146</v>
      </c>
      <c r="AD121" s="9" t="str">
        <f>IFERROR(MID(VLOOKUP($B121,Seqs!$A:$B,2,0),AE121,1),"")</f>
        <v>H</v>
      </c>
      <c r="AE121" s="9">
        <v>172</v>
      </c>
      <c r="AF121" s="9" t="str">
        <f>IFERROR(MID(VLOOKUP($B121,Seqs!$A:$B,2,0),AG121,1),"")</f>
        <v>C</v>
      </c>
      <c r="AG121" s="9">
        <v>191</v>
      </c>
      <c r="AH121" s="9" t="str">
        <f>IFERROR(MID(VLOOKUP($B121,Seqs!$A:$B,2,0),AI121,1),"")</f>
        <v>F</v>
      </c>
      <c r="AI121" s="9">
        <v>193</v>
      </c>
      <c r="AJ121" s="9" t="str">
        <f>IFERROR(MID(VLOOKUP($B121,Seqs!$A:$B,2,0),AK121,1),"")</f>
        <v>N</v>
      </c>
      <c r="AK121" s="9">
        <v>196</v>
      </c>
      <c r="AL121" s="9" t="str">
        <f>IFERROR(MID(VLOOKUP($B121,Seqs!$A:$B,2,0),AM121,1),"")</f>
        <v>K</v>
      </c>
      <c r="AM121" s="9">
        <v>232</v>
      </c>
      <c r="AN121" s="9" t="str">
        <f>IFERROR(MID(VLOOKUP($B121,Seqs!$A:$B,2,0),AO121,1),"")</f>
        <v>E</v>
      </c>
      <c r="AO121" s="9">
        <v>237</v>
      </c>
      <c r="AP121" s="9" t="str">
        <f>IFERROR(MID(VLOOKUP($B121,Seqs!$A:$B,2,0),AQ121,1),"")</f>
        <v>A</v>
      </c>
      <c r="AQ121" s="9">
        <v>271</v>
      </c>
      <c r="AR121" s="9" t="str">
        <f>IFERROR(MID(VLOOKUP($B121,Seqs!$A:$B,2,0),AS121,1),"")</f>
        <v>G</v>
      </c>
      <c r="AS121" s="9">
        <v>276</v>
      </c>
      <c r="AT121" s="9" t="str">
        <f>IFERROR(MID(VLOOKUP($B121,Seqs!$A:$B,2,0),AU121,1),"")</f>
        <v>D</v>
      </c>
      <c r="AU121" s="9">
        <v>300</v>
      </c>
      <c r="AV121" s="9" t="str">
        <f>IFERROR(MID(VLOOKUP($B121,Seqs!$A:$B,2,0),AW121,1),"")</f>
        <v>N</v>
      </c>
      <c r="AW121" s="9">
        <v>301</v>
      </c>
      <c r="AX121" s="9" t="str">
        <f>IFERROR(MID(VLOOKUP($B121,Seqs!$A:$B,2,0),AY121,1),"")</f>
        <v>W</v>
      </c>
      <c r="AY121" s="9">
        <v>313</v>
      </c>
      <c r="AZ121" s="110" t="str">
        <f>VLOOKUP(B121,Classification!A:D,2,0)</f>
        <v>A</v>
      </c>
      <c r="BA121" s="98" t="str">
        <f>VLOOKUP(B121,Classification!A:D,4,0)</f>
        <v>Adrenoceptors</v>
      </c>
      <c r="BB121" s="36" t="b">
        <f t="shared" ref="BB121" si="84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109">
        <f t="shared" ref="BC121" si="841">_xlfn.AGGREGATE(9,6,CH121:CS121)-_xlfn.AGGREGATE(9,6,BV121:CG121)+12</f>
        <v>248</v>
      </c>
      <c r="BD121" s="11" t="s">
        <v>23</v>
      </c>
      <c r="BE121" s="9" t="s">
        <v>1374</v>
      </c>
      <c r="BF121" s="120">
        <v>3.99</v>
      </c>
      <c r="BG121" s="51" t="s">
        <v>1</v>
      </c>
      <c r="BH121" s="51" t="s">
        <v>1</v>
      </c>
      <c r="BJ121" s="111" t="s">
        <v>1287</v>
      </c>
      <c r="BK121" s="112" t="s">
        <v>1287</v>
      </c>
      <c r="BL121" s="112" t="s">
        <v>1287</v>
      </c>
      <c r="BM121" s="112" t="s">
        <v>1287</v>
      </c>
      <c r="BN121" s="112" t="s">
        <v>1287</v>
      </c>
      <c r="BO121" s="112" t="s">
        <v>1287</v>
      </c>
      <c r="BP121" s="112" t="s">
        <v>1287</v>
      </c>
      <c r="BQ121" s="112" t="s">
        <v>1287</v>
      </c>
      <c r="BR121" s="112" t="s">
        <v>1287</v>
      </c>
      <c r="BS121" s="112" t="s">
        <v>1287</v>
      </c>
      <c r="BT121" s="112" t="s">
        <v>1287</v>
      </c>
      <c r="BU121" s="112" t="s">
        <v>1287</v>
      </c>
      <c r="BV121" s="111">
        <f t="shared" ref="BV121" si="842">E121</f>
        <v>29</v>
      </c>
      <c r="BW121" s="113">
        <f t="shared" ref="BW121" si="843">I121</f>
        <v>62</v>
      </c>
      <c r="BX121" s="114">
        <f t="shared" ref="BX121" si="844">M121</f>
        <v>66</v>
      </c>
      <c r="BY121" s="113">
        <f t="shared" ref="BY121" si="845">Q121</f>
        <v>98</v>
      </c>
      <c r="BZ121" s="114">
        <f t="shared" ref="BZ121" si="846">U121</f>
        <v>102</v>
      </c>
      <c r="CA121" s="113" t="str">
        <f t="shared" ref="CA121" si="847">Y121</f>
        <v>-</v>
      </c>
      <c r="CB121" s="114">
        <f t="shared" ref="CB121" si="848">AC121</f>
        <v>146</v>
      </c>
      <c r="CC121" s="113">
        <f t="shared" ref="CC121" si="849">AG121</f>
        <v>191</v>
      </c>
      <c r="CD121" s="114">
        <f t="shared" ref="CD121" si="850">AK121</f>
        <v>196</v>
      </c>
      <c r="CE121" s="113">
        <f t="shared" ref="CE121" si="851">AO121</f>
        <v>237</v>
      </c>
      <c r="CF121" s="114">
        <f t="shared" ref="CF121" si="852">AS121</f>
        <v>276</v>
      </c>
      <c r="CG121" s="113">
        <f t="shared" ref="CG121" si="853">AW121</f>
        <v>301</v>
      </c>
      <c r="CH121" s="111">
        <f t="shared" ref="CH121" si="854">G121</f>
        <v>61</v>
      </c>
      <c r="CI121" s="113">
        <f t="shared" ref="CI121" si="855">K121</f>
        <v>65</v>
      </c>
      <c r="CJ121" s="114">
        <f t="shared" ref="CJ121" si="856">O121</f>
        <v>96</v>
      </c>
      <c r="CK121" s="114">
        <f t="shared" ref="CK121" si="857">S121</f>
        <v>101</v>
      </c>
      <c r="CL121" s="114">
        <f t="shared" ref="CL121" si="858">W121</f>
        <v>136</v>
      </c>
      <c r="CM121" s="114" t="str">
        <f t="shared" ref="CM121" si="859">AA121</f>
        <v>-</v>
      </c>
      <c r="CN121" s="114">
        <f t="shared" ref="CN121" si="860">AE121</f>
        <v>172</v>
      </c>
      <c r="CO121" s="114">
        <f t="shared" ref="CO121" si="861">AI121</f>
        <v>193</v>
      </c>
      <c r="CP121" s="114">
        <f t="shared" ref="CP121" si="862">AM121</f>
        <v>232</v>
      </c>
      <c r="CQ121" s="114">
        <f t="shared" ref="CQ121" si="863">AQ121</f>
        <v>271</v>
      </c>
      <c r="CR121" s="114">
        <f t="shared" ref="CR121" si="864">AU121</f>
        <v>300</v>
      </c>
      <c r="CS121" s="114">
        <f t="shared" ref="CS121" si="865">AY121</f>
        <v>313</v>
      </c>
      <c r="CT121" s="109">
        <f t="shared" ref="CT121" si="866">M121-K121</f>
        <v>1</v>
      </c>
    </row>
    <row r="122" spans="1:1029" x14ac:dyDescent="0.2">
      <c r="A122" s="3" t="str">
        <f t="shared" ref="A122:A195" si="867">CONCATENATE(B122,"_",C122)</f>
        <v>adrb2_human_4LDE</v>
      </c>
      <c r="B122" s="3" t="s">
        <v>126</v>
      </c>
      <c r="C122" s="3" t="s">
        <v>77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ref="BB122:BB195" si="868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si="645"/>
        <v>248</v>
      </c>
      <c r="BD122" s="4" t="s">
        <v>23</v>
      </c>
      <c r="BE122" s="3" t="s">
        <v>1291</v>
      </c>
      <c r="BF122" s="119">
        <v>2.79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646"/>
        <v>1029</v>
      </c>
      <c r="BW122" s="71">
        <f t="shared" si="647"/>
        <v>1062</v>
      </c>
      <c r="BX122" s="72">
        <f t="shared" si="648"/>
        <v>1066</v>
      </c>
      <c r="BY122" s="71">
        <f t="shared" si="649"/>
        <v>1098</v>
      </c>
      <c r="BZ122" s="72">
        <f t="shared" si="650"/>
        <v>1102</v>
      </c>
      <c r="CA122" s="71">
        <f t="shared" si="651"/>
        <v>1138</v>
      </c>
      <c r="CB122" s="72">
        <f t="shared" si="652"/>
        <v>1146</v>
      </c>
      <c r="CC122" s="71">
        <f t="shared" si="653"/>
        <v>1191</v>
      </c>
      <c r="CD122" s="72">
        <f t="shared" si="654"/>
        <v>1196</v>
      </c>
      <c r="CE122" s="71">
        <f t="shared" si="655"/>
        <v>1266</v>
      </c>
      <c r="CF122" s="72">
        <f t="shared" si="656"/>
        <v>1304</v>
      </c>
      <c r="CG122" s="71">
        <f t="shared" si="657"/>
        <v>1329</v>
      </c>
      <c r="CH122" s="70">
        <f t="shared" si="658"/>
        <v>1061</v>
      </c>
      <c r="CI122" s="71">
        <f t="shared" si="659"/>
        <v>1065</v>
      </c>
      <c r="CJ122" s="72">
        <f t="shared" si="660"/>
        <v>1096</v>
      </c>
      <c r="CK122" s="72">
        <f t="shared" si="661"/>
        <v>1101</v>
      </c>
      <c r="CL122" s="72">
        <f t="shared" si="662"/>
        <v>1137</v>
      </c>
      <c r="CM122" s="72">
        <f t="shared" si="663"/>
        <v>1145</v>
      </c>
      <c r="CN122" s="72">
        <f t="shared" si="664"/>
        <v>1172</v>
      </c>
      <c r="CO122" s="72">
        <f t="shared" si="665"/>
        <v>1193</v>
      </c>
      <c r="CP122" s="72">
        <f t="shared" si="666"/>
        <v>1225</v>
      </c>
      <c r="CQ122" s="72">
        <f t="shared" si="667"/>
        <v>1299</v>
      </c>
      <c r="CR122" s="72">
        <f t="shared" si="668"/>
        <v>1328</v>
      </c>
      <c r="CS122" s="72">
        <f t="shared" si="669"/>
        <v>1341</v>
      </c>
      <c r="CT122" s="23">
        <f t="shared" si="67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867"/>
        <v>adrb2_human_4LDL</v>
      </c>
      <c r="B123" s="3" t="s">
        <v>126</v>
      </c>
      <c r="C123" s="3" t="s">
        <v>1044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68"/>
        <v>1</v>
      </c>
      <c r="BC123" s="23">
        <f t="shared" si="645"/>
        <v>248</v>
      </c>
      <c r="BD123" s="4" t="s">
        <v>23</v>
      </c>
      <c r="BE123" s="3" t="s">
        <v>1291</v>
      </c>
      <c r="BF123" s="119">
        <v>3.1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646"/>
        <v>1029</v>
      </c>
      <c r="BW123" s="71">
        <f t="shared" si="647"/>
        <v>1062</v>
      </c>
      <c r="BX123" s="72">
        <f t="shared" si="648"/>
        <v>1066</v>
      </c>
      <c r="BY123" s="71">
        <f t="shared" si="649"/>
        <v>1098</v>
      </c>
      <c r="BZ123" s="72">
        <f t="shared" si="650"/>
        <v>1102</v>
      </c>
      <c r="CA123" s="71">
        <f t="shared" si="651"/>
        <v>1138</v>
      </c>
      <c r="CB123" s="72">
        <f t="shared" si="652"/>
        <v>1146</v>
      </c>
      <c r="CC123" s="71">
        <f t="shared" si="653"/>
        <v>1191</v>
      </c>
      <c r="CD123" s="72">
        <f t="shared" si="654"/>
        <v>1196</v>
      </c>
      <c r="CE123" s="71">
        <f t="shared" si="655"/>
        <v>1266</v>
      </c>
      <c r="CF123" s="72">
        <f t="shared" si="656"/>
        <v>1304</v>
      </c>
      <c r="CG123" s="71">
        <f t="shared" si="657"/>
        <v>1329</v>
      </c>
      <c r="CH123" s="70">
        <f t="shared" si="658"/>
        <v>1061</v>
      </c>
      <c r="CI123" s="71">
        <f t="shared" si="659"/>
        <v>1065</v>
      </c>
      <c r="CJ123" s="72">
        <f t="shared" si="660"/>
        <v>1096</v>
      </c>
      <c r="CK123" s="72">
        <f t="shared" si="661"/>
        <v>1101</v>
      </c>
      <c r="CL123" s="72">
        <f t="shared" si="662"/>
        <v>1137</v>
      </c>
      <c r="CM123" s="72">
        <f t="shared" si="663"/>
        <v>1145</v>
      </c>
      <c r="CN123" s="72">
        <f t="shared" si="664"/>
        <v>1172</v>
      </c>
      <c r="CO123" s="72">
        <f t="shared" si="665"/>
        <v>1193</v>
      </c>
      <c r="CP123" s="72">
        <f t="shared" si="666"/>
        <v>1225</v>
      </c>
      <c r="CQ123" s="72">
        <f t="shared" si="667"/>
        <v>1299</v>
      </c>
      <c r="CR123" s="72">
        <f t="shared" si="668"/>
        <v>1328</v>
      </c>
      <c r="CS123" s="72">
        <f t="shared" si="669"/>
        <v>1341</v>
      </c>
      <c r="CT123" s="23">
        <f t="shared" si="67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867"/>
        <v>adrb2_human_4LDO</v>
      </c>
      <c r="B124" s="3" t="s">
        <v>126</v>
      </c>
      <c r="C124" s="3" t="s">
        <v>1045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68"/>
        <v>1</v>
      </c>
      <c r="BC124" s="23">
        <f t="shared" si="645"/>
        <v>248</v>
      </c>
      <c r="BD124" s="4" t="s">
        <v>23</v>
      </c>
      <c r="BE124" s="3" t="s">
        <v>1291</v>
      </c>
      <c r="BF124" s="119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646"/>
        <v>1029</v>
      </c>
      <c r="BW124" s="71">
        <f t="shared" si="647"/>
        <v>1062</v>
      </c>
      <c r="BX124" s="72">
        <f t="shared" si="648"/>
        <v>1066</v>
      </c>
      <c r="BY124" s="71">
        <f t="shared" si="649"/>
        <v>1098</v>
      </c>
      <c r="BZ124" s="72">
        <f t="shared" si="650"/>
        <v>1102</v>
      </c>
      <c r="CA124" s="71">
        <f t="shared" si="651"/>
        <v>1138</v>
      </c>
      <c r="CB124" s="72">
        <f t="shared" si="652"/>
        <v>1146</v>
      </c>
      <c r="CC124" s="71">
        <f t="shared" si="653"/>
        <v>1191</v>
      </c>
      <c r="CD124" s="72">
        <f t="shared" si="654"/>
        <v>1196</v>
      </c>
      <c r="CE124" s="71">
        <f t="shared" si="655"/>
        <v>1266</v>
      </c>
      <c r="CF124" s="72">
        <f t="shared" si="656"/>
        <v>1304</v>
      </c>
      <c r="CG124" s="71">
        <f t="shared" si="657"/>
        <v>1329</v>
      </c>
      <c r="CH124" s="70">
        <f t="shared" si="658"/>
        <v>1061</v>
      </c>
      <c r="CI124" s="71">
        <f t="shared" si="659"/>
        <v>1065</v>
      </c>
      <c r="CJ124" s="72">
        <f t="shared" si="660"/>
        <v>1096</v>
      </c>
      <c r="CK124" s="72">
        <f t="shared" si="661"/>
        <v>1101</v>
      </c>
      <c r="CL124" s="72">
        <f t="shared" si="662"/>
        <v>1137</v>
      </c>
      <c r="CM124" s="72">
        <f t="shared" si="663"/>
        <v>1145</v>
      </c>
      <c r="CN124" s="72">
        <f t="shared" si="664"/>
        <v>1172</v>
      </c>
      <c r="CO124" s="72">
        <f t="shared" si="665"/>
        <v>1193</v>
      </c>
      <c r="CP124" s="72">
        <f t="shared" si="666"/>
        <v>1225</v>
      </c>
      <c r="CQ124" s="72">
        <f t="shared" si="667"/>
        <v>1299</v>
      </c>
      <c r="CR124" s="72">
        <f t="shared" si="668"/>
        <v>1328</v>
      </c>
      <c r="CS124" s="72">
        <f t="shared" si="669"/>
        <v>1341</v>
      </c>
      <c r="CT124" s="23">
        <f t="shared" si="67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67"/>
        <v>adrb2_human_4QKX</v>
      </c>
      <c r="B125" s="3" t="s">
        <v>126</v>
      </c>
      <c r="C125" s="3" t="s">
        <v>78</v>
      </c>
      <c r="D125" s="3" t="str">
        <f>IFERROR(MID(VLOOKUP($B125,Seqs!$A:$B,2,0),E125,1),"")</f>
        <v/>
      </c>
      <c r="E125" s="3">
        <v>1029</v>
      </c>
      <c r="F125" s="3" t="str">
        <f>IFERROR(MID(VLOOKUP($B125,Seqs!$A:$B,2,0),G125,1),"")</f>
        <v/>
      </c>
      <c r="G125" s="3">
        <v>1061</v>
      </c>
      <c r="H125" s="3" t="str">
        <f>IFERROR(MID(VLOOKUP($B125,Seqs!$A:$B,2,0),I125,1),"")</f>
        <v/>
      </c>
      <c r="I125" s="23">
        <v>1062</v>
      </c>
      <c r="J125" s="3" t="str">
        <f>IFERROR(MID(VLOOKUP($B125,Seqs!$A:$B,2,0),K125,1),"")</f>
        <v/>
      </c>
      <c r="K125" s="23">
        <v>1065</v>
      </c>
      <c r="L125" s="3" t="str">
        <f>IFERROR(MID(VLOOKUP($B125,Seqs!$A:$B,2,0),M125,1),"")</f>
        <v/>
      </c>
      <c r="M125" s="3">
        <v>1066</v>
      </c>
      <c r="N125" s="3" t="str">
        <f>IFERROR(MID(VLOOKUP($B125,Seqs!$A:$B,2,0),O125,1),"")</f>
        <v/>
      </c>
      <c r="O125" s="3">
        <v>1096</v>
      </c>
      <c r="P125" s="3" t="str">
        <f>IFERROR(MID(VLOOKUP($B125,Seqs!$A:$B,2,0),Q125,1),"")</f>
        <v/>
      </c>
      <c r="Q125" s="3">
        <v>1098</v>
      </c>
      <c r="R125" s="3" t="str">
        <f>IFERROR(MID(VLOOKUP($B125,Seqs!$A:$B,2,0),S125,1),"")</f>
        <v/>
      </c>
      <c r="S125" s="3">
        <v>1101</v>
      </c>
      <c r="T125" s="3" t="str">
        <f>IFERROR(MID(VLOOKUP($B125,Seqs!$A:$B,2,0),U125,1),"")</f>
        <v/>
      </c>
      <c r="U125" s="3">
        <v>1102</v>
      </c>
      <c r="V125" s="3" t="str">
        <f>IFERROR(MID(VLOOKUP($B125,Seqs!$A:$B,2,0),W125,1),"")</f>
        <v/>
      </c>
      <c r="W125" s="3">
        <v>1137</v>
      </c>
      <c r="X125" s="3" t="str">
        <f>IFERROR(MID(VLOOKUP($B125,Seqs!$A:$B,2,0),Y125,1),"")</f>
        <v/>
      </c>
      <c r="Y125" s="3">
        <v>1138</v>
      </c>
      <c r="Z125" s="3" t="str">
        <f>IFERROR(MID(VLOOKUP($B125,Seqs!$A:$B,2,0),AA125,1),"")</f>
        <v/>
      </c>
      <c r="AA125" s="3">
        <v>1145</v>
      </c>
      <c r="AB125" s="3" t="str">
        <f>IFERROR(MID(VLOOKUP($B125,Seqs!$A:$B,2,0),AC125,1),"")</f>
        <v/>
      </c>
      <c r="AC125" s="9">
        <v>1146</v>
      </c>
      <c r="AD125" s="3" t="str">
        <f>IFERROR(MID(VLOOKUP($B125,Seqs!$A:$B,2,0),AE125,1),"")</f>
        <v/>
      </c>
      <c r="AE125" s="3">
        <v>1172</v>
      </c>
      <c r="AF125" s="3" t="str">
        <f>IFERROR(MID(VLOOKUP($B125,Seqs!$A:$B,2,0),AG125,1),"")</f>
        <v/>
      </c>
      <c r="AG125" s="3">
        <v>1191</v>
      </c>
      <c r="AH125" s="3" t="str">
        <f>IFERROR(MID(VLOOKUP($B125,Seqs!$A:$B,2,0),AI125,1),"")</f>
        <v/>
      </c>
      <c r="AI125" s="3">
        <v>1193</v>
      </c>
      <c r="AJ125" s="3" t="str">
        <f>IFERROR(MID(VLOOKUP($B125,Seqs!$A:$B,2,0),AK125,1),"")</f>
        <v/>
      </c>
      <c r="AK125" s="3">
        <v>1196</v>
      </c>
      <c r="AL125" s="3" t="str">
        <f>IFERROR(MID(VLOOKUP($B125,Seqs!$A:$B,2,0),AM125,1),"")</f>
        <v/>
      </c>
      <c r="AM125" s="3">
        <v>1225</v>
      </c>
      <c r="AN125" s="3" t="str">
        <f>IFERROR(MID(VLOOKUP($B125,Seqs!$A:$B,2,0),AO125,1),"")</f>
        <v/>
      </c>
      <c r="AO125" s="3">
        <v>1266</v>
      </c>
      <c r="AP125" s="3" t="str">
        <f>IFERROR(MID(VLOOKUP($B125,Seqs!$A:$B,2,0),AQ125,1),"")</f>
        <v/>
      </c>
      <c r="AQ125" s="3">
        <v>1299</v>
      </c>
      <c r="AR125" s="3" t="str">
        <f>IFERROR(MID(VLOOKUP($B125,Seqs!$A:$B,2,0),AS125,1),"")</f>
        <v/>
      </c>
      <c r="AS125" s="3">
        <v>1304</v>
      </c>
      <c r="AT125" s="3" t="str">
        <f>IFERROR(MID(VLOOKUP($B125,Seqs!$A:$B,2,0),AU125,1),"")</f>
        <v/>
      </c>
      <c r="AU125" s="3">
        <v>1328</v>
      </c>
      <c r="AV125" s="3" t="str">
        <f>IFERROR(MID(VLOOKUP($B125,Seqs!$A:$B,2,0),AW125,1),"")</f>
        <v/>
      </c>
      <c r="AW125" s="3">
        <v>1329</v>
      </c>
      <c r="AX125" s="3" t="str">
        <f>IFERROR(MID(VLOOKUP($B125,Seqs!$A:$B,2,0),AY125,1),"")</f>
        <v/>
      </c>
      <c r="AY125" s="3">
        <v>1341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68"/>
        <v>1</v>
      </c>
      <c r="BC125" s="23">
        <f t="shared" si="645"/>
        <v>248</v>
      </c>
      <c r="BD125" s="4" t="s">
        <v>23</v>
      </c>
      <c r="BE125" s="3" t="s">
        <v>1291</v>
      </c>
      <c r="BF125" s="119">
        <v>3.3</v>
      </c>
      <c r="BG125" s="49" t="s">
        <v>1377</v>
      </c>
      <c r="BH125" s="49" t="s">
        <v>1377</v>
      </c>
      <c r="BI125" s="1"/>
      <c r="BJ125" s="70" t="s">
        <v>1287</v>
      </c>
      <c r="BK125" s="57" t="s">
        <v>1287</v>
      </c>
      <c r="BL125" s="57" t="s">
        <v>1287</v>
      </c>
      <c r="BM125" s="57" t="s">
        <v>1287</v>
      </c>
      <c r="BN125" s="57" t="s">
        <v>1287</v>
      </c>
      <c r="BO125" s="57" t="s">
        <v>1287</v>
      </c>
      <c r="BP125" s="57" t="s">
        <v>1287</v>
      </c>
      <c r="BQ125" s="57" t="s">
        <v>1287</v>
      </c>
      <c r="BR125" s="57" t="s">
        <v>1287</v>
      </c>
      <c r="BS125" s="57" t="s">
        <v>1287</v>
      </c>
      <c r="BT125" s="57" t="s">
        <v>1287</v>
      </c>
      <c r="BU125" s="57" t="s">
        <v>1287</v>
      </c>
      <c r="BV125" s="70">
        <f t="shared" si="646"/>
        <v>1029</v>
      </c>
      <c r="BW125" s="71">
        <f t="shared" si="647"/>
        <v>1062</v>
      </c>
      <c r="BX125" s="72">
        <f t="shared" si="648"/>
        <v>1066</v>
      </c>
      <c r="BY125" s="71">
        <f t="shared" si="649"/>
        <v>1098</v>
      </c>
      <c r="BZ125" s="72">
        <f t="shared" si="650"/>
        <v>1102</v>
      </c>
      <c r="CA125" s="71">
        <f t="shared" si="651"/>
        <v>1138</v>
      </c>
      <c r="CB125" s="72">
        <f t="shared" si="652"/>
        <v>1146</v>
      </c>
      <c r="CC125" s="71">
        <f t="shared" si="653"/>
        <v>1191</v>
      </c>
      <c r="CD125" s="72">
        <f t="shared" si="654"/>
        <v>1196</v>
      </c>
      <c r="CE125" s="71">
        <f t="shared" si="655"/>
        <v>1266</v>
      </c>
      <c r="CF125" s="72">
        <f t="shared" si="656"/>
        <v>1304</v>
      </c>
      <c r="CG125" s="71">
        <f t="shared" si="657"/>
        <v>1329</v>
      </c>
      <c r="CH125" s="70">
        <f t="shared" si="658"/>
        <v>1061</v>
      </c>
      <c r="CI125" s="71">
        <f t="shared" si="659"/>
        <v>1065</v>
      </c>
      <c r="CJ125" s="72">
        <f t="shared" si="660"/>
        <v>1096</v>
      </c>
      <c r="CK125" s="72">
        <f t="shared" si="661"/>
        <v>1101</v>
      </c>
      <c r="CL125" s="72">
        <f t="shared" si="662"/>
        <v>1137</v>
      </c>
      <c r="CM125" s="72">
        <f t="shared" si="663"/>
        <v>1145</v>
      </c>
      <c r="CN125" s="72">
        <f t="shared" si="664"/>
        <v>1172</v>
      </c>
      <c r="CO125" s="72">
        <f t="shared" si="665"/>
        <v>1193</v>
      </c>
      <c r="CP125" s="72">
        <f t="shared" si="666"/>
        <v>1225</v>
      </c>
      <c r="CQ125" s="72">
        <f t="shared" si="667"/>
        <v>1299</v>
      </c>
      <c r="CR125" s="72">
        <f t="shared" si="668"/>
        <v>1328</v>
      </c>
      <c r="CS125" s="72">
        <f t="shared" si="669"/>
        <v>1341</v>
      </c>
      <c r="CT125" s="23">
        <f t="shared" si="67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67"/>
        <v>adrb2_human_5D6L</v>
      </c>
      <c r="B126" s="3" t="s">
        <v>126</v>
      </c>
      <c r="C126" s="3" t="s">
        <v>1343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Q</v>
      </c>
      <c r="AM126" s="3">
        <v>229</v>
      </c>
      <c r="AN126" s="3" t="str">
        <f>IFERROR(MID(VLOOKUP($B126,Seqs!$A:$B,2,0),AO126,1),"")</f>
        <v>K</v>
      </c>
      <c r="AO126" s="3">
        <v>267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68"/>
        <v>1</v>
      </c>
      <c r="BC126" s="23">
        <f t="shared" si="645"/>
        <v>244</v>
      </c>
      <c r="BD126" s="4" t="s">
        <v>23</v>
      </c>
      <c r="BE126" s="3" t="s">
        <v>1374</v>
      </c>
      <c r="BF126" s="119">
        <v>3.2</v>
      </c>
      <c r="BG126" s="49" t="s">
        <v>1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646"/>
        <v>29</v>
      </c>
      <c r="BW126" s="71">
        <f t="shared" si="647"/>
        <v>62</v>
      </c>
      <c r="BX126" s="72">
        <f t="shared" si="648"/>
        <v>66</v>
      </c>
      <c r="BY126" s="71">
        <f t="shared" si="649"/>
        <v>98</v>
      </c>
      <c r="BZ126" s="72">
        <f t="shared" si="650"/>
        <v>102</v>
      </c>
      <c r="CA126" s="71" t="str">
        <f t="shared" si="651"/>
        <v>-</v>
      </c>
      <c r="CB126" s="72">
        <f t="shared" si="652"/>
        <v>146</v>
      </c>
      <c r="CC126" s="71">
        <f t="shared" si="653"/>
        <v>191</v>
      </c>
      <c r="CD126" s="72">
        <f t="shared" si="654"/>
        <v>196</v>
      </c>
      <c r="CE126" s="71">
        <f t="shared" si="655"/>
        <v>267</v>
      </c>
      <c r="CF126" s="72">
        <f t="shared" si="656"/>
        <v>304</v>
      </c>
      <c r="CG126" s="71">
        <f t="shared" si="657"/>
        <v>329</v>
      </c>
      <c r="CH126" s="70">
        <f t="shared" si="658"/>
        <v>61</v>
      </c>
      <c r="CI126" s="71">
        <f t="shared" si="659"/>
        <v>65</v>
      </c>
      <c r="CJ126" s="72">
        <f t="shared" si="660"/>
        <v>96</v>
      </c>
      <c r="CK126" s="72">
        <f t="shared" si="661"/>
        <v>101</v>
      </c>
      <c r="CL126" s="72">
        <f t="shared" si="662"/>
        <v>137</v>
      </c>
      <c r="CM126" s="72" t="str">
        <f t="shared" si="663"/>
        <v>-</v>
      </c>
      <c r="CN126" s="72">
        <f t="shared" si="664"/>
        <v>172</v>
      </c>
      <c r="CO126" s="72">
        <f t="shared" si="665"/>
        <v>193</v>
      </c>
      <c r="CP126" s="72">
        <f t="shared" si="666"/>
        <v>229</v>
      </c>
      <c r="CQ126" s="72">
        <f t="shared" si="667"/>
        <v>299</v>
      </c>
      <c r="CR126" s="72">
        <f t="shared" si="668"/>
        <v>328</v>
      </c>
      <c r="CS126" s="72">
        <f t="shared" si="669"/>
        <v>341</v>
      </c>
      <c r="CT126" s="23">
        <f t="shared" si="67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867"/>
        <v>adrb2_human_5JQH</v>
      </c>
      <c r="B127" s="3" t="s">
        <v>126</v>
      </c>
      <c r="C127" s="3" t="s">
        <v>1344</v>
      </c>
      <c r="D127" s="3" t="str">
        <f>IFERROR(MID(VLOOKUP($B127,Seqs!$A:$B,2,0),E127,1),"")</f>
        <v/>
      </c>
      <c r="E127" s="3">
        <v>1023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1230</v>
      </c>
      <c r="AN127" s="3" t="str">
        <f>IFERROR(MID(VLOOKUP($B127,Seqs!$A:$B,2,0),AO127,1),"")</f>
        <v/>
      </c>
      <c r="AO127" s="3">
        <v>1271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868"/>
        <v>1</v>
      </c>
      <c r="BC127" s="23">
        <f t="shared" si="645"/>
        <v>247</v>
      </c>
      <c r="BD127" s="74" t="s">
        <v>1376</v>
      </c>
      <c r="BE127" s="3" t="s">
        <v>1374</v>
      </c>
      <c r="BF127" s="119">
        <v>3.2</v>
      </c>
      <c r="BG127" s="49" t="s">
        <v>1281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646"/>
        <v>1023</v>
      </c>
      <c r="BW127" s="71">
        <f t="shared" si="647"/>
        <v>1062</v>
      </c>
      <c r="BX127" s="72">
        <f t="shared" si="648"/>
        <v>1066</v>
      </c>
      <c r="BY127" s="71">
        <f t="shared" si="649"/>
        <v>1098</v>
      </c>
      <c r="BZ127" s="72">
        <f t="shared" si="650"/>
        <v>1102</v>
      </c>
      <c r="CA127" s="71" t="str">
        <f t="shared" si="651"/>
        <v>-</v>
      </c>
      <c r="CB127" s="72">
        <f t="shared" si="652"/>
        <v>1146</v>
      </c>
      <c r="CC127" s="71">
        <f t="shared" si="653"/>
        <v>1191</v>
      </c>
      <c r="CD127" s="72">
        <f t="shared" si="654"/>
        <v>1196</v>
      </c>
      <c r="CE127" s="71">
        <f t="shared" si="655"/>
        <v>1271</v>
      </c>
      <c r="CF127" s="72">
        <f t="shared" si="656"/>
        <v>1304</v>
      </c>
      <c r="CG127" s="71">
        <f t="shared" si="657"/>
        <v>1329</v>
      </c>
      <c r="CH127" s="70">
        <f t="shared" si="658"/>
        <v>1061</v>
      </c>
      <c r="CI127" s="71">
        <f t="shared" si="659"/>
        <v>1065</v>
      </c>
      <c r="CJ127" s="72">
        <f t="shared" si="660"/>
        <v>1096</v>
      </c>
      <c r="CK127" s="72">
        <f t="shared" si="661"/>
        <v>1101</v>
      </c>
      <c r="CL127" s="72">
        <f t="shared" si="662"/>
        <v>1137</v>
      </c>
      <c r="CM127" s="72" t="str">
        <f t="shared" si="663"/>
        <v>-</v>
      </c>
      <c r="CN127" s="72">
        <f t="shared" si="664"/>
        <v>1172</v>
      </c>
      <c r="CO127" s="72">
        <f t="shared" si="665"/>
        <v>1193</v>
      </c>
      <c r="CP127" s="72">
        <f t="shared" si="666"/>
        <v>1230</v>
      </c>
      <c r="CQ127" s="72">
        <f t="shared" si="667"/>
        <v>1299</v>
      </c>
      <c r="CR127" s="72">
        <f t="shared" si="668"/>
        <v>1328</v>
      </c>
      <c r="CS127" s="72">
        <f t="shared" si="669"/>
        <v>1341</v>
      </c>
      <c r="CT127" s="23">
        <f t="shared" si="670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>CONCATENATE(B128,"_",C128)</f>
        <v>adrb2_human_5X7D</v>
      </c>
      <c r="B128" s="3" t="s">
        <v>126</v>
      </c>
      <c r="C128" s="3" t="s">
        <v>1437</v>
      </c>
      <c r="D128" s="3" t="str">
        <f>IFERROR(MID(VLOOKUP($B128,Seqs!$A:$B,2,0),E128,1),"")</f>
        <v>V</v>
      </c>
      <c r="E128" s="3">
        <v>33</v>
      </c>
      <c r="F128" s="3" t="str">
        <f>IFERROR(MID(VLOOKUP($B128,Seqs!$A:$B,2,0),G128,1),"")</f>
        <v>F</v>
      </c>
      <c r="G128" s="3">
        <v>61</v>
      </c>
      <c r="H128" s="3" t="str">
        <f>IFERROR(MID(VLOOKUP($B128,Seqs!$A:$B,2,0),I128,1),"")</f>
        <v>E</v>
      </c>
      <c r="I128" s="23">
        <v>62</v>
      </c>
      <c r="J128" s="3" t="str">
        <f>IFERROR(MID(VLOOKUP($B128,Seqs!$A:$B,2,0),K128,1),"")</f>
        <v>Q</v>
      </c>
      <c r="K128" s="23">
        <v>65</v>
      </c>
      <c r="L128" s="3" t="str">
        <f>IFERROR(MID(VLOOKUP($B128,Seqs!$A:$B,2,0),M128,1),"")</f>
        <v>T</v>
      </c>
      <c r="M128" s="3">
        <v>66</v>
      </c>
      <c r="N128" s="3" t="str">
        <f>IFERROR(MID(VLOOKUP($B128,Seqs!$A:$B,2,0),O128,1),"")</f>
        <v>M</v>
      </c>
      <c r="O128" s="3">
        <v>96</v>
      </c>
      <c r="P128" s="3" t="str">
        <f>IFERROR(MID(VLOOKUP($B128,Seqs!$A:$B,2,0),Q128,1),"")</f>
        <v>M</v>
      </c>
      <c r="Q128" s="3">
        <v>98</v>
      </c>
      <c r="R128" s="3" t="str">
        <f>IFERROR(MID(VLOOKUP($B128,Seqs!$A:$B,2,0),S128,1),"")</f>
        <v>F</v>
      </c>
      <c r="S128" s="3">
        <v>101</v>
      </c>
      <c r="T128" s="3" t="str">
        <f>IFERROR(MID(VLOOKUP($B128,Seqs!$A:$B,2,0),U128,1),"")</f>
        <v>G</v>
      </c>
      <c r="U128" s="3">
        <v>102</v>
      </c>
      <c r="V128" s="3" t="str">
        <f>IFERROR(MID(VLOOKUP($B128,Seqs!$A:$B,2,0),W128,1),"")</f>
        <v>T</v>
      </c>
      <c r="W128" s="3">
        <v>136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3">
        <v>146</v>
      </c>
      <c r="AD128" s="3" t="str">
        <f>IFERROR(MID(VLOOKUP($B128,Seqs!$A:$B,2,0),AE128,1),"")</f>
        <v>H</v>
      </c>
      <c r="AE128" s="3">
        <v>172</v>
      </c>
      <c r="AF128" s="3" t="str">
        <f>IFERROR(MID(VLOOKUP($B128,Seqs!$A:$B,2,0),AG128,1),"")</f>
        <v>C</v>
      </c>
      <c r="AG128" s="3">
        <v>191</v>
      </c>
      <c r="AH128" s="3" t="str">
        <f>IFERROR(MID(VLOOKUP($B128,Seqs!$A:$B,2,0),AI128,1),"")</f>
        <v>F</v>
      </c>
      <c r="AI128" s="3">
        <v>193</v>
      </c>
      <c r="AJ128" s="3" t="str">
        <f>IFERROR(MID(VLOOKUP($B128,Seqs!$A:$B,2,0),AK128,1),"")</f>
        <v>N</v>
      </c>
      <c r="AK128" s="3">
        <v>196</v>
      </c>
      <c r="AL128" s="3" t="str">
        <f>IFERROR(MID(VLOOKUP($B128,Seqs!$A:$B,2,0),AM128,1),"")</f>
        <v>L</v>
      </c>
      <c r="AM128" s="3">
        <v>230</v>
      </c>
      <c r="AN128" s="3" t="str">
        <f>IFERROR(MID(VLOOKUP($B128,Seqs!$A:$B,2,0),AO128,1),"")</f>
        <v>A</v>
      </c>
      <c r="AO128" s="3">
        <v>271</v>
      </c>
      <c r="AP128" s="3" t="str">
        <f>IFERROR(MID(VLOOKUP($B128,Seqs!$A:$B,2,0),AQ128,1),"")</f>
        <v>Q</v>
      </c>
      <c r="AQ128" s="3">
        <v>299</v>
      </c>
      <c r="AR128" s="3" t="str">
        <f>IFERROR(MID(VLOOKUP($B128,Seqs!$A:$B,2,0),AS128,1),"")</f>
        <v>R</v>
      </c>
      <c r="AS128" s="3">
        <v>304</v>
      </c>
      <c r="AT128" s="3" t="str">
        <f>IFERROR(MID(VLOOKUP($B128,Seqs!$A:$B,2,0),AU128,1),"")</f>
        <v>R</v>
      </c>
      <c r="AU128" s="3">
        <v>328</v>
      </c>
      <c r="AV128" s="3" t="str">
        <f>IFERROR(MID(VLOOKUP($B128,Seqs!$A:$B,2,0),AW128,1),"")</f>
        <v>S</v>
      </c>
      <c r="AW128" s="3">
        <v>329</v>
      </c>
      <c r="AX128" s="3" t="str">
        <f>IFERROR(MID(VLOOKUP($B128,Seqs!$A:$B,2,0),AY128,1),"")</f>
        <v>C</v>
      </c>
      <c r="AY128" s="3">
        <v>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236</v>
      </c>
      <c r="BD128" s="74" t="s">
        <v>23</v>
      </c>
      <c r="BE128" s="3" t="s">
        <v>1374</v>
      </c>
      <c r="BF128" s="119">
        <v>4.2</v>
      </c>
      <c r="BG128" s="49" t="s">
        <v>1281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>E128</f>
        <v>33</v>
      </c>
      <c r="BW128" s="71">
        <f>I128</f>
        <v>62</v>
      </c>
      <c r="BX128" s="72">
        <f>M128</f>
        <v>66</v>
      </c>
      <c r="BY128" s="71">
        <f>Q128</f>
        <v>98</v>
      </c>
      <c r="BZ128" s="72">
        <f>U128</f>
        <v>102</v>
      </c>
      <c r="CA128" s="71" t="str">
        <f>Y128</f>
        <v>-</v>
      </c>
      <c r="CB128" s="72">
        <f>AC128</f>
        <v>146</v>
      </c>
      <c r="CC128" s="71">
        <f>AG128</f>
        <v>191</v>
      </c>
      <c r="CD128" s="72">
        <f>AK128</f>
        <v>196</v>
      </c>
      <c r="CE128" s="71">
        <f>AO128</f>
        <v>271</v>
      </c>
      <c r="CF128" s="72">
        <f>AS128</f>
        <v>304</v>
      </c>
      <c r="CG128" s="71">
        <f>AW128</f>
        <v>329</v>
      </c>
      <c r="CH128" s="70">
        <f>G128</f>
        <v>61</v>
      </c>
      <c r="CI128" s="71">
        <f>K128</f>
        <v>65</v>
      </c>
      <c r="CJ128" s="72">
        <f>O128</f>
        <v>96</v>
      </c>
      <c r="CK128" s="72">
        <f>S128</f>
        <v>101</v>
      </c>
      <c r="CL128" s="72">
        <f>W128</f>
        <v>136</v>
      </c>
      <c r="CM128" s="72" t="str">
        <f>AA128</f>
        <v>-</v>
      </c>
      <c r="CN128" s="72">
        <f>AE128</f>
        <v>172</v>
      </c>
      <c r="CO128" s="72">
        <f>AI128</f>
        <v>193</v>
      </c>
      <c r="CP128" s="72">
        <f>AM128</f>
        <v>230</v>
      </c>
      <c r="CQ128" s="72">
        <f>AQ128</f>
        <v>299</v>
      </c>
      <c r="CR128" s="72">
        <f>AU128</f>
        <v>328</v>
      </c>
      <c r="CS128" s="72">
        <f>AY128</f>
        <v>341</v>
      </c>
      <c r="CT128" s="23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9" t="str">
        <f>CONCATENATE(B129,"_",C129)</f>
        <v>adrb2_human_6E67</v>
      </c>
      <c r="B129" s="9" t="s">
        <v>126</v>
      </c>
      <c r="C129" s="131" t="s">
        <v>1579</v>
      </c>
      <c r="D129" s="9" t="str">
        <f>IFERROR(MID(VLOOKUP($B129,Seqs!$A:$B,2,0),E129,1),"")</f>
        <v>D</v>
      </c>
      <c r="E129" s="9">
        <v>29</v>
      </c>
      <c r="F129" s="9" t="str">
        <f>IFERROR(MID(VLOOKUP($B129,Seqs!$A:$B,2,0),G129,1),"")</f>
        <v>K</v>
      </c>
      <c r="G129" s="9">
        <v>60</v>
      </c>
      <c r="H129" s="9" t="str">
        <f>IFERROR(MID(VLOOKUP($B129,Seqs!$A:$B,2,0),I129,1),"")</f>
        <v>E</v>
      </c>
      <c r="I129" s="109">
        <v>62</v>
      </c>
      <c r="J129" s="9" t="str">
        <f>IFERROR(MID(VLOOKUP($B129,Seqs!$A:$B,2,0),K129,1),"")</f>
        <v>Q</v>
      </c>
      <c r="K129" s="109">
        <v>65</v>
      </c>
      <c r="L129" s="9" t="str">
        <f>IFERROR(MID(VLOOKUP($B129,Seqs!$A:$B,2,0),M129,1),"")</f>
        <v>T</v>
      </c>
      <c r="M129" s="9">
        <v>66</v>
      </c>
      <c r="N129" s="9" t="str">
        <f>IFERROR(MID(VLOOKUP($B129,Seqs!$A:$B,2,0),O129,1),"")</f>
        <v>K</v>
      </c>
      <c r="O129" s="9">
        <v>97</v>
      </c>
      <c r="P129" s="9" t="str">
        <f>IFERROR(MID(VLOOKUP($B129,Seqs!$A:$B,2,0),Q129,1),"")</f>
        <v>M</v>
      </c>
      <c r="Q129" s="9">
        <v>98</v>
      </c>
      <c r="R129" s="9" t="str">
        <f>IFERROR(MID(VLOOKUP($B129,Seqs!$A:$B,2,0),S129,1),"")</f>
        <v>F</v>
      </c>
      <c r="S129" s="9">
        <v>101</v>
      </c>
      <c r="T129" s="9" t="str">
        <f>IFERROR(MID(VLOOKUP($B129,Seqs!$A:$B,2,0),U129,1),"")</f>
        <v>G</v>
      </c>
      <c r="U129" s="9">
        <v>102</v>
      </c>
      <c r="V129" s="9" t="str">
        <f>IFERROR(MID(VLOOKUP($B129,Seqs!$A:$B,2,0),W129,1),"")</f>
        <v>S</v>
      </c>
      <c r="W129" s="9">
        <v>137</v>
      </c>
      <c r="X129" s="9" t="str">
        <f>IFERROR(MID(VLOOKUP($B129,Seqs!$A:$B,2,0),Y129,1),"")</f>
        <v>P</v>
      </c>
      <c r="Y129" s="9">
        <v>138</v>
      </c>
      <c r="Z129" s="9" t="str">
        <f>IFERROR(MID(VLOOKUP($B129,Seqs!$A:$B,2,0),AA129,1),"")</f>
        <v>L</v>
      </c>
      <c r="AA129" s="9">
        <v>145</v>
      </c>
      <c r="AB129" s="9" t="str">
        <f>IFERROR(MID(VLOOKUP($B129,Seqs!$A:$B,2,0),AC129,1),"")</f>
        <v>T</v>
      </c>
      <c r="AC129" s="9">
        <v>146</v>
      </c>
      <c r="AD129" s="9" t="str">
        <f>IFERROR(MID(VLOOKUP($B129,Seqs!$A:$B,2,0),AE129,1),"")</f>
        <v>H</v>
      </c>
      <c r="AE129" s="9">
        <v>172</v>
      </c>
      <c r="AF129" s="9" t="str">
        <f>IFERROR(MID(VLOOKUP($B129,Seqs!$A:$B,2,0),AG129,1),"")</f>
        <v>C</v>
      </c>
      <c r="AG129" s="9">
        <v>191</v>
      </c>
      <c r="AH129" s="9" t="str">
        <f>IFERROR(MID(VLOOKUP($B129,Seqs!$A:$B,2,0),AI129,1),"")</f>
        <v>F</v>
      </c>
      <c r="AI129" s="9">
        <v>193</v>
      </c>
      <c r="AJ129" s="9" t="str">
        <f>IFERROR(MID(VLOOKUP($B129,Seqs!$A:$B,2,0),AK129,1),"")</f>
        <v>N</v>
      </c>
      <c r="AK129" s="9">
        <v>196</v>
      </c>
      <c r="AL129" s="9" t="str">
        <f>IFERROR(MID(VLOOKUP($B129,Seqs!$A:$B,2,0),AM129,1),"")</f>
        <v>A</v>
      </c>
      <c r="AM129" s="9">
        <v>226</v>
      </c>
      <c r="AN129" s="9" t="str">
        <f>IFERROR(MID(VLOOKUP($B129,Seqs!$A:$B,2,0),AO129,1),"")</f>
        <v>E</v>
      </c>
      <c r="AO129" s="9">
        <v>268</v>
      </c>
      <c r="AP129" s="9" t="str">
        <f>IFERROR(MID(VLOOKUP($B129,Seqs!$A:$B,2,0),AQ129,1),"")</f>
        <v>Q</v>
      </c>
      <c r="AQ129" s="9">
        <v>299</v>
      </c>
      <c r="AR129" s="9" t="str">
        <f>IFERROR(MID(VLOOKUP($B129,Seqs!$A:$B,2,0),AS129,1),"")</f>
        <v>R</v>
      </c>
      <c r="AS129" s="9">
        <v>304</v>
      </c>
      <c r="AT129" s="9" t="str">
        <f>IFERROR(MID(VLOOKUP($B129,Seqs!$A:$B,2,0),AU129,1),"")</f>
        <v>P</v>
      </c>
      <c r="AU129" s="9">
        <v>323</v>
      </c>
      <c r="AV129" s="9" t="str">
        <f>IFERROR(MID(VLOOKUP($B129,Seqs!$A:$B,2,0),AW129,1),"")</f>
        <v>S</v>
      </c>
      <c r="AW129" s="9">
        <v>329</v>
      </c>
      <c r="AX129" s="9" t="str">
        <f>IFERROR(MID(VLOOKUP($B129,Seqs!$A:$B,2,0),AY129,1),"")</f>
        <v>L</v>
      </c>
      <c r="AY129" s="9">
        <v>340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>_xlfn.AGGREGATE(9,6,CH129:CS129)-_xlfn.AGGREGATE(9,6,BV129:CG129)+12</f>
        <v>241</v>
      </c>
      <c r="BD129" s="124" t="s">
        <v>23</v>
      </c>
      <c r="BE129" s="9" t="s">
        <v>1291</v>
      </c>
      <c r="BF129" s="120">
        <v>3.7</v>
      </c>
      <c r="BG129" s="51" t="s">
        <v>1281</v>
      </c>
      <c r="BH129" s="51" t="s">
        <v>1281</v>
      </c>
      <c r="BI129" s="12"/>
      <c r="BJ129" s="111" t="s">
        <v>1287</v>
      </c>
      <c r="BK129" s="112" t="s">
        <v>1287</v>
      </c>
      <c r="BL129" s="112" t="s">
        <v>1287</v>
      </c>
      <c r="BM129" s="112" t="s">
        <v>1287</v>
      </c>
      <c r="BN129" s="112" t="s">
        <v>1287</v>
      </c>
      <c r="BO129" s="112" t="s">
        <v>1287</v>
      </c>
      <c r="BP129" s="112" t="s">
        <v>1287</v>
      </c>
      <c r="BQ129" s="112" t="s">
        <v>1287</v>
      </c>
      <c r="BR129" s="112" t="s">
        <v>1287</v>
      </c>
      <c r="BS129" s="112" t="s">
        <v>1287</v>
      </c>
      <c r="BT129" s="112" t="s">
        <v>1287</v>
      </c>
      <c r="BU129" s="112" t="s">
        <v>1287</v>
      </c>
      <c r="BV129" s="111">
        <f>E129</f>
        <v>29</v>
      </c>
      <c r="BW129" s="113">
        <f>I129</f>
        <v>62</v>
      </c>
      <c r="BX129" s="114">
        <f>M129</f>
        <v>66</v>
      </c>
      <c r="BY129" s="113">
        <f>Q129</f>
        <v>98</v>
      </c>
      <c r="BZ129" s="114">
        <f>U129</f>
        <v>102</v>
      </c>
      <c r="CA129" s="113">
        <f>Y129</f>
        <v>138</v>
      </c>
      <c r="CB129" s="114">
        <f>AC129</f>
        <v>146</v>
      </c>
      <c r="CC129" s="113">
        <f>AG129</f>
        <v>191</v>
      </c>
      <c r="CD129" s="114">
        <f>AK129</f>
        <v>196</v>
      </c>
      <c r="CE129" s="113">
        <f>AO129</f>
        <v>268</v>
      </c>
      <c r="CF129" s="114">
        <f>AS129</f>
        <v>304</v>
      </c>
      <c r="CG129" s="113">
        <f>AW129</f>
        <v>329</v>
      </c>
      <c r="CH129" s="111">
        <f>G129</f>
        <v>60</v>
      </c>
      <c r="CI129" s="113">
        <f>K129</f>
        <v>65</v>
      </c>
      <c r="CJ129" s="114">
        <f>O129</f>
        <v>97</v>
      </c>
      <c r="CK129" s="114">
        <f>S129</f>
        <v>101</v>
      </c>
      <c r="CL129" s="114">
        <f>W129</f>
        <v>137</v>
      </c>
      <c r="CM129" s="114">
        <f>AA129</f>
        <v>145</v>
      </c>
      <c r="CN129" s="114">
        <f>AE129</f>
        <v>172</v>
      </c>
      <c r="CO129" s="114">
        <f>AI129</f>
        <v>193</v>
      </c>
      <c r="CP129" s="114">
        <f>AM129</f>
        <v>226</v>
      </c>
      <c r="CQ129" s="114">
        <f>AQ129</f>
        <v>299</v>
      </c>
      <c r="CR129" s="114">
        <f>AU129</f>
        <v>323</v>
      </c>
      <c r="CS129" s="114">
        <f>AY129</f>
        <v>340</v>
      </c>
      <c r="CT129" s="109">
        <f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s="12" customFormat="1" x14ac:dyDescent="0.2">
      <c r="A130" s="9" t="str">
        <f>CONCATENATE(B130,"_",C130)</f>
        <v>adrb2_human_6MXT</v>
      </c>
      <c r="B130" s="9" t="s">
        <v>126</v>
      </c>
      <c r="C130" s="9" t="s">
        <v>1526</v>
      </c>
      <c r="D130" s="9" t="str">
        <f>IFERROR(MID(VLOOKUP($B130,Seqs!$A:$B,2,0),E130,1),"")</f>
        <v/>
      </c>
      <c r="E130" s="9">
        <v>1029</v>
      </c>
      <c r="F130" s="9" t="str">
        <f>IFERROR(MID(VLOOKUP($B130,Seqs!$A:$B,2,0),G130,1),"")</f>
        <v/>
      </c>
      <c r="G130" s="9">
        <v>1061</v>
      </c>
      <c r="H130" s="9" t="str">
        <f>IFERROR(MID(VLOOKUP($B130,Seqs!$A:$B,2,0),I130,1),"")</f>
        <v/>
      </c>
      <c r="I130" s="109">
        <v>1062</v>
      </c>
      <c r="J130" s="9" t="str">
        <f>IFERROR(MID(VLOOKUP($B130,Seqs!$A:$B,2,0),K130,1),"")</f>
        <v/>
      </c>
      <c r="K130" s="109">
        <v>1065</v>
      </c>
      <c r="L130" s="9" t="str">
        <f>IFERROR(MID(VLOOKUP($B130,Seqs!$A:$B,2,0),M130,1),"")</f>
        <v/>
      </c>
      <c r="M130" s="9">
        <v>1066</v>
      </c>
      <c r="N130" s="9" t="str">
        <f>IFERROR(MID(VLOOKUP($B130,Seqs!$A:$B,2,0),O130,1),"")</f>
        <v/>
      </c>
      <c r="O130" s="9">
        <v>1096</v>
      </c>
      <c r="P130" s="9" t="str">
        <f>IFERROR(MID(VLOOKUP($B130,Seqs!$A:$B,2,0),Q130,1),"")</f>
        <v/>
      </c>
      <c r="Q130" s="9">
        <v>1098</v>
      </c>
      <c r="R130" s="9" t="str">
        <f>IFERROR(MID(VLOOKUP($B130,Seqs!$A:$B,2,0),S130,1),"")</f>
        <v/>
      </c>
      <c r="S130" s="9">
        <v>1101</v>
      </c>
      <c r="T130" s="9" t="str">
        <f>IFERROR(MID(VLOOKUP($B130,Seqs!$A:$B,2,0),U130,1),"")</f>
        <v/>
      </c>
      <c r="U130" s="9">
        <v>1102</v>
      </c>
      <c r="V130" s="9" t="str">
        <f>IFERROR(MID(VLOOKUP($B130,Seqs!$A:$B,2,0),W130,1),"")</f>
        <v/>
      </c>
      <c r="W130" s="9">
        <v>1137</v>
      </c>
      <c r="X130" s="9" t="str">
        <f>IFERROR(MID(VLOOKUP($B130,Seqs!$A:$B,2,0),Y130,1),"")</f>
        <v/>
      </c>
      <c r="Y130" s="9">
        <v>1138</v>
      </c>
      <c r="Z130" s="9" t="str">
        <f>IFERROR(MID(VLOOKUP($B130,Seqs!$A:$B,2,0),AA130,1),"")</f>
        <v/>
      </c>
      <c r="AA130" s="9">
        <v>1145</v>
      </c>
      <c r="AB130" s="9" t="str">
        <f>IFERROR(MID(VLOOKUP($B130,Seqs!$A:$B,2,0),AC130,1),"")</f>
        <v/>
      </c>
      <c r="AC130" s="9">
        <v>1146</v>
      </c>
      <c r="AD130" s="9" t="str">
        <f>IFERROR(MID(VLOOKUP($B130,Seqs!$A:$B,2,0),AE130,1),"")</f>
        <v/>
      </c>
      <c r="AE130" s="9">
        <v>1172</v>
      </c>
      <c r="AF130" s="9" t="str">
        <f>IFERROR(MID(VLOOKUP($B130,Seqs!$A:$B,2,0),AG130,1),"")</f>
        <v/>
      </c>
      <c r="AG130" s="9">
        <v>1191</v>
      </c>
      <c r="AH130" s="9" t="str">
        <f>IFERROR(MID(VLOOKUP($B130,Seqs!$A:$B,2,0),AI130,1),"")</f>
        <v/>
      </c>
      <c r="AI130" s="9">
        <v>1193</v>
      </c>
      <c r="AJ130" s="9" t="str">
        <f>IFERROR(MID(VLOOKUP($B130,Seqs!$A:$B,2,0),AK130,1),"")</f>
        <v/>
      </c>
      <c r="AK130" s="9">
        <v>1196</v>
      </c>
      <c r="AL130" s="9" t="str">
        <f>IFERROR(MID(VLOOKUP($B130,Seqs!$A:$B,2,0),AM130,1),"")</f>
        <v/>
      </c>
      <c r="AM130" s="9">
        <v>1232</v>
      </c>
      <c r="AN130" s="9" t="str">
        <f>IFERROR(MID(VLOOKUP($B130,Seqs!$A:$B,2,0),AO130,1),"")</f>
        <v/>
      </c>
      <c r="AO130" s="9">
        <v>1265</v>
      </c>
      <c r="AP130" s="9" t="str">
        <f>IFERROR(MID(VLOOKUP($B130,Seqs!$A:$B,2,0),AQ130,1),"")</f>
        <v/>
      </c>
      <c r="AQ130" s="9">
        <v>1299</v>
      </c>
      <c r="AR130" s="9" t="str">
        <f>IFERROR(MID(VLOOKUP($B130,Seqs!$A:$B,2,0),AS130,1),"")</f>
        <v/>
      </c>
      <c r="AS130" s="9">
        <v>1304</v>
      </c>
      <c r="AT130" s="9" t="str">
        <f>IFERROR(MID(VLOOKUP($B130,Seqs!$A:$B,2,0),AU130,1),"")</f>
        <v/>
      </c>
      <c r="AU130" s="9">
        <v>1323</v>
      </c>
      <c r="AV130" s="9" t="str">
        <f>IFERROR(MID(VLOOKUP($B130,Seqs!$A:$B,2,0),AW130,1),"")</f>
        <v/>
      </c>
      <c r="AW130" s="9">
        <v>1329</v>
      </c>
      <c r="AX130" s="9" t="str">
        <f>IFERROR(MID(VLOOKUP($B130,Seqs!$A:$B,2,0),AY130,1),"")</f>
        <v/>
      </c>
      <c r="AY130" s="9">
        <v>1342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252</v>
      </c>
      <c r="BD130" s="124" t="s">
        <v>23</v>
      </c>
      <c r="BE130" s="9" t="s">
        <v>1291</v>
      </c>
      <c r="BF130" s="120">
        <v>2.96</v>
      </c>
      <c r="BG130" s="51" t="s">
        <v>1</v>
      </c>
      <c r="BH130" s="51" t="s">
        <v>1</v>
      </c>
      <c r="BJ130" s="111" t="s">
        <v>1287</v>
      </c>
      <c r="BK130" s="112" t="s">
        <v>1287</v>
      </c>
      <c r="BL130" s="112" t="s">
        <v>1287</v>
      </c>
      <c r="BM130" s="112" t="s">
        <v>1287</v>
      </c>
      <c r="BN130" s="112" t="s">
        <v>1287</v>
      </c>
      <c r="BO130" s="112" t="s">
        <v>1287</v>
      </c>
      <c r="BP130" s="112" t="s">
        <v>1287</v>
      </c>
      <c r="BQ130" s="112" t="s">
        <v>1287</v>
      </c>
      <c r="BR130" s="112" t="s">
        <v>1287</v>
      </c>
      <c r="BS130" s="112" t="s">
        <v>1287</v>
      </c>
      <c r="BT130" s="112" t="s">
        <v>1287</v>
      </c>
      <c r="BU130" s="112" t="s">
        <v>1287</v>
      </c>
      <c r="BV130" s="111">
        <f>E130</f>
        <v>1029</v>
      </c>
      <c r="BW130" s="113">
        <f>I130</f>
        <v>1062</v>
      </c>
      <c r="BX130" s="114">
        <f>M130</f>
        <v>1066</v>
      </c>
      <c r="BY130" s="113">
        <f>Q130</f>
        <v>1098</v>
      </c>
      <c r="BZ130" s="114">
        <f>U130</f>
        <v>1102</v>
      </c>
      <c r="CA130" s="113">
        <f>Y130</f>
        <v>1138</v>
      </c>
      <c r="CB130" s="114">
        <f>AC130</f>
        <v>1146</v>
      </c>
      <c r="CC130" s="113">
        <f>AG130</f>
        <v>1191</v>
      </c>
      <c r="CD130" s="114">
        <f>AK130</f>
        <v>1196</v>
      </c>
      <c r="CE130" s="113">
        <f>AO130</f>
        <v>1265</v>
      </c>
      <c r="CF130" s="114">
        <f>AS130</f>
        <v>1304</v>
      </c>
      <c r="CG130" s="113">
        <f>AW130</f>
        <v>1329</v>
      </c>
      <c r="CH130" s="111">
        <f>G130</f>
        <v>1061</v>
      </c>
      <c r="CI130" s="113">
        <f>K130</f>
        <v>1065</v>
      </c>
      <c r="CJ130" s="114">
        <f>O130</f>
        <v>1096</v>
      </c>
      <c r="CK130" s="114">
        <f>S130</f>
        <v>1101</v>
      </c>
      <c r="CL130" s="114">
        <f>W130</f>
        <v>1137</v>
      </c>
      <c r="CM130" s="114">
        <f>AA130</f>
        <v>1145</v>
      </c>
      <c r="CN130" s="114">
        <f>AE130</f>
        <v>1172</v>
      </c>
      <c r="CO130" s="114">
        <f>AI130</f>
        <v>1193</v>
      </c>
      <c r="CP130" s="114">
        <f>AM130</f>
        <v>1232</v>
      </c>
      <c r="CQ130" s="114">
        <f>AQ130</f>
        <v>1299</v>
      </c>
      <c r="CR130" s="114">
        <f>AU130</f>
        <v>1323</v>
      </c>
      <c r="CS130" s="114">
        <f>AY130</f>
        <v>1342</v>
      </c>
      <c r="CT130" s="109">
        <f>M130-K130</f>
        <v>1</v>
      </c>
    </row>
    <row r="131" spans="1:1029" s="12" customFormat="1" x14ac:dyDescent="0.2">
      <c r="A131" s="9" t="str">
        <f>CONCATENATE(B131,"_",C131)</f>
        <v>adrb2_human_6N48</v>
      </c>
      <c r="B131" s="9" t="s">
        <v>126</v>
      </c>
      <c r="C131" s="9" t="s">
        <v>1581</v>
      </c>
      <c r="D131" s="9" t="str">
        <f>IFERROR(MID(VLOOKUP($B131,Seqs!$A:$B,2,0),E131,1),"")</f>
        <v/>
      </c>
      <c r="E131" s="9">
        <v>1026</v>
      </c>
      <c r="F131" s="9" t="str">
        <f>IFERROR(MID(VLOOKUP($B131,Seqs!$A:$B,2,0),G131,1),"")</f>
        <v/>
      </c>
      <c r="G131" s="9">
        <v>1061</v>
      </c>
      <c r="H131" s="9" t="str">
        <f>IFERROR(MID(VLOOKUP($B131,Seqs!$A:$B,2,0),I131,1),"")</f>
        <v/>
      </c>
      <c r="I131" s="109">
        <v>1062</v>
      </c>
      <c r="J131" s="9" t="str">
        <f>IFERROR(MID(VLOOKUP($B131,Seqs!$A:$B,2,0),K131,1),"")</f>
        <v/>
      </c>
      <c r="K131" s="109">
        <v>1065</v>
      </c>
      <c r="L131" s="9" t="str">
        <f>IFERROR(MID(VLOOKUP($B131,Seqs!$A:$B,2,0),M131,1),"")</f>
        <v/>
      </c>
      <c r="M131" s="9">
        <v>1066</v>
      </c>
      <c r="N131" s="9" t="str">
        <f>IFERROR(MID(VLOOKUP($B131,Seqs!$A:$B,2,0),O131,1),"")</f>
        <v/>
      </c>
      <c r="O131" s="9">
        <v>1097</v>
      </c>
      <c r="P131" s="9" t="str">
        <f>IFERROR(MID(VLOOKUP($B131,Seqs!$A:$B,2,0),Q131,1),"")</f>
        <v/>
      </c>
      <c r="Q131" s="9">
        <v>1098</v>
      </c>
      <c r="R131" s="9" t="str">
        <f>IFERROR(MID(VLOOKUP($B131,Seqs!$A:$B,2,0),S131,1),"")</f>
        <v/>
      </c>
      <c r="S131" s="9">
        <v>1101</v>
      </c>
      <c r="T131" s="9" t="str">
        <f>IFERROR(MID(VLOOKUP($B131,Seqs!$A:$B,2,0),U131,1),"")</f>
        <v/>
      </c>
      <c r="U131" s="9">
        <v>1102</v>
      </c>
      <c r="V131" s="9" t="str">
        <f>IFERROR(MID(VLOOKUP($B131,Seqs!$A:$B,2,0),W131,1),"")</f>
        <v/>
      </c>
      <c r="W131" s="9">
        <v>1137</v>
      </c>
      <c r="X131" s="9" t="str">
        <f>IFERROR(MID(VLOOKUP($B131,Seqs!$A:$B,2,0),Y131,1),"")</f>
        <v/>
      </c>
      <c r="Y131" s="9">
        <v>1138</v>
      </c>
      <c r="Z131" s="9" t="str">
        <f>IFERROR(MID(VLOOKUP($B131,Seqs!$A:$B,2,0),AA131,1),"")</f>
        <v/>
      </c>
      <c r="AA131" s="9">
        <v>1145</v>
      </c>
      <c r="AB131" s="9" t="str">
        <f>IFERROR(MID(VLOOKUP($B131,Seqs!$A:$B,2,0),AC131,1),"")</f>
        <v/>
      </c>
      <c r="AC131" s="9">
        <v>1146</v>
      </c>
      <c r="AD131" s="9" t="str">
        <f>IFERROR(MID(VLOOKUP($B131,Seqs!$A:$B,2,0),AE131,1),"")</f>
        <v/>
      </c>
      <c r="AE131" s="9">
        <v>1172</v>
      </c>
      <c r="AF131" s="9" t="str">
        <f>IFERROR(MID(VLOOKUP($B131,Seqs!$A:$B,2,0),AG131,1),"")</f>
        <v/>
      </c>
      <c r="AG131" s="9">
        <v>1191</v>
      </c>
      <c r="AH131" s="9" t="str">
        <f>IFERROR(MID(VLOOKUP($B131,Seqs!$A:$B,2,0),AI131,1),"")</f>
        <v/>
      </c>
      <c r="AI131" s="9">
        <v>1193</v>
      </c>
      <c r="AJ131" s="9" t="str">
        <f>IFERROR(MID(VLOOKUP($B131,Seqs!$A:$B,2,0),AK131,1),"")</f>
        <v/>
      </c>
      <c r="AK131" s="9">
        <v>1196</v>
      </c>
      <c r="AL131" s="9" t="str">
        <f>IFERROR(MID(VLOOKUP($B131,Seqs!$A:$B,2,0),AM131,1),"")</f>
        <v/>
      </c>
      <c r="AM131" s="9">
        <v>1226</v>
      </c>
      <c r="AN131" s="9" t="str">
        <f>IFERROR(MID(VLOOKUP($B131,Seqs!$A:$B,2,0),AO131,1),"")</f>
        <v/>
      </c>
      <c r="AO131" s="9">
        <v>1265</v>
      </c>
      <c r="AP131" s="9" t="str">
        <f>IFERROR(MID(VLOOKUP($B131,Seqs!$A:$B,2,0),AQ131,1),"")</f>
        <v/>
      </c>
      <c r="AQ131" s="9">
        <v>1299</v>
      </c>
      <c r="AR131" s="9" t="str">
        <f>IFERROR(MID(VLOOKUP($B131,Seqs!$A:$B,2,0),AS131,1),"")</f>
        <v/>
      </c>
      <c r="AS131" s="9">
        <v>1304</v>
      </c>
      <c r="AT131" s="9" t="str">
        <f>IFERROR(MID(VLOOKUP($B131,Seqs!$A:$B,2,0),AU131,1),"")</f>
        <v/>
      </c>
      <c r="AU131" s="9">
        <v>1322</v>
      </c>
      <c r="AV131" s="9" t="str">
        <f>IFERROR(MID(VLOOKUP($B131,Seqs!$A:$B,2,0),AW131,1),"")</f>
        <v/>
      </c>
      <c r="AW131" s="9">
        <v>1329</v>
      </c>
      <c r="AX131" s="9" t="str">
        <f>IFERROR(MID(VLOOKUP($B131,Seqs!$A:$B,2,0),AY131,1),"")</f>
        <v/>
      </c>
      <c r="AY131" s="9">
        <v>1340</v>
      </c>
      <c r="AZ131" s="110" t="str">
        <f>VLOOKUP(B131,Classification!A:D,2,0)</f>
        <v>A</v>
      </c>
      <c r="BA131" s="98" t="str">
        <f>VLOOKUP(B131,Classification!A:D,4,0)</f>
        <v>Adrenoceptors</v>
      </c>
      <c r="BB131" s="36" t="b">
        <f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109">
        <f>_xlfn.AGGREGATE(9,6,CH131:CS131)-_xlfn.AGGREGATE(9,6,BV131:CG131)+12</f>
        <v>247</v>
      </c>
      <c r="BD131" s="124" t="s">
        <v>23</v>
      </c>
      <c r="BE131" s="9" t="s">
        <v>1291</v>
      </c>
      <c r="BF131" s="120">
        <v>3.2</v>
      </c>
      <c r="BG131" s="51" t="s">
        <v>1</v>
      </c>
      <c r="BH131" s="51" t="s">
        <v>1</v>
      </c>
      <c r="BJ131" s="111" t="s">
        <v>1287</v>
      </c>
      <c r="BK131" s="112" t="s">
        <v>1287</v>
      </c>
      <c r="BL131" s="112" t="s">
        <v>1287</v>
      </c>
      <c r="BM131" s="112" t="s">
        <v>1287</v>
      </c>
      <c r="BN131" s="112" t="s">
        <v>1287</v>
      </c>
      <c r="BO131" s="112" t="s">
        <v>1287</v>
      </c>
      <c r="BP131" s="112" t="s">
        <v>1287</v>
      </c>
      <c r="BQ131" s="112" t="s">
        <v>1287</v>
      </c>
      <c r="BR131" s="112" t="s">
        <v>1287</v>
      </c>
      <c r="BS131" s="112" t="s">
        <v>1287</v>
      </c>
      <c r="BT131" s="112" t="s">
        <v>1287</v>
      </c>
      <c r="BU131" s="112" t="s">
        <v>1287</v>
      </c>
      <c r="BV131" s="111">
        <f>E131</f>
        <v>1026</v>
      </c>
      <c r="BW131" s="113">
        <f>I131</f>
        <v>1062</v>
      </c>
      <c r="BX131" s="114">
        <f>M131</f>
        <v>1066</v>
      </c>
      <c r="BY131" s="113">
        <f>Q131</f>
        <v>1098</v>
      </c>
      <c r="BZ131" s="114">
        <f>U131</f>
        <v>1102</v>
      </c>
      <c r="CA131" s="113">
        <f>Y131</f>
        <v>1138</v>
      </c>
      <c r="CB131" s="114">
        <f>AC131</f>
        <v>1146</v>
      </c>
      <c r="CC131" s="113">
        <f>AG131</f>
        <v>1191</v>
      </c>
      <c r="CD131" s="114">
        <f>AK131</f>
        <v>1196</v>
      </c>
      <c r="CE131" s="113">
        <f>AO131</f>
        <v>1265</v>
      </c>
      <c r="CF131" s="114">
        <f>AS131</f>
        <v>1304</v>
      </c>
      <c r="CG131" s="113">
        <f>AW131</f>
        <v>1329</v>
      </c>
      <c r="CH131" s="111">
        <f>G131</f>
        <v>1061</v>
      </c>
      <c r="CI131" s="113">
        <f>K131</f>
        <v>1065</v>
      </c>
      <c r="CJ131" s="114">
        <f>O131</f>
        <v>1097</v>
      </c>
      <c r="CK131" s="114">
        <f>S131</f>
        <v>1101</v>
      </c>
      <c r="CL131" s="114">
        <f>W131</f>
        <v>1137</v>
      </c>
      <c r="CM131" s="114">
        <f>AA131</f>
        <v>1145</v>
      </c>
      <c r="CN131" s="114">
        <f>AE131</f>
        <v>1172</v>
      </c>
      <c r="CO131" s="114">
        <f>AI131</f>
        <v>1193</v>
      </c>
      <c r="CP131" s="114">
        <f>AM131</f>
        <v>1226</v>
      </c>
      <c r="CQ131" s="114">
        <f>AQ131</f>
        <v>1299</v>
      </c>
      <c r="CR131" s="114">
        <f>AU131</f>
        <v>1322</v>
      </c>
      <c r="CS131" s="114">
        <f>AY131</f>
        <v>1340</v>
      </c>
      <c r="CT131" s="109">
        <f>M131-K131</f>
        <v>1</v>
      </c>
    </row>
    <row r="132" spans="1:1029" x14ac:dyDescent="0.2">
      <c r="A132" s="3" t="str">
        <f t="shared" si="867"/>
        <v>agtr1_human__wt</v>
      </c>
      <c r="B132" s="3" t="s">
        <v>158</v>
      </c>
      <c r="C132" s="3" t="s">
        <v>100</v>
      </c>
      <c r="D132" s="3" t="str">
        <f>IFERROR(MID(VLOOKUP($B132,Seqs!$A:$B,2,0),E132,1),"")</f>
        <v>H</v>
      </c>
      <c r="E132" s="105">
        <v>24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>P</v>
      </c>
      <c r="Y132" s="3">
        <v>133</v>
      </c>
      <c r="Z132" s="3" t="str">
        <f>IFERROR(MID(VLOOKUP($B132,Seqs!$A:$B,2,0),AA132,1),"")</f>
        <v>R</v>
      </c>
      <c r="AA132" s="3">
        <v>140</v>
      </c>
      <c r="AB132" s="3" t="str">
        <f>IFERROR(MID(VLOOKUP($B132,Seqs!$A:$B,2,0),AC132,1),"")</f>
        <v>T</v>
      </c>
      <c r="AC132" s="9">
        <v>141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A</v>
      </c>
      <c r="AM132" s="3">
        <v>225</v>
      </c>
      <c r="AN132" s="3" t="str">
        <f>IFERROR(MID(VLOOKUP($B132,Seqs!$A:$B,2,0),AO132,1),"")</f>
        <v>P</v>
      </c>
      <c r="AO132" s="3">
        <v>233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L</v>
      </c>
      <c r="AU132" s="3">
        <v>305</v>
      </c>
      <c r="AV132" s="3" t="str">
        <f>IFERROR(MID(VLOOKUP($B132,Seqs!$A:$B,2,0),AW132,1),"")</f>
        <v>G</v>
      </c>
      <c r="AW132" s="3">
        <v>306</v>
      </c>
      <c r="AX132" s="3" t="str">
        <f>IFERROR(MID(VLOOKUP($B132,Seqs!$A:$B,2,0),AY132,1),"")</f>
        <v>I</v>
      </c>
      <c r="AY132" s="3">
        <v>320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68"/>
        <v>1</v>
      </c>
      <c r="BC132" s="23">
        <f t="shared" si="645"/>
        <v>265</v>
      </c>
      <c r="BD132" s="56" t="s">
        <v>23</v>
      </c>
      <c r="BE132" s="3" t="s">
        <v>23</v>
      </c>
      <c r="BF132" s="119" t="s">
        <v>23</v>
      </c>
      <c r="BG132" s="49" t="s">
        <v>1372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si="646"/>
        <v>24</v>
      </c>
      <c r="BW132" s="71">
        <f t="shared" si="647"/>
        <v>57</v>
      </c>
      <c r="BX132" s="72">
        <f t="shared" si="648"/>
        <v>61</v>
      </c>
      <c r="BY132" s="71">
        <f t="shared" si="649"/>
        <v>93</v>
      </c>
      <c r="BZ132" s="72">
        <f t="shared" si="650"/>
        <v>97</v>
      </c>
      <c r="CA132" s="71">
        <f t="shared" si="651"/>
        <v>133</v>
      </c>
      <c r="CB132" s="72">
        <f t="shared" si="652"/>
        <v>141</v>
      </c>
      <c r="CC132" s="71">
        <f t="shared" si="653"/>
        <v>180</v>
      </c>
      <c r="CD132" s="72">
        <f t="shared" si="654"/>
        <v>191</v>
      </c>
      <c r="CE132" s="71">
        <f t="shared" si="655"/>
        <v>233</v>
      </c>
      <c r="CF132" s="72">
        <f t="shared" si="656"/>
        <v>273</v>
      </c>
      <c r="CG132" s="71">
        <f t="shared" si="657"/>
        <v>306</v>
      </c>
      <c r="CH132" s="70">
        <f t="shared" si="658"/>
        <v>56</v>
      </c>
      <c r="CI132" s="71">
        <f t="shared" si="659"/>
        <v>60</v>
      </c>
      <c r="CJ132" s="72">
        <f t="shared" si="660"/>
        <v>90</v>
      </c>
      <c r="CK132" s="72">
        <f t="shared" si="661"/>
        <v>96</v>
      </c>
      <c r="CL132" s="72">
        <f t="shared" si="662"/>
        <v>132</v>
      </c>
      <c r="CM132" s="72">
        <f t="shared" si="663"/>
        <v>140</v>
      </c>
      <c r="CN132" s="72">
        <f t="shared" si="664"/>
        <v>167</v>
      </c>
      <c r="CO132" s="72">
        <f t="shared" si="665"/>
        <v>182</v>
      </c>
      <c r="CP132" s="72">
        <f t="shared" si="666"/>
        <v>225</v>
      </c>
      <c r="CQ132" s="72">
        <f t="shared" si="667"/>
        <v>269</v>
      </c>
      <c r="CR132" s="72">
        <f t="shared" si="668"/>
        <v>305</v>
      </c>
      <c r="CS132" s="72">
        <f t="shared" si="669"/>
        <v>320</v>
      </c>
      <c r="CT132" s="23">
        <f t="shared" si="670"/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</row>
    <row r="133" spans="1:1029" x14ac:dyDescent="0.2">
      <c r="A133" s="3" t="str">
        <f t="shared" si="867"/>
        <v>agtr1_human_4YAY</v>
      </c>
      <c r="B133" s="3" t="s">
        <v>158</v>
      </c>
      <c r="C133" s="3" t="s">
        <v>69</v>
      </c>
      <c r="D133" s="3" t="str">
        <f>IFERROR(MID(VLOOKUP($B133,Seqs!$A:$B,2,0),E133,1),"")</f>
        <v>Y</v>
      </c>
      <c r="E133" s="3">
        <v>26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9">
        <v>137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L</v>
      </c>
      <c r="AM133" s="3">
        <v>222</v>
      </c>
      <c r="AN133" s="3" t="str">
        <f>IFERROR(MID(VLOOKUP($B133,Seqs!$A:$B,2,0),AO133,1),"")</f>
        <v>N</v>
      </c>
      <c r="AO133" s="3">
        <v>235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N</v>
      </c>
      <c r="AU133" s="3">
        <v>298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68"/>
        <v>1</v>
      </c>
      <c r="BC133" s="23">
        <f t="shared" si="645"/>
        <v>234</v>
      </c>
      <c r="BD133" s="4" t="s">
        <v>23</v>
      </c>
      <c r="BE133" s="3" t="s">
        <v>1374</v>
      </c>
      <c r="BF133" s="119">
        <v>2.9</v>
      </c>
      <c r="BG133" s="49" t="s">
        <v>1377</v>
      </c>
      <c r="BH133" s="49" t="s">
        <v>1377</v>
      </c>
      <c r="BI133" s="1"/>
      <c r="BJ133" s="70" t="s">
        <v>1287</v>
      </c>
      <c r="BK133" s="57" t="s">
        <v>1287</v>
      </c>
      <c r="BL133" s="57" t="s">
        <v>1287</v>
      </c>
      <c r="BM133" s="57" t="s">
        <v>1287</v>
      </c>
      <c r="BN133" s="57" t="s">
        <v>1287</v>
      </c>
      <c r="BO133" s="57" t="s">
        <v>1287</v>
      </c>
      <c r="BP133" s="57" t="s">
        <v>1287</v>
      </c>
      <c r="BQ133" s="57" t="s">
        <v>1287</v>
      </c>
      <c r="BR133" s="57" t="s">
        <v>1287</v>
      </c>
      <c r="BS133" s="57" t="s">
        <v>1287</v>
      </c>
      <c r="BT133" s="57" t="s">
        <v>1287</v>
      </c>
      <c r="BU133" s="57" t="s">
        <v>1287</v>
      </c>
      <c r="BV133" s="70">
        <f t="shared" si="646"/>
        <v>26</v>
      </c>
      <c r="BW133" s="71">
        <f t="shared" si="647"/>
        <v>57</v>
      </c>
      <c r="BX133" s="72">
        <f t="shared" si="648"/>
        <v>61</v>
      </c>
      <c r="BY133" s="71">
        <f t="shared" si="649"/>
        <v>93</v>
      </c>
      <c r="BZ133" s="72">
        <f t="shared" si="650"/>
        <v>97</v>
      </c>
      <c r="CA133" s="71" t="str">
        <f t="shared" si="651"/>
        <v>-</v>
      </c>
      <c r="CB133" s="72">
        <f t="shared" si="652"/>
        <v>137</v>
      </c>
      <c r="CC133" s="71">
        <f t="shared" si="653"/>
        <v>180</v>
      </c>
      <c r="CD133" s="72">
        <f t="shared" si="654"/>
        <v>191</v>
      </c>
      <c r="CE133" s="71">
        <f t="shared" si="655"/>
        <v>235</v>
      </c>
      <c r="CF133" s="72">
        <f t="shared" si="656"/>
        <v>273</v>
      </c>
      <c r="CG133" s="71" t="str">
        <f t="shared" si="657"/>
        <v>-</v>
      </c>
      <c r="CH133" s="70">
        <f t="shared" si="658"/>
        <v>56</v>
      </c>
      <c r="CI133" s="71">
        <f t="shared" si="659"/>
        <v>60</v>
      </c>
      <c r="CJ133" s="72">
        <f t="shared" si="660"/>
        <v>90</v>
      </c>
      <c r="CK133" s="72">
        <f t="shared" si="661"/>
        <v>96</v>
      </c>
      <c r="CL133" s="72">
        <f t="shared" si="662"/>
        <v>132</v>
      </c>
      <c r="CM133" s="72" t="str">
        <f t="shared" si="663"/>
        <v>-</v>
      </c>
      <c r="CN133" s="72">
        <f t="shared" si="664"/>
        <v>167</v>
      </c>
      <c r="CO133" s="72">
        <f t="shared" si="665"/>
        <v>182</v>
      </c>
      <c r="CP133" s="72">
        <f t="shared" si="666"/>
        <v>222</v>
      </c>
      <c r="CQ133" s="72">
        <f t="shared" si="667"/>
        <v>269</v>
      </c>
      <c r="CR133" s="72">
        <f t="shared" si="668"/>
        <v>298</v>
      </c>
      <c r="CS133" s="72" t="str">
        <f t="shared" si="669"/>
        <v>-</v>
      </c>
      <c r="CT133" s="23">
        <f t="shared" si="670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67"/>
        <v>agtr1_human_4YAY_dist</v>
      </c>
      <c r="B134" s="3" t="s">
        <v>158</v>
      </c>
      <c r="C134" s="3" t="s">
        <v>1159</v>
      </c>
      <c r="D134" s="3" t="str">
        <f>IFERROR(MID(VLOOKUP($B134,Seqs!$A:$B,2,0),E134,1),"")</f>
        <v>Y</v>
      </c>
      <c r="E134" s="3">
        <v>26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R</v>
      </c>
      <c r="AC134" s="9">
        <v>137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N</v>
      </c>
      <c r="AO134" s="3">
        <v>235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F</v>
      </c>
      <c r="AU134" s="3">
        <v>304</v>
      </c>
      <c r="AV134" s="3" t="str">
        <f>IFERROR(MID(VLOOKUP($B134,Seqs!$A:$B,2,0),AW134,1),"")</f>
        <v>G</v>
      </c>
      <c r="AW134" s="3">
        <v>306</v>
      </c>
      <c r="AX134" s="3" t="str">
        <f>IFERROR(MID(VLOOKUP($B134,Seqs!$A:$B,2,0),AY134,1),"")</f>
        <v>L</v>
      </c>
      <c r="AY134" s="3">
        <v>317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68"/>
        <v>1</v>
      </c>
      <c r="BC134" s="23">
        <f t="shared" si="645"/>
        <v>251</v>
      </c>
      <c r="BD134" s="5"/>
      <c r="BE134" s="3" t="s">
        <v>1374</v>
      </c>
      <c r="BF134" s="119">
        <v>2.9</v>
      </c>
      <c r="BG134" s="49" t="s">
        <v>1377</v>
      </c>
      <c r="BH134" s="49" t="s">
        <v>1377</v>
      </c>
      <c r="BI134" s="1"/>
      <c r="BJ134" s="70" t="s">
        <v>1287</v>
      </c>
      <c r="BK134" s="57" t="s">
        <v>1287</v>
      </c>
      <c r="BL134" s="57" t="s">
        <v>1287</v>
      </c>
      <c r="BM134" s="57" t="s">
        <v>1287</v>
      </c>
      <c r="BN134" s="57" t="s">
        <v>1287</v>
      </c>
      <c r="BO134" s="57" t="s">
        <v>1287</v>
      </c>
      <c r="BP134" s="57" t="s">
        <v>1287</v>
      </c>
      <c r="BQ134" s="57" t="s">
        <v>1287</v>
      </c>
      <c r="BR134" s="57" t="s">
        <v>1287</v>
      </c>
      <c r="BS134" s="57" t="s">
        <v>1287</v>
      </c>
      <c r="BT134" s="57" t="s">
        <v>1287</v>
      </c>
      <c r="BU134" s="57" t="s">
        <v>1287</v>
      </c>
      <c r="BV134" s="70">
        <f t="shared" si="646"/>
        <v>26</v>
      </c>
      <c r="BW134" s="71">
        <f t="shared" si="647"/>
        <v>57</v>
      </c>
      <c r="BX134" s="72">
        <f t="shared" si="648"/>
        <v>61</v>
      </c>
      <c r="BY134" s="71">
        <f t="shared" si="649"/>
        <v>93</v>
      </c>
      <c r="BZ134" s="72">
        <f t="shared" si="650"/>
        <v>97</v>
      </c>
      <c r="CA134" s="71" t="str">
        <f t="shared" si="651"/>
        <v>-</v>
      </c>
      <c r="CB134" s="72">
        <f t="shared" si="652"/>
        <v>137</v>
      </c>
      <c r="CC134" s="71">
        <f t="shared" si="653"/>
        <v>180</v>
      </c>
      <c r="CD134" s="72">
        <f t="shared" si="654"/>
        <v>191</v>
      </c>
      <c r="CE134" s="71">
        <f t="shared" si="655"/>
        <v>235</v>
      </c>
      <c r="CF134" s="72">
        <f t="shared" si="656"/>
        <v>273</v>
      </c>
      <c r="CG134" s="71">
        <f t="shared" si="657"/>
        <v>306</v>
      </c>
      <c r="CH134" s="70">
        <f t="shared" si="658"/>
        <v>56</v>
      </c>
      <c r="CI134" s="71">
        <f t="shared" si="659"/>
        <v>60</v>
      </c>
      <c r="CJ134" s="72">
        <f t="shared" si="660"/>
        <v>90</v>
      </c>
      <c r="CK134" s="72">
        <f t="shared" si="661"/>
        <v>96</v>
      </c>
      <c r="CL134" s="72">
        <f t="shared" si="662"/>
        <v>132</v>
      </c>
      <c r="CM134" s="72" t="str">
        <f t="shared" si="663"/>
        <v>-</v>
      </c>
      <c r="CN134" s="72">
        <f t="shared" si="664"/>
        <v>167</v>
      </c>
      <c r="CO134" s="72">
        <f t="shared" si="665"/>
        <v>182</v>
      </c>
      <c r="CP134" s="72">
        <f t="shared" si="666"/>
        <v>222</v>
      </c>
      <c r="CQ134" s="72">
        <f t="shared" si="667"/>
        <v>269</v>
      </c>
      <c r="CR134" s="72">
        <f t="shared" si="668"/>
        <v>304</v>
      </c>
      <c r="CS134" s="72">
        <f t="shared" si="669"/>
        <v>317</v>
      </c>
      <c r="CT134" s="23">
        <f t="shared" si="670"/>
        <v>1</v>
      </c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</row>
    <row r="135" spans="1:1029" x14ac:dyDescent="0.2">
      <c r="A135" s="3" t="str">
        <f t="shared" si="867"/>
        <v>agtr1_human_4ZUD</v>
      </c>
      <c r="B135" s="3" t="s">
        <v>158</v>
      </c>
      <c r="C135" s="3" t="s">
        <v>1336</v>
      </c>
      <c r="D135" s="3" t="str">
        <f>IFERROR(MID(VLOOKUP($B135,Seqs!$A:$B,2,0),E135,1),"")</f>
        <v>H</v>
      </c>
      <c r="E135" s="3">
        <v>24</v>
      </c>
      <c r="F135" s="3" t="str">
        <f>IFERROR(MID(VLOOKUP($B135,Seqs!$A:$B,2,0),G135,1),"")</f>
        <v>Y</v>
      </c>
      <c r="G135" s="3">
        <v>56</v>
      </c>
      <c r="H135" s="3" t="str">
        <f>IFERROR(MID(VLOOKUP($B135,Seqs!$A:$B,2,0),I135,1),"")</f>
        <v>M</v>
      </c>
      <c r="I135" s="23">
        <v>57</v>
      </c>
      <c r="J135" s="3" t="str">
        <f>IFERROR(MID(VLOOKUP($B135,Seqs!$A:$B,2,0),K135,1),"")</f>
        <v>K</v>
      </c>
      <c r="K135" s="23">
        <v>60</v>
      </c>
      <c r="L135" s="3" t="str">
        <f>IFERROR(MID(VLOOKUP($B135,Seqs!$A:$B,2,0),M135,1),"")</f>
        <v>T</v>
      </c>
      <c r="M135" s="3">
        <v>61</v>
      </c>
      <c r="N135" s="3" t="str">
        <f>IFERROR(MID(VLOOKUP($B135,Seqs!$A:$B,2,0),O135,1),"")</f>
        <v>M</v>
      </c>
      <c r="O135" s="3">
        <v>90</v>
      </c>
      <c r="P135" s="3" t="str">
        <f>IFERROR(MID(VLOOKUP($B135,Seqs!$A:$B,2,0),Q135,1),"")</f>
        <v>R</v>
      </c>
      <c r="Q135" s="3">
        <v>93</v>
      </c>
      <c r="R135" s="3" t="str">
        <f>IFERROR(MID(VLOOKUP($B135,Seqs!$A:$B,2,0),S135,1),"")</f>
        <v>F</v>
      </c>
      <c r="S135" s="3">
        <v>96</v>
      </c>
      <c r="T135" s="3" t="str">
        <f>IFERROR(MID(VLOOKUP($B135,Seqs!$A:$B,2,0),U135,1),"")</f>
        <v>G</v>
      </c>
      <c r="U135" s="3">
        <v>97</v>
      </c>
      <c r="V135" s="3" t="str">
        <f>IFERROR(MID(VLOOKUP($B135,Seqs!$A:$B,2,0),W135,1),"")</f>
        <v>H</v>
      </c>
      <c r="W135" s="3">
        <v>132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M</v>
      </c>
      <c r="AC135" s="9">
        <v>142</v>
      </c>
      <c r="AD135" s="3" t="str">
        <f>IFERROR(MID(VLOOKUP($B135,Seqs!$A:$B,2,0),AE135,1),"")</f>
        <v>R</v>
      </c>
      <c r="AE135" s="3">
        <v>167</v>
      </c>
      <c r="AF135" s="3" t="str">
        <f>IFERROR(MID(VLOOKUP($B135,Seqs!$A:$B,2,0),AG135,1),"")</f>
        <v>C</v>
      </c>
      <c r="AG135" s="3">
        <v>180</v>
      </c>
      <c r="AH135" s="3" t="str">
        <f>IFERROR(MID(VLOOKUP($B135,Seqs!$A:$B,2,0),AI135,1),"")</f>
        <v>F</v>
      </c>
      <c r="AI135" s="3">
        <v>182</v>
      </c>
      <c r="AJ135" s="3" t="str">
        <f>IFERROR(MID(VLOOKUP($B135,Seqs!$A:$B,2,0),AK135,1),"")</f>
        <v>L</v>
      </c>
      <c r="AK135" s="3">
        <v>191</v>
      </c>
      <c r="AL135" s="3" t="str">
        <f>IFERROR(MID(VLOOKUP($B135,Seqs!$A:$B,2,0),AM135,1),"")</f>
        <v>L</v>
      </c>
      <c r="AM135" s="3">
        <v>222</v>
      </c>
      <c r="AN135" s="3" t="str">
        <f>IFERROR(MID(VLOOKUP($B135,Seqs!$A:$B,2,0),AO135,1),"")</f>
        <v>D</v>
      </c>
      <c r="AO135" s="3">
        <v>236</v>
      </c>
      <c r="AP135" s="3" t="str">
        <f>IFERROR(MID(VLOOKUP($B135,Seqs!$A:$B,2,0),AQ135,1),"")</f>
        <v>G</v>
      </c>
      <c r="AQ135" s="3">
        <v>269</v>
      </c>
      <c r="AR135" s="3" t="str">
        <f>IFERROR(MID(VLOOKUP($B135,Seqs!$A:$B,2,0),AS135,1),"")</f>
        <v>D</v>
      </c>
      <c r="AS135" s="3">
        <v>273</v>
      </c>
      <c r="AT135" s="3" t="str">
        <f>IFERROR(MID(VLOOKUP($B135,Seqs!$A:$B,2,0),AU135,1),"")</f>
        <v>F</v>
      </c>
      <c r="AU135" s="3">
        <v>304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7" t="str">
        <f>VLOOKUP(B135,Classification!A:D,2,0)</f>
        <v>A</v>
      </c>
      <c r="BA135" s="94" t="str">
        <f>VLOOKUP(B135,Classification!A:D,4,0)</f>
        <v>Angiotensin</v>
      </c>
      <c r="BB135" s="27" t="b">
        <f t="shared" si="868"/>
        <v>1</v>
      </c>
      <c r="BC135" s="23">
        <f t="shared" si="645"/>
        <v>236</v>
      </c>
      <c r="BD135" s="2" t="s">
        <v>1376</v>
      </c>
      <c r="BE135" s="3" t="s">
        <v>1374</v>
      </c>
      <c r="BF135" s="119">
        <v>2.8</v>
      </c>
      <c r="BG135" s="49" t="s">
        <v>1377</v>
      </c>
      <c r="BH135" s="49" t="s">
        <v>1377</v>
      </c>
      <c r="BI135" s="1"/>
      <c r="BJ135" s="70" t="s">
        <v>1287</v>
      </c>
      <c r="BK135" s="57" t="s">
        <v>1287</v>
      </c>
      <c r="BL135" s="57" t="s">
        <v>1287</v>
      </c>
      <c r="BM135" s="57" t="s">
        <v>1287</v>
      </c>
      <c r="BN135" s="57" t="s">
        <v>1287</v>
      </c>
      <c r="BO135" s="57" t="s">
        <v>1287</v>
      </c>
      <c r="BP135" s="57" t="s">
        <v>1287</v>
      </c>
      <c r="BQ135" s="57" t="s">
        <v>1287</v>
      </c>
      <c r="BR135" s="57" t="s">
        <v>1287</v>
      </c>
      <c r="BS135" s="57" t="s">
        <v>1287</v>
      </c>
      <c r="BT135" s="57" t="s">
        <v>1287</v>
      </c>
      <c r="BU135" s="57" t="s">
        <v>1287</v>
      </c>
      <c r="BV135" s="70">
        <f t="shared" si="646"/>
        <v>24</v>
      </c>
      <c r="BW135" s="71">
        <f t="shared" si="647"/>
        <v>57</v>
      </c>
      <c r="BX135" s="72">
        <f t="shared" si="648"/>
        <v>61</v>
      </c>
      <c r="BY135" s="71">
        <f t="shared" si="649"/>
        <v>93</v>
      </c>
      <c r="BZ135" s="72">
        <f t="shared" si="650"/>
        <v>97</v>
      </c>
      <c r="CA135" s="71" t="str">
        <f t="shared" si="651"/>
        <v>-</v>
      </c>
      <c r="CB135" s="72">
        <f t="shared" si="652"/>
        <v>142</v>
      </c>
      <c r="CC135" s="71">
        <f t="shared" si="653"/>
        <v>180</v>
      </c>
      <c r="CD135" s="72">
        <f t="shared" si="654"/>
        <v>191</v>
      </c>
      <c r="CE135" s="71">
        <f t="shared" si="655"/>
        <v>236</v>
      </c>
      <c r="CF135" s="72">
        <f t="shared" si="656"/>
        <v>273</v>
      </c>
      <c r="CG135" s="71" t="str">
        <f t="shared" si="657"/>
        <v>-</v>
      </c>
      <c r="CH135" s="70">
        <f t="shared" si="658"/>
        <v>56</v>
      </c>
      <c r="CI135" s="71">
        <f t="shared" si="659"/>
        <v>60</v>
      </c>
      <c r="CJ135" s="72">
        <f t="shared" si="660"/>
        <v>90</v>
      </c>
      <c r="CK135" s="72">
        <f t="shared" si="661"/>
        <v>96</v>
      </c>
      <c r="CL135" s="72">
        <f t="shared" si="662"/>
        <v>132</v>
      </c>
      <c r="CM135" s="72" t="str">
        <f t="shared" si="663"/>
        <v>-</v>
      </c>
      <c r="CN135" s="72">
        <f t="shared" si="664"/>
        <v>167</v>
      </c>
      <c r="CO135" s="72">
        <f t="shared" si="665"/>
        <v>182</v>
      </c>
      <c r="CP135" s="72">
        <f t="shared" si="666"/>
        <v>222</v>
      </c>
      <c r="CQ135" s="72">
        <f t="shared" si="667"/>
        <v>269</v>
      </c>
      <c r="CR135" s="72">
        <f t="shared" si="668"/>
        <v>304</v>
      </c>
      <c r="CS135" s="72" t="str">
        <f t="shared" si="669"/>
        <v>-</v>
      </c>
      <c r="CT135" s="23">
        <f t="shared" si="670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 t="shared" ref="A136" si="869">CONCATENATE(B136,"_",C136)</f>
        <v>agtr1_human_6DO1</v>
      </c>
      <c r="B136" s="9" t="s">
        <v>158</v>
      </c>
      <c r="C136" s="9" t="s">
        <v>1555</v>
      </c>
      <c r="D136" s="9" t="str">
        <f>IFERROR(MID(VLOOKUP($B136,Seqs!$A:$B,2,0),E136,1),"")</f>
        <v>H</v>
      </c>
      <c r="E136" s="9">
        <v>24</v>
      </c>
      <c r="F136" s="9" t="str">
        <f>IFERROR(MID(VLOOKUP($B136,Seqs!$A:$B,2,0),G136,1),"")</f>
        <v>Y</v>
      </c>
      <c r="G136" s="9">
        <v>56</v>
      </c>
      <c r="H136" s="9" t="str">
        <f>IFERROR(MID(VLOOKUP($B136,Seqs!$A:$B,2,0),I136,1),"")</f>
        <v/>
      </c>
      <c r="I136" s="109" t="s">
        <v>23</v>
      </c>
      <c r="J136" s="9" t="str">
        <f>IFERROR(MID(VLOOKUP($B136,Seqs!$A:$B,2,0),K136,1),"")</f>
        <v/>
      </c>
      <c r="K136" s="109" t="s">
        <v>23</v>
      </c>
      <c r="L136" s="9" t="str">
        <f>IFERROR(MID(VLOOKUP($B136,Seqs!$A:$B,2,0),M136,1),"")</f>
        <v>T</v>
      </c>
      <c r="M136" s="9">
        <v>61</v>
      </c>
      <c r="N136" s="9" t="str">
        <f>IFERROR(MID(VLOOKUP($B136,Seqs!$A:$B,2,0),O136,1),"")</f>
        <v>M</v>
      </c>
      <c r="O136" s="9">
        <v>90</v>
      </c>
      <c r="P136" s="9" t="str">
        <f>IFERROR(MID(VLOOKUP($B136,Seqs!$A:$B,2,0),Q136,1),"")</f>
        <v>R</v>
      </c>
      <c r="Q136" s="9">
        <v>93</v>
      </c>
      <c r="R136" s="9" t="str">
        <f>IFERROR(MID(VLOOKUP($B136,Seqs!$A:$B,2,0),S136,1),"")</f>
        <v>F</v>
      </c>
      <c r="S136" s="9">
        <v>96</v>
      </c>
      <c r="T136" s="9" t="str">
        <f>IFERROR(MID(VLOOKUP($B136,Seqs!$A:$B,2,0),U136,1),"")</f>
        <v>G</v>
      </c>
      <c r="U136" s="9">
        <v>97</v>
      </c>
      <c r="V136" s="9" t="str">
        <f>IFERROR(MID(VLOOKUP($B136,Seqs!$A:$B,2,0),W136,1),"")</f>
        <v>H</v>
      </c>
      <c r="W136" s="9">
        <v>132</v>
      </c>
      <c r="X136" s="9" t="str">
        <f>IFERROR(MID(VLOOKUP($B136,Seqs!$A:$B,2,0),Y136,1),"")</f>
        <v>P</v>
      </c>
      <c r="Y136" s="9">
        <v>133</v>
      </c>
      <c r="Z136" s="9" t="str">
        <f>IFERROR(MID(VLOOKUP($B136,Seqs!$A:$B,2,0),AA136,1),"")</f>
        <v>R</v>
      </c>
      <c r="AA136" s="9">
        <v>140</v>
      </c>
      <c r="AB136" s="9" t="str">
        <f>IFERROR(MID(VLOOKUP($B136,Seqs!$A:$B,2,0),AC136,1),"")</f>
        <v>T</v>
      </c>
      <c r="AC136" s="9">
        <v>141</v>
      </c>
      <c r="AD136" s="9" t="str">
        <f>IFERROR(MID(VLOOKUP($B136,Seqs!$A:$B,2,0),AE136,1),"")</f>
        <v>R</v>
      </c>
      <c r="AE136" s="9">
        <v>167</v>
      </c>
      <c r="AF136" s="9" t="str">
        <f>IFERROR(MID(VLOOKUP($B136,Seqs!$A:$B,2,0),AG136,1),"")</f>
        <v>C</v>
      </c>
      <c r="AG136" s="9">
        <v>180</v>
      </c>
      <c r="AH136" s="9" t="str">
        <f>IFERROR(MID(VLOOKUP($B136,Seqs!$A:$B,2,0),AI136,1),"")</f>
        <v>F</v>
      </c>
      <c r="AI136" s="9">
        <v>182</v>
      </c>
      <c r="AJ136" s="9" t="str">
        <f>IFERROR(MID(VLOOKUP($B136,Seqs!$A:$B,2,0),AK136,1),"")</f>
        <v>P</v>
      </c>
      <c r="AK136" s="9">
        <v>192</v>
      </c>
      <c r="AL136" s="9" t="str">
        <f>IFERROR(MID(VLOOKUP($B136,Seqs!$A:$B,2,0),AM136,1),"")</f>
        <v>N</v>
      </c>
      <c r="AM136" s="9">
        <v>231</v>
      </c>
      <c r="AN136" s="9" t="str">
        <f>IFERROR(MID(VLOOKUP($B136,Seqs!$A:$B,2,0),AO136,1),"")</f>
        <v>T</v>
      </c>
      <c r="AO136" s="9">
        <v>336</v>
      </c>
      <c r="AP136" s="9" t="str">
        <f>IFERROR(MID(VLOOKUP($B136,Seqs!$A:$B,2,0),AQ136,1),"")</f>
        <v/>
      </c>
      <c r="AQ136" s="9">
        <v>368</v>
      </c>
      <c r="AR136" s="9" t="str">
        <f>IFERROR(MID(VLOOKUP($B136,Seqs!$A:$B,2,0),AS136,1),"")</f>
        <v/>
      </c>
      <c r="AS136" s="9">
        <v>372</v>
      </c>
      <c r="AT136" s="9" t="str">
        <f>IFERROR(MID(VLOOKUP($B136,Seqs!$A:$B,2,0),AU136,1),"")</f>
        <v/>
      </c>
      <c r="AU136" s="9">
        <v>404</v>
      </c>
      <c r="AV136" s="9" t="str">
        <f>IFERROR(MID(VLOOKUP($B136,Seqs!$A:$B,2,0),AW136,1),"")</f>
        <v/>
      </c>
      <c r="AW136" s="9">
        <v>405</v>
      </c>
      <c r="AX136" s="9" t="str">
        <f>IFERROR(MID(VLOOKUP($B136,Seqs!$A:$B,2,0),AY136,1),"")</f>
        <v/>
      </c>
      <c r="AY136" s="9">
        <v>416</v>
      </c>
      <c r="AZ136" s="110" t="str">
        <f>VLOOKUP(B136,Classification!A:D,2,0)</f>
        <v>A</v>
      </c>
      <c r="BA136" s="98" t="str">
        <f>VLOOKUP(B136,Classification!A:D,4,0)</f>
        <v>Angiotensin</v>
      </c>
      <c r="BB136" s="36" t="b">
        <f t="shared" ref="BB136" si="870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109">
        <f t="shared" ref="BC136" si="871">_xlfn.AGGREGATE(9,6,CH136:CS136)-_xlfn.AGGREGATE(9,6,BV136:CG136)+12</f>
        <v>260</v>
      </c>
      <c r="BD136" s="40" t="s">
        <v>1375</v>
      </c>
      <c r="BE136" s="9" t="s">
        <v>1291</v>
      </c>
      <c r="BF136" s="120">
        <v>2.9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ref="BV136" si="872">E136</f>
        <v>24</v>
      </c>
      <c r="BW136" s="113" t="str">
        <f t="shared" ref="BW136" si="873">I136</f>
        <v>-</v>
      </c>
      <c r="BX136" s="114">
        <f t="shared" ref="BX136" si="874">M136</f>
        <v>61</v>
      </c>
      <c r="BY136" s="113">
        <f t="shared" ref="BY136" si="875">Q136</f>
        <v>93</v>
      </c>
      <c r="BZ136" s="114">
        <f t="shared" ref="BZ136" si="876">U136</f>
        <v>97</v>
      </c>
      <c r="CA136" s="113">
        <f t="shared" ref="CA136" si="877">Y136</f>
        <v>133</v>
      </c>
      <c r="CB136" s="114">
        <f t="shared" ref="CB136" si="878">AC136</f>
        <v>141</v>
      </c>
      <c r="CC136" s="113">
        <f t="shared" ref="CC136" si="879">AG136</f>
        <v>180</v>
      </c>
      <c r="CD136" s="114">
        <f t="shared" ref="CD136" si="880">AK136</f>
        <v>192</v>
      </c>
      <c r="CE136" s="113">
        <f t="shared" ref="CE136" si="881">AO136</f>
        <v>336</v>
      </c>
      <c r="CF136" s="114">
        <f t="shared" ref="CF136" si="882">AS136</f>
        <v>372</v>
      </c>
      <c r="CG136" s="113">
        <f t="shared" ref="CG136" si="883">AW136</f>
        <v>405</v>
      </c>
      <c r="CH136" s="111">
        <f t="shared" ref="CH136" si="884">G136</f>
        <v>56</v>
      </c>
      <c r="CI136" s="113" t="str">
        <f t="shared" ref="CI136" si="885">K136</f>
        <v>-</v>
      </c>
      <c r="CJ136" s="114">
        <f t="shared" ref="CJ136" si="886">O136</f>
        <v>90</v>
      </c>
      <c r="CK136" s="114">
        <f t="shared" ref="CK136" si="887">S136</f>
        <v>96</v>
      </c>
      <c r="CL136" s="114">
        <f t="shared" ref="CL136" si="888">W136</f>
        <v>132</v>
      </c>
      <c r="CM136" s="114">
        <f t="shared" ref="CM136" si="889">AA136</f>
        <v>140</v>
      </c>
      <c r="CN136" s="114">
        <f t="shared" ref="CN136" si="890">AE136</f>
        <v>167</v>
      </c>
      <c r="CO136" s="114">
        <f t="shared" ref="CO136" si="891">AI136</f>
        <v>182</v>
      </c>
      <c r="CP136" s="114">
        <f t="shared" ref="CP136" si="892">AM136</f>
        <v>231</v>
      </c>
      <c r="CQ136" s="114">
        <f t="shared" ref="CQ136" si="893">AQ136</f>
        <v>368</v>
      </c>
      <c r="CR136" s="114">
        <f t="shared" ref="CR136" si="894">AU136</f>
        <v>404</v>
      </c>
      <c r="CS136" s="114">
        <f t="shared" ref="CS136" si="895">AY136</f>
        <v>416</v>
      </c>
      <c r="CT136" s="109" t="e">
        <f t="shared" ref="CT136" si="896">M136-K136</f>
        <v>#VALUE!</v>
      </c>
    </row>
    <row r="137" spans="1:1029" x14ac:dyDescent="0.2">
      <c r="A137" s="3" t="str">
        <f t="shared" ref="A137:A147" si="897">CONCATENATE(B137,"_",C137)</f>
        <v>agtr2_human__wt</v>
      </c>
      <c r="B137" s="3" t="s">
        <v>159</v>
      </c>
      <c r="C137" s="3" t="s">
        <v>100</v>
      </c>
      <c r="D137" s="3" t="str">
        <f>IFERROR(MID(VLOOKUP($B137,Seqs!$A:$B,2,0),E137,1),"")</f>
        <v>D</v>
      </c>
      <c r="E137" s="3">
        <v>45</v>
      </c>
      <c r="F137" s="3" t="str">
        <f>IFERROR(MID(VLOOKUP($B137,Seqs!$A:$B,2,0),G137,1),"")</f>
        <v>Q</v>
      </c>
      <c r="G137" s="3">
        <v>72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V</v>
      </c>
      <c r="M137" s="3">
        <v>78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>P</v>
      </c>
      <c r="Y137" s="3">
        <v>149</v>
      </c>
      <c r="Z137" s="3" t="str">
        <f>IFERROR(MID(VLOOKUP($B137,Seqs!$A:$B,2,0),AA137,1),"")</f>
        <v>R</v>
      </c>
      <c r="AA137" s="3">
        <v>155</v>
      </c>
      <c r="AB137" s="3" t="str">
        <f>IFERROR(MID(VLOOKUP($B137,Seqs!$A:$B,2,0),AC137,1),"")</f>
        <v>N</v>
      </c>
      <c r="AC137" s="3">
        <v>156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K</v>
      </c>
      <c r="AK137" s="3">
        <v>203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S</v>
      </c>
      <c r="AS137" s="3">
        <v>289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P</v>
      </c>
      <c r="AY137" s="3">
        <v>336</v>
      </c>
      <c r="AZ137" s="77" t="str">
        <f>VLOOKUP(B137,Classification!A:D,2,0)</f>
        <v>A</v>
      </c>
      <c r="BA137" s="94" t="str">
        <f>VLOOKUP(B137,Classification!A:D,4,0)</f>
        <v>Angiotensin</v>
      </c>
      <c r="BB137" s="27" t="b">
        <f t="shared" ref="BB137:BB147" si="898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:BC147" si="899">_xlfn.AGGREGATE(9,6,CH137:CS137)-_xlfn.AGGREGATE(9,6,BV137:CG137)+12</f>
        <v>265</v>
      </c>
      <c r="BD137" s="2" t="s">
        <v>23</v>
      </c>
      <c r="BE137" s="3" t="s">
        <v>23</v>
      </c>
      <c r="BF137" s="119" t="s">
        <v>23</v>
      </c>
      <c r="BG137" s="49" t="s">
        <v>1377</v>
      </c>
      <c r="BH137" s="49" t="s">
        <v>1377</v>
      </c>
      <c r="BI137" s="1"/>
      <c r="BJ137" s="70" t="s">
        <v>1287</v>
      </c>
      <c r="BK137" s="57" t="s">
        <v>1287</v>
      </c>
      <c r="BL137" s="57" t="s">
        <v>1287</v>
      </c>
      <c r="BM137" s="57" t="s">
        <v>1287</v>
      </c>
      <c r="BN137" s="57" t="s">
        <v>1287</v>
      </c>
      <c r="BO137" s="57" t="s">
        <v>1287</v>
      </c>
      <c r="BP137" s="57" t="s">
        <v>1287</v>
      </c>
      <c r="BQ137" s="57" t="s">
        <v>1287</v>
      </c>
      <c r="BR137" s="57" t="s">
        <v>1287</v>
      </c>
      <c r="BS137" s="57" t="s">
        <v>1287</v>
      </c>
      <c r="BT137" s="57" t="s">
        <v>1287</v>
      </c>
      <c r="BU137" s="57" t="s">
        <v>1287</v>
      </c>
      <c r="BV137" s="70">
        <f t="shared" ref="BV137:BV147" si="900">E137</f>
        <v>45</v>
      </c>
      <c r="BW137" s="71" t="str">
        <f t="shared" ref="BW137:BW147" si="901">I137</f>
        <v>-</v>
      </c>
      <c r="BX137" s="72">
        <f t="shared" ref="BX137:BX147" si="902">M137</f>
        <v>78</v>
      </c>
      <c r="BY137" s="71">
        <f t="shared" ref="BY137:BY147" si="903">Q137</f>
        <v>107</v>
      </c>
      <c r="BZ137" s="72">
        <f t="shared" ref="BZ137:BZ147" si="904">U137</f>
        <v>113</v>
      </c>
      <c r="CA137" s="71">
        <f t="shared" ref="CA137:CA147" si="905">Y137</f>
        <v>149</v>
      </c>
      <c r="CB137" s="72">
        <f t="shared" ref="CB137:CB147" si="906">AC137</f>
        <v>156</v>
      </c>
      <c r="CC137" s="71">
        <f t="shared" ref="CC137:CC147" si="907">AG137</f>
        <v>195</v>
      </c>
      <c r="CD137" s="72">
        <f t="shared" ref="CD137:CD147" si="908">AK137</f>
        <v>203</v>
      </c>
      <c r="CE137" s="71">
        <f t="shared" ref="CE137:CE147" si="909">AO137</f>
        <v>245</v>
      </c>
      <c r="CF137" s="72">
        <f t="shared" ref="CF137:CF147" si="910">AS137</f>
        <v>289</v>
      </c>
      <c r="CG137" s="71">
        <f t="shared" ref="CG137:CG147" si="911">AW137</f>
        <v>322</v>
      </c>
      <c r="CH137" s="70">
        <f t="shared" ref="CH137:CH147" si="912">G137</f>
        <v>72</v>
      </c>
      <c r="CI137" s="71" t="str">
        <f t="shared" ref="CI137:CI147" si="913">K137</f>
        <v>-</v>
      </c>
      <c r="CJ137" s="72">
        <f t="shared" ref="CJ137:CJ147" si="914">O137</f>
        <v>106</v>
      </c>
      <c r="CK137" s="72">
        <f t="shared" ref="CK137:CK147" si="915">S137</f>
        <v>112</v>
      </c>
      <c r="CL137" s="72">
        <f t="shared" ref="CL137:CL147" si="916">W137</f>
        <v>148</v>
      </c>
      <c r="CM137" s="72">
        <f t="shared" ref="CM137:CM147" si="917">AA137</f>
        <v>155</v>
      </c>
      <c r="CN137" s="72">
        <f t="shared" ref="CN137:CN147" si="918">AE137</f>
        <v>182</v>
      </c>
      <c r="CO137" s="72">
        <f t="shared" ref="CO137:CO147" si="919">AI137</f>
        <v>197</v>
      </c>
      <c r="CP137" s="72">
        <f t="shared" ref="CP137:CP147" si="920">AM137</f>
        <v>241</v>
      </c>
      <c r="CQ137" s="72">
        <f t="shared" ref="CQ137:CQ147" si="921">AQ137</f>
        <v>285</v>
      </c>
      <c r="CR137" s="72">
        <f t="shared" ref="CR137:CR147" si="922">AU137</f>
        <v>321</v>
      </c>
      <c r="CS137" s="72">
        <f t="shared" ref="CS137:CS147" si="923">AY137</f>
        <v>336</v>
      </c>
      <c r="CT137" s="23" t="e">
        <f t="shared" ref="CT137:CT147" si="924"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97"/>
        <v>agtr2_human_5UNF</v>
      </c>
      <c r="B138" s="3" t="s">
        <v>159</v>
      </c>
      <c r="C138" s="3" t="s">
        <v>1392</v>
      </c>
      <c r="D138" s="3" t="str">
        <f>IFERROR(MID(VLOOKUP($B138,Seqs!$A:$B,2,0),E138,1),"")</f>
        <v>A</v>
      </c>
      <c r="E138" s="3">
        <v>46</v>
      </c>
      <c r="F138" s="3" t="str">
        <f>IFERROR(MID(VLOOKUP($B138,Seqs!$A:$B,2,0),G138,1),"")</f>
        <v>Q</v>
      </c>
      <c r="G138" s="3">
        <v>72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W</v>
      </c>
      <c r="AC138" s="3">
        <v>158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Y</v>
      </c>
      <c r="AK138" s="3">
        <v>204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C</v>
      </c>
      <c r="AS138" s="3">
        <v>290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R</v>
      </c>
      <c r="AY138" s="3">
        <v>334</v>
      </c>
      <c r="AZ138" s="77"/>
      <c r="BA138" s="94" t="str">
        <f>VLOOKUP(B138,Classification!A:D,4,0)</f>
        <v>Angiotensin</v>
      </c>
      <c r="BB138" s="27" t="b">
        <f t="shared" si="898"/>
        <v>1</v>
      </c>
      <c r="BC138" s="23">
        <f t="shared" si="899"/>
        <v>252</v>
      </c>
      <c r="BD138" s="2" t="s">
        <v>23</v>
      </c>
      <c r="BE138" s="3" t="s">
        <v>1291</v>
      </c>
      <c r="BF138" s="119">
        <v>2.8</v>
      </c>
      <c r="BG138" s="49" t="s">
        <v>1377</v>
      </c>
      <c r="BH138" s="49" t="s">
        <v>1</v>
      </c>
      <c r="BI138" s="1"/>
      <c r="BJ138" s="70" t="s">
        <v>1287</v>
      </c>
      <c r="BK138" s="57" t="s">
        <v>1287</v>
      </c>
      <c r="BL138" s="57" t="s">
        <v>1287</v>
      </c>
      <c r="BM138" s="57" t="s">
        <v>1287</v>
      </c>
      <c r="BN138" s="57" t="s">
        <v>1287</v>
      </c>
      <c r="BO138" s="57" t="s">
        <v>1287</v>
      </c>
      <c r="BP138" s="57" t="s">
        <v>1287</v>
      </c>
      <c r="BQ138" s="57" t="s">
        <v>1287</v>
      </c>
      <c r="BR138" s="57" t="s">
        <v>1287</v>
      </c>
      <c r="BS138" s="57" t="s">
        <v>1287</v>
      </c>
      <c r="BT138" s="57" t="s">
        <v>1287</v>
      </c>
      <c r="BU138" s="57" t="s">
        <v>1287</v>
      </c>
      <c r="BV138" s="70">
        <f t="shared" si="900"/>
        <v>46</v>
      </c>
      <c r="BW138" s="71" t="str">
        <f t="shared" si="901"/>
        <v>-</v>
      </c>
      <c r="BX138" s="72">
        <f t="shared" si="902"/>
        <v>78</v>
      </c>
      <c r="BY138" s="71">
        <f t="shared" si="903"/>
        <v>107</v>
      </c>
      <c r="BZ138" s="72">
        <f t="shared" si="904"/>
        <v>113</v>
      </c>
      <c r="CA138" s="71" t="str">
        <f t="shared" si="905"/>
        <v>-</v>
      </c>
      <c r="CB138" s="72">
        <f t="shared" si="906"/>
        <v>158</v>
      </c>
      <c r="CC138" s="71">
        <f t="shared" si="907"/>
        <v>195</v>
      </c>
      <c r="CD138" s="72">
        <f t="shared" si="908"/>
        <v>204</v>
      </c>
      <c r="CE138" s="71">
        <f t="shared" si="909"/>
        <v>245</v>
      </c>
      <c r="CF138" s="72">
        <f t="shared" si="910"/>
        <v>290</v>
      </c>
      <c r="CG138" s="71">
        <f t="shared" si="911"/>
        <v>322</v>
      </c>
      <c r="CH138" s="70">
        <f t="shared" si="912"/>
        <v>72</v>
      </c>
      <c r="CI138" s="71" t="str">
        <f t="shared" si="913"/>
        <v>-</v>
      </c>
      <c r="CJ138" s="72">
        <f t="shared" si="914"/>
        <v>106</v>
      </c>
      <c r="CK138" s="72">
        <f t="shared" si="915"/>
        <v>112</v>
      </c>
      <c r="CL138" s="72">
        <f t="shared" si="916"/>
        <v>148</v>
      </c>
      <c r="CM138" s="72" t="str">
        <f t="shared" si="917"/>
        <v>-</v>
      </c>
      <c r="CN138" s="72">
        <f t="shared" si="918"/>
        <v>182</v>
      </c>
      <c r="CO138" s="72">
        <f t="shared" si="919"/>
        <v>197</v>
      </c>
      <c r="CP138" s="72">
        <f t="shared" si="920"/>
        <v>241</v>
      </c>
      <c r="CQ138" s="72">
        <f t="shared" si="921"/>
        <v>285</v>
      </c>
      <c r="CR138" s="72">
        <f t="shared" si="922"/>
        <v>321</v>
      </c>
      <c r="CS138" s="72">
        <f t="shared" si="923"/>
        <v>334</v>
      </c>
      <c r="CT138" s="23" t="e">
        <f t="shared" si="924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97"/>
        <v>agtr2_human_5UNG</v>
      </c>
      <c r="B139" s="3" t="s">
        <v>159</v>
      </c>
      <c r="C139" s="3" t="s">
        <v>1394</v>
      </c>
      <c r="D139" s="3" t="str">
        <f>IFERROR(MID(VLOOKUP($B139,Seqs!$A:$B,2,0),E139,1),"")</f>
        <v>D</v>
      </c>
      <c r="E139" s="3">
        <v>45</v>
      </c>
      <c r="F139" s="3" t="str">
        <f>IFERROR(MID(VLOOKUP($B139,Seqs!$A:$B,2,0),G139,1),"")</f>
        <v>C</v>
      </c>
      <c r="G139" s="3">
        <v>71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V</v>
      </c>
      <c r="M139" s="3">
        <v>78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Q</v>
      </c>
      <c r="AC139" s="3">
        <v>159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K</v>
      </c>
      <c r="AK139" s="3">
        <v>203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S</v>
      </c>
      <c r="AS139" s="3">
        <v>289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R</v>
      </c>
      <c r="AY139" s="3">
        <v>334</v>
      </c>
      <c r="AZ139" s="77" t="str">
        <f>VLOOKUP(B139,Classification!A:D,2,0)</f>
        <v>A</v>
      </c>
      <c r="BA139" s="94" t="str">
        <f>VLOOKUP(B139,Classification!A:D,4,0)</f>
        <v>Angiotensin</v>
      </c>
      <c r="BB139" s="27" t="b">
        <f t="shared" si="898"/>
        <v>1</v>
      </c>
      <c r="BC139" s="23">
        <f t="shared" si="899"/>
        <v>253</v>
      </c>
      <c r="BD139" s="2" t="s">
        <v>1375</v>
      </c>
      <c r="BE139" s="3" t="s">
        <v>1291</v>
      </c>
      <c r="BF139" s="119">
        <v>2.8</v>
      </c>
      <c r="BG139" s="49" t="s">
        <v>1377</v>
      </c>
      <c r="BH139" s="49" t="s">
        <v>1281</v>
      </c>
      <c r="BI139" s="1"/>
      <c r="BJ139" s="70" t="s">
        <v>1287</v>
      </c>
      <c r="BK139" s="57" t="s">
        <v>1287</v>
      </c>
      <c r="BL139" s="57" t="s">
        <v>1287</v>
      </c>
      <c r="BM139" s="57" t="s">
        <v>1287</v>
      </c>
      <c r="BN139" s="57" t="s">
        <v>1287</v>
      </c>
      <c r="BO139" s="57" t="s">
        <v>1287</v>
      </c>
      <c r="BP139" s="57" t="s">
        <v>1287</v>
      </c>
      <c r="BQ139" s="57" t="s">
        <v>1287</v>
      </c>
      <c r="BR139" s="57" t="s">
        <v>1287</v>
      </c>
      <c r="BS139" s="57" t="s">
        <v>1287</v>
      </c>
      <c r="BT139" s="57" t="s">
        <v>1287</v>
      </c>
      <c r="BU139" s="57" t="s">
        <v>1287</v>
      </c>
      <c r="BV139" s="70">
        <f t="shared" si="900"/>
        <v>45</v>
      </c>
      <c r="BW139" s="71" t="str">
        <f t="shared" si="901"/>
        <v>-</v>
      </c>
      <c r="BX139" s="72">
        <f t="shared" si="902"/>
        <v>78</v>
      </c>
      <c r="BY139" s="71">
        <f t="shared" si="903"/>
        <v>107</v>
      </c>
      <c r="BZ139" s="72">
        <f t="shared" si="904"/>
        <v>113</v>
      </c>
      <c r="CA139" s="71" t="str">
        <f t="shared" si="905"/>
        <v>-</v>
      </c>
      <c r="CB139" s="72">
        <f t="shared" si="906"/>
        <v>159</v>
      </c>
      <c r="CC139" s="71">
        <f t="shared" si="907"/>
        <v>195</v>
      </c>
      <c r="CD139" s="72">
        <f t="shared" si="908"/>
        <v>203</v>
      </c>
      <c r="CE139" s="71">
        <f t="shared" si="909"/>
        <v>245</v>
      </c>
      <c r="CF139" s="72">
        <f t="shared" si="910"/>
        <v>289</v>
      </c>
      <c r="CG139" s="71">
        <f t="shared" si="911"/>
        <v>322</v>
      </c>
      <c r="CH139" s="70">
        <f t="shared" si="912"/>
        <v>71</v>
      </c>
      <c r="CI139" s="71" t="str">
        <f t="shared" si="913"/>
        <v>-</v>
      </c>
      <c r="CJ139" s="72">
        <f t="shared" si="914"/>
        <v>106</v>
      </c>
      <c r="CK139" s="72">
        <f t="shared" si="915"/>
        <v>112</v>
      </c>
      <c r="CL139" s="72">
        <f t="shared" si="916"/>
        <v>148</v>
      </c>
      <c r="CM139" s="72" t="str">
        <f t="shared" si="917"/>
        <v>-</v>
      </c>
      <c r="CN139" s="72">
        <f t="shared" si="918"/>
        <v>182</v>
      </c>
      <c r="CO139" s="72">
        <f t="shared" si="919"/>
        <v>197</v>
      </c>
      <c r="CP139" s="72">
        <f t="shared" si="920"/>
        <v>241</v>
      </c>
      <c r="CQ139" s="72">
        <f t="shared" si="921"/>
        <v>285</v>
      </c>
      <c r="CR139" s="72">
        <f t="shared" si="922"/>
        <v>321</v>
      </c>
      <c r="CS139" s="72">
        <f t="shared" si="923"/>
        <v>334</v>
      </c>
      <c r="CT139" s="23" t="e">
        <f t="shared" si="924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97"/>
        <v>agtr2_human_5UNH</v>
      </c>
      <c r="B140" s="3" t="s">
        <v>159</v>
      </c>
      <c r="C140" s="3" t="s">
        <v>1395</v>
      </c>
      <c r="D140" s="3" t="str">
        <f>IFERROR(MID(VLOOKUP($B140,Seqs!$A:$B,2,0),E140,1),"")</f>
        <v>D</v>
      </c>
      <c r="E140" s="3">
        <v>45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K</v>
      </c>
      <c r="M140" s="3">
        <v>77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Y</v>
      </c>
      <c r="AC140" s="3">
        <v>162</v>
      </c>
      <c r="AD140" s="3" t="str">
        <f>IFERROR(MID(VLOOKUP($B140,Seqs!$A:$B,2,0),AE140,1),"")</f>
        <v>R</v>
      </c>
      <c r="AE140" s="3">
        <v>182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Y</v>
      </c>
      <c r="AK140" s="3">
        <v>204</v>
      </c>
      <c r="AL140" s="3" t="str">
        <f>IFERROR(MID(VLOOKUP($B140,Seqs!$A:$B,2,0),AM140,1),"")</f>
        <v>T</v>
      </c>
      <c r="AM140" s="3">
        <v>241</v>
      </c>
      <c r="AN140" s="3" t="str">
        <f>IFERROR(MID(VLOOKUP($B140,Seqs!$A:$B,2,0),AO140,1),"")</f>
        <v>G</v>
      </c>
      <c r="AO140" s="3">
        <v>245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V</v>
      </c>
      <c r="AU140" s="3">
        <v>321</v>
      </c>
      <c r="AV140" s="3" t="str">
        <f>IFERROR(MID(VLOOKUP($B140,Seqs!$A:$B,2,0),AW140,1),"")</f>
        <v>G</v>
      </c>
      <c r="AW140" s="3">
        <v>322</v>
      </c>
      <c r="AX140" s="3" t="str">
        <f>IFERROR(MID(VLOOKUP($B140,Seqs!$A:$B,2,0),AY140,1),"")</f>
        <v>V</v>
      </c>
      <c r="AY140" s="3">
        <v>332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si="898"/>
        <v>1</v>
      </c>
      <c r="BC140" s="23">
        <f t="shared" si="899"/>
        <v>247</v>
      </c>
      <c r="BD140" s="2" t="s">
        <v>23</v>
      </c>
      <c r="BE140" s="3" t="s">
        <v>1291</v>
      </c>
      <c r="BF140" s="119">
        <v>2.9</v>
      </c>
      <c r="BG140" s="49" t="s">
        <v>1377</v>
      </c>
      <c r="BH140" s="49" t="s">
        <v>1281</v>
      </c>
      <c r="BI140" s="1"/>
      <c r="BJ140" s="70" t="s">
        <v>1287</v>
      </c>
      <c r="BK140" s="57" t="s">
        <v>1287</v>
      </c>
      <c r="BL140" s="57" t="s">
        <v>1287</v>
      </c>
      <c r="BM140" s="57" t="s">
        <v>1287</v>
      </c>
      <c r="BN140" s="57" t="s">
        <v>1287</v>
      </c>
      <c r="BO140" s="57" t="s">
        <v>1287</v>
      </c>
      <c r="BP140" s="57" t="s">
        <v>1287</v>
      </c>
      <c r="BQ140" s="57" t="s">
        <v>1287</v>
      </c>
      <c r="BR140" s="57" t="s">
        <v>1287</v>
      </c>
      <c r="BS140" s="57" t="s">
        <v>1287</v>
      </c>
      <c r="BT140" s="57" t="s">
        <v>1287</v>
      </c>
      <c r="BU140" s="57" t="s">
        <v>1287</v>
      </c>
      <c r="BV140" s="70">
        <f t="shared" si="900"/>
        <v>45</v>
      </c>
      <c r="BW140" s="71" t="str">
        <f t="shared" si="901"/>
        <v>-</v>
      </c>
      <c r="BX140" s="72">
        <f t="shared" si="902"/>
        <v>77</v>
      </c>
      <c r="BY140" s="71">
        <f t="shared" si="903"/>
        <v>107</v>
      </c>
      <c r="BZ140" s="72">
        <f t="shared" si="904"/>
        <v>113</v>
      </c>
      <c r="CA140" s="71" t="str">
        <f t="shared" si="905"/>
        <v>-</v>
      </c>
      <c r="CB140" s="72">
        <f t="shared" si="906"/>
        <v>162</v>
      </c>
      <c r="CC140" s="71">
        <f t="shared" si="907"/>
        <v>195</v>
      </c>
      <c r="CD140" s="72">
        <f t="shared" si="908"/>
        <v>204</v>
      </c>
      <c r="CE140" s="71">
        <f t="shared" si="909"/>
        <v>245</v>
      </c>
      <c r="CF140" s="72">
        <f t="shared" si="910"/>
        <v>289</v>
      </c>
      <c r="CG140" s="71">
        <f t="shared" si="911"/>
        <v>322</v>
      </c>
      <c r="CH140" s="70">
        <f t="shared" si="912"/>
        <v>70</v>
      </c>
      <c r="CI140" s="71" t="str">
        <f t="shared" si="913"/>
        <v>-</v>
      </c>
      <c r="CJ140" s="72">
        <f t="shared" si="914"/>
        <v>106</v>
      </c>
      <c r="CK140" s="72">
        <f t="shared" si="915"/>
        <v>112</v>
      </c>
      <c r="CL140" s="72">
        <f t="shared" si="916"/>
        <v>148</v>
      </c>
      <c r="CM140" s="72" t="str">
        <f t="shared" si="917"/>
        <v>-</v>
      </c>
      <c r="CN140" s="72">
        <f t="shared" si="918"/>
        <v>182</v>
      </c>
      <c r="CO140" s="72">
        <f t="shared" si="919"/>
        <v>197</v>
      </c>
      <c r="CP140" s="72">
        <f t="shared" si="920"/>
        <v>241</v>
      </c>
      <c r="CQ140" s="72">
        <f t="shared" si="921"/>
        <v>285</v>
      </c>
      <c r="CR140" s="72">
        <f t="shared" si="922"/>
        <v>321</v>
      </c>
      <c r="CS140" s="72">
        <f t="shared" si="923"/>
        <v>332</v>
      </c>
      <c r="CT140" s="23" t="e">
        <f t="shared" si="924"/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ref="A141" si="925">CONCATENATE(B141,"_",C141)</f>
        <v>agtr2_human_5XJM</v>
      </c>
      <c r="B141" s="3" t="s">
        <v>159</v>
      </c>
      <c r="C141" s="3" t="s">
        <v>1511</v>
      </c>
      <c r="D141" s="3" t="str">
        <f>IFERROR(MID(VLOOKUP($B141,Seqs!$A:$B,2,0),E141,1),"")</f>
        <v>A</v>
      </c>
      <c r="E141" s="3">
        <v>46</v>
      </c>
      <c r="F141" s="3" t="str">
        <f>IFERROR(MID(VLOOKUP($B141,Seqs!$A:$B,2,0),G141,1),"")</f>
        <v>K</v>
      </c>
      <c r="G141" s="3">
        <v>73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V</v>
      </c>
      <c r="M141" s="3">
        <v>78</v>
      </c>
      <c r="N141" s="3" t="str">
        <f>IFERROR(MID(VLOOKUP($B141,Seqs!$A:$B,2,0),O141,1),"")</f>
        <v>Y</v>
      </c>
      <c r="O141" s="3">
        <v>106</v>
      </c>
      <c r="P141" s="3" t="str">
        <f>IFERROR(MID(VLOOKUP($B141,Seqs!$A:$B,2,0),Q141,1),"")</f>
        <v>R</v>
      </c>
      <c r="Q141" s="3">
        <v>107</v>
      </c>
      <c r="R141" s="3" t="str">
        <f>IFERROR(MID(VLOOKUP($B141,Seqs!$A:$B,2,0),S141,1),"")</f>
        <v>F</v>
      </c>
      <c r="S141" s="3">
        <v>112</v>
      </c>
      <c r="T141" s="3" t="str">
        <f>IFERROR(MID(VLOOKUP($B141,Seqs!$A:$B,2,0),U141,1),"")</f>
        <v>G</v>
      </c>
      <c r="U141" s="3">
        <v>113</v>
      </c>
      <c r="V141" s="3" t="str">
        <f>IFERROR(MID(VLOOKUP($B141,Seqs!$A:$B,2,0),W141,1),"")</f>
        <v>Y</v>
      </c>
      <c r="W141" s="3">
        <v>148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R</v>
      </c>
      <c r="AC141" s="3">
        <v>155</v>
      </c>
      <c r="AD141" s="3" t="str">
        <f>IFERROR(MID(VLOOKUP($B141,Seqs!$A:$B,2,0),AE141,1),"")</f>
        <v>F</v>
      </c>
      <c r="AE141" s="3">
        <v>181</v>
      </c>
      <c r="AF141" s="3" t="str">
        <f>IFERROR(MID(VLOOKUP($B141,Seqs!$A:$B,2,0),AG141,1),"")</f>
        <v>C</v>
      </c>
      <c r="AG141" s="3">
        <v>195</v>
      </c>
      <c r="AH141" s="3" t="str">
        <f>IFERROR(MID(VLOOKUP($B141,Seqs!$A:$B,2,0),AI141,1),"")</f>
        <v>M</v>
      </c>
      <c r="AI141" s="3">
        <v>197</v>
      </c>
      <c r="AJ141" s="3" t="str">
        <f>IFERROR(MID(VLOOKUP($B141,Seqs!$A:$B,2,0),AK141,1),"")</f>
        <v>K</v>
      </c>
      <c r="AK141" s="3">
        <v>203</v>
      </c>
      <c r="AL141" s="3" t="str">
        <f>IFERROR(MID(VLOOKUP($B141,Seqs!$A:$B,2,0),AM141,1),"")</f>
        <v>N</v>
      </c>
      <c r="AM141" s="3">
        <v>242</v>
      </c>
      <c r="AN141" s="3" t="str">
        <f>IFERROR(MID(VLOOKUP($B141,Seqs!$A:$B,2,0),AO141,1),"")</f>
        <v>N</v>
      </c>
      <c r="AO141" s="3">
        <v>247</v>
      </c>
      <c r="AP141" s="3" t="str">
        <f>IFERROR(MID(VLOOKUP($B141,Seqs!$A:$B,2,0),AQ141,1),"")</f>
        <v>G</v>
      </c>
      <c r="AQ141" s="3">
        <v>285</v>
      </c>
      <c r="AR141" s="3" t="str">
        <f>IFERROR(MID(VLOOKUP($B141,Seqs!$A:$B,2,0),AS141,1),"")</f>
        <v>S</v>
      </c>
      <c r="AS141" s="3">
        <v>289</v>
      </c>
      <c r="AT141" s="3" t="str">
        <f>IFERROR(MID(VLOOKUP($B141,Seqs!$A:$B,2,0),AU141,1),"")</f>
        <v>F</v>
      </c>
      <c r="AU141" s="3">
        <v>320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7" t="str">
        <f>VLOOKUP(B141,Classification!A:D,2,0)</f>
        <v>A</v>
      </c>
      <c r="BA141" s="94" t="str">
        <f>VLOOKUP(B141,Classification!A:D,4,0)</f>
        <v>Angiotensin</v>
      </c>
      <c r="BB141" s="27" t="b">
        <f t="shared" ref="BB141" si="926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23">
        <f t="shared" ref="BC141" si="927">_xlfn.AGGREGATE(9,6,CH141:CS141)-_xlfn.AGGREGATE(9,6,BV141:CG141)+12</f>
        <v>243</v>
      </c>
      <c r="BD141" s="2" t="s">
        <v>23</v>
      </c>
      <c r="BE141" s="3" t="s">
        <v>1291</v>
      </c>
      <c r="BF141" s="119">
        <v>3.2</v>
      </c>
      <c r="BG141" s="49" t="s">
        <v>1</v>
      </c>
      <c r="BH141" s="49" t="s">
        <v>1</v>
      </c>
      <c r="BI141" s="1"/>
      <c r="BJ141" s="70" t="s">
        <v>1287</v>
      </c>
      <c r="BK141" s="57" t="s">
        <v>1287</v>
      </c>
      <c r="BL141" s="57" t="s">
        <v>1287</v>
      </c>
      <c r="BM141" s="57" t="s">
        <v>1287</v>
      </c>
      <c r="BN141" s="57" t="s">
        <v>1287</v>
      </c>
      <c r="BO141" s="57" t="s">
        <v>1287</v>
      </c>
      <c r="BP141" s="57" t="s">
        <v>1287</v>
      </c>
      <c r="BQ141" s="57" t="s">
        <v>1287</v>
      </c>
      <c r="BR141" s="57" t="s">
        <v>1287</v>
      </c>
      <c r="BS141" s="57" t="s">
        <v>1287</v>
      </c>
      <c r="BT141" s="57" t="s">
        <v>1287</v>
      </c>
      <c r="BU141" s="57" t="s">
        <v>1287</v>
      </c>
      <c r="BV141" s="70">
        <f t="shared" ref="BV141" si="928">E141</f>
        <v>46</v>
      </c>
      <c r="BW141" s="71" t="str">
        <f t="shared" ref="BW141" si="929">I141</f>
        <v>-</v>
      </c>
      <c r="BX141" s="72">
        <f t="shared" ref="BX141" si="930">M141</f>
        <v>78</v>
      </c>
      <c r="BY141" s="71">
        <f t="shared" ref="BY141" si="931">Q141</f>
        <v>107</v>
      </c>
      <c r="BZ141" s="72">
        <f t="shared" ref="BZ141" si="932">U141</f>
        <v>113</v>
      </c>
      <c r="CA141" s="71" t="str">
        <f t="shared" ref="CA141" si="933">Y141</f>
        <v>-</v>
      </c>
      <c r="CB141" s="72">
        <f t="shared" ref="CB141" si="934">AC141</f>
        <v>155</v>
      </c>
      <c r="CC141" s="71">
        <f t="shared" ref="CC141" si="935">AG141</f>
        <v>195</v>
      </c>
      <c r="CD141" s="72">
        <f t="shared" ref="CD141" si="936">AK141</f>
        <v>203</v>
      </c>
      <c r="CE141" s="71">
        <f t="shared" ref="CE141" si="937">AO141</f>
        <v>247</v>
      </c>
      <c r="CF141" s="72">
        <f t="shared" ref="CF141" si="938">AS141</f>
        <v>289</v>
      </c>
      <c r="CG141" s="71" t="str">
        <f t="shared" ref="CG141" si="939">AW141</f>
        <v>-</v>
      </c>
      <c r="CH141" s="70">
        <f t="shared" ref="CH141" si="940">G141</f>
        <v>73</v>
      </c>
      <c r="CI141" s="71" t="str">
        <f t="shared" ref="CI141" si="941">K141</f>
        <v>-</v>
      </c>
      <c r="CJ141" s="72">
        <f t="shared" ref="CJ141" si="942">O141</f>
        <v>106</v>
      </c>
      <c r="CK141" s="72">
        <f t="shared" ref="CK141" si="943">S141</f>
        <v>112</v>
      </c>
      <c r="CL141" s="72">
        <f t="shared" ref="CL141" si="944">W141</f>
        <v>148</v>
      </c>
      <c r="CM141" s="72" t="str">
        <f t="shared" ref="CM141" si="945">AA141</f>
        <v>-</v>
      </c>
      <c r="CN141" s="72">
        <f t="shared" ref="CN141" si="946">AE141</f>
        <v>181</v>
      </c>
      <c r="CO141" s="72">
        <f t="shared" ref="CO141" si="947">AI141</f>
        <v>197</v>
      </c>
      <c r="CP141" s="72">
        <f t="shared" ref="CP141" si="948">AM141</f>
        <v>242</v>
      </c>
      <c r="CQ141" s="72">
        <f t="shared" ref="CQ141" si="949">AQ141</f>
        <v>285</v>
      </c>
      <c r="CR141" s="72">
        <f t="shared" ref="CR141" si="950">AU141</f>
        <v>320</v>
      </c>
      <c r="CS141" s="72" t="str">
        <f t="shared" ref="CS141" si="951">AY141</f>
        <v>-</v>
      </c>
      <c r="CT141" s="23" t="e">
        <f t="shared" ref="CT141" si="952">M141-K141</f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97"/>
        <v>apj_human__wt</v>
      </c>
      <c r="B142" s="3" t="s">
        <v>160</v>
      </c>
      <c r="C142" s="3" t="s">
        <v>100</v>
      </c>
      <c r="D142" s="3" t="str">
        <f>IFERROR(MID(VLOOKUP($B142,Seqs!$A:$B,2,0),E142,1),"")</f>
        <v>A</v>
      </c>
      <c r="E142" s="3">
        <v>29</v>
      </c>
      <c r="F142" s="3" t="str">
        <f>IFERROR(MID(VLOOKUP($B142,Seqs!$A:$B,2,0),G142,1),"")</f>
        <v>S</v>
      </c>
      <c r="G142" s="3">
        <v>56</v>
      </c>
      <c r="H142" s="3" t="str">
        <f>IFERROR(MID(VLOOKUP($B142,Seqs!$A:$B,2,0),I142,1),"")</f>
        <v>S</v>
      </c>
      <c r="I142" s="23">
        <v>57</v>
      </c>
      <c r="J142" s="3" t="str">
        <f>IFERROR(MID(VLOOKUP($B142,Seqs!$A:$B,2,0),K142,1),"")</f>
        <v>R</v>
      </c>
      <c r="K142" s="23">
        <v>61</v>
      </c>
      <c r="L142" s="3" t="str">
        <f>IFERROR(MID(VLOOKUP($B142,Seqs!$A:$B,2,0),M142,1),"")</f>
        <v>R</v>
      </c>
      <c r="M142" s="3">
        <v>62</v>
      </c>
      <c r="N142" s="3" t="str">
        <f>IFERROR(MID(VLOOKUP($B142,Seqs!$A:$B,2,0),O142,1),"")</f>
        <v>D</v>
      </c>
      <c r="O142" s="3">
        <v>92</v>
      </c>
      <c r="P142" s="3" t="str">
        <f>IFERROR(MID(VLOOKUP($B142,Seqs!$A:$B,2,0),Q142,1),"")</f>
        <v>D</v>
      </c>
      <c r="Q142" s="3">
        <v>94</v>
      </c>
      <c r="R142" s="3" t="str">
        <f>IFERROR(MID(VLOOKUP($B142,Seqs!$A:$B,2,0),S142,1),"")</f>
        <v>F</v>
      </c>
      <c r="S142" s="3">
        <v>97</v>
      </c>
      <c r="T142" s="3" t="str">
        <f>IFERROR(MID(VLOOKUP($B142,Seqs!$A:$B,2,0),U142,1),"")</f>
        <v>G</v>
      </c>
      <c r="U142" s="3">
        <v>98</v>
      </c>
      <c r="V142" s="3" t="str">
        <f>IFERROR(MID(VLOOKUP($B142,Seqs!$A:$B,2,0),W142,1),"")</f>
        <v>R</v>
      </c>
      <c r="W142" s="3">
        <v>133</v>
      </c>
      <c r="X142" s="3" t="str">
        <f>IFERROR(MID(VLOOKUP($B142,Seqs!$A:$B,2,0),Y142,1),"")</f>
        <v>P</v>
      </c>
      <c r="Y142" s="3">
        <v>134</v>
      </c>
      <c r="Z142" s="3" t="str">
        <f>IFERROR(MID(VLOOKUP($B142,Seqs!$A:$B,2,0),AA142,1),"")</f>
        <v>R</v>
      </c>
      <c r="AA142" s="3">
        <v>141</v>
      </c>
      <c r="AB142" s="3" t="str">
        <f>IFERROR(MID(VLOOKUP($B142,Seqs!$A:$B,2,0),AC142,1),"")</f>
        <v>L</v>
      </c>
      <c r="AC142" s="3">
        <v>142</v>
      </c>
      <c r="AD142" s="3" t="str">
        <f>IFERROR(MID(VLOOKUP($B142,Seqs!$A:$B,2,0),AE142,1),"")</f>
        <v>R</v>
      </c>
      <c r="AE142" s="3">
        <v>168</v>
      </c>
      <c r="AF142" s="3" t="str">
        <f>IFERROR(MID(VLOOKUP($B142,Seqs!$A:$B,2,0),AG142,1),"")</f>
        <v>C</v>
      </c>
      <c r="AG142" s="3">
        <v>181</v>
      </c>
      <c r="AH142" s="3" t="str">
        <f>IFERROR(MID(VLOOKUP($B142,Seqs!$A:$B,2,0),AI142,1),"")</f>
        <v>M</v>
      </c>
      <c r="AI142" s="3">
        <v>183</v>
      </c>
      <c r="AJ142" s="3" t="str">
        <f>IFERROR(MID(VLOOKUP($B142,Seqs!$A:$B,2,0),AK142,1),"")</f>
        <v>S</v>
      </c>
      <c r="AK142" s="3">
        <v>193</v>
      </c>
      <c r="AL142" s="3" t="str">
        <f>IFERROR(MID(VLOOKUP($B142,Seqs!$A:$B,2,0),AM142,1),"")</f>
        <v>E</v>
      </c>
      <c r="AM142" s="3">
        <v>235</v>
      </c>
      <c r="AN142" s="3" t="str">
        <f>IFERROR(MID(VLOOKUP($B142,Seqs!$A:$B,2,0),AO142,1),"")</f>
        <v>K</v>
      </c>
      <c r="AO142" s="3">
        <v>242</v>
      </c>
      <c r="AP142" s="3" t="str">
        <f>IFERROR(MID(VLOOKUP($B142,Seqs!$A:$B,2,0),AQ142,1),"")</f>
        <v>L</v>
      </c>
      <c r="AQ142" s="3">
        <v>276</v>
      </c>
      <c r="AR142" s="3" t="str">
        <f>IFERROR(MID(VLOOKUP($B142,Seqs!$A:$B,2,0),AS142,1),"")</f>
        <v>P</v>
      </c>
      <c r="AS142" s="3">
        <v>280</v>
      </c>
      <c r="AT142" s="3" t="str">
        <f>IFERROR(MID(VLOOKUP($B142,Seqs!$A:$B,2,0),AU142,1),"")</f>
        <v>F</v>
      </c>
      <c r="AU142" s="3">
        <v>312</v>
      </c>
      <c r="AV142" s="3" t="str">
        <f>IFERROR(MID(VLOOKUP($B142,Seqs!$A:$B,2,0),AW142,1),"")</f>
        <v>D</v>
      </c>
      <c r="AW142" s="3">
        <v>313</v>
      </c>
      <c r="AX142" s="3" t="str">
        <f>IFERROR(MID(VLOOKUP($B142,Seqs!$A:$B,2,0),AY142,1),"")</f>
        <v>G</v>
      </c>
      <c r="AY142" s="3">
        <v>327</v>
      </c>
      <c r="AZ142" s="77" t="str">
        <f>VLOOKUP(B142,Classification!A:D,2,0)</f>
        <v>A</v>
      </c>
      <c r="BA142" s="94" t="str">
        <f>VLOOKUP(B142,Classification!A:D,4,0)</f>
        <v>Apelin</v>
      </c>
      <c r="BB142" s="27" t="b">
        <f t="shared" si="898"/>
        <v>1</v>
      </c>
      <c r="BC142" s="23">
        <f t="shared" si="899"/>
        <v>268</v>
      </c>
      <c r="BD142" s="2"/>
      <c r="BE142" s="3" t="s">
        <v>23</v>
      </c>
      <c r="BF142" s="119" t="s">
        <v>23</v>
      </c>
      <c r="BG142" s="49" t="s">
        <v>1281</v>
      </c>
      <c r="BH142" s="49" t="s">
        <v>1281</v>
      </c>
      <c r="BI142" s="1"/>
      <c r="BJ142" s="70" t="s">
        <v>1287</v>
      </c>
      <c r="BK142" s="57" t="s">
        <v>1287</v>
      </c>
      <c r="BL142" s="57" t="s">
        <v>1287</v>
      </c>
      <c r="BM142" s="57" t="s">
        <v>1287</v>
      </c>
      <c r="BN142" s="57" t="s">
        <v>1287</v>
      </c>
      <c r="BO142" s="57" t="s">
        <v>1287</v>
      </c>
      <c r="BP142" s="57" t="s">
        <v>1287</v>
      </c>
      <c r="BQ142" s="57" t="s">
        <v>1287</v>
      </c>
      <c r="BR142" s="57" t="s">
        <v>1287</v>
      </c>
      <c r="BS142" s="57" t="s">
        <v>1287</v>
      </c>
      <c r="BT142" s="57" t="s">
        <v>1287</v>
      </c>
      <c r="BU142" s="57" t="s">
        <v>1287</v>
      </c>
      <c r="BV142" s="70">
        <f t="shared" si="900"/>
        <v>29</v>
      </c>
      <c r="BW142" s="71">
        <f t="shared" si="901"/>
        <v>57</v>
      </c>
      <c r="BX142" s="72">
        <f t="shared" si="902"/>
        <v>62</v>
      </c>
      <c r="BY142" s="71">
        <f t="shared" si="903"/>
        <v>94</v>
      </c>
      <c r="BZ142" s="72">
        <f t="shared" si="904"/>
        <v>98</v>
      </c>
      <c r="CA142" s="71">
        <f t="shared" si="905"/>
        <v>134</v>
      </c>
      <c r="CB142" s="72">
        <f t="shared" si="906"/>
        <v>142</v>
      </c>
      <c r="CC142" s="71">
        <f t="shared" si="907"/>
        <v>181</v>
      </c>
      <c r="CD142" s="72">
        <f t="shared" si="908"/>
        <v>193</v>
      </c>
      <c r="CE142" s="71">
        <f t="shared" si="909"/>
        <v>242</v>
      </c>
      <c r="CF142" s="72">
        <f t="shared" si="910"/>
        <v>280</v>
      </c>
      <c r="CG142" s="71">
        <f t="shared" si="911"/>
        <v>313</v>
      </c>
      <c r="CH142" s="70">
        <f t="shared" si="912"/>
        <v>56</v>
      </c>
      <c r="CI142" s="71">
        <f t="shared" si="913"/>
        <v>61</v>
      </c>
      <c r="CJ142" s="72">
        <f t="shared" si="914"/>
        <v>92</v>
      </c>
      <c r="CK142" s="72">
        <f t="shared" si="915"/>
        <v>97</v>
      </c>
      <c r="CL142" s="72">
        <f t="shared" si="916"/>
        <v>133</v>
      </c>
      <c r="CM142" s="72">
        <f t="shared" si="917"/>
        <v>141</v>
      </c>
      <c r="CN142" s="72">
        <f t="shared" si="918"/>
        <v>168</v>
      </c>
      <c r="CO142" s="72">
        <f t="shared" si="919"/>
        <v>183</v>
      </c>
      <c r="CP142" s="72">
        <f t="shared" si="920"/>
        <v>235</v>
      </c>
      <c r="CQ142" s="72">
        <f t="shared" si="921"/>
        <v>276</v>
      </c>
      <c r="CR142" s="72">
        <f t="shared" si="922"/>
        <v>312</v>
      </c>
      <c r="CS142" s="72">
        <f t="shared" si="923"/>
        <v>327</v>
      </c>
      <c r="CT142" s="23">
        <f t="shared" si="924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97"/>
        <v>apj_human_5VBL</v>
      </c>
      <c r="B143" s="3" t="s">
        <v>160</v>
      </c>
      <c r="C143" s="3" t="s">
        <v>1414</v>
      </c>
      <c r="D143" s="3" t="str">
        <f>IFERROR(MID(VLOOKUP($B143,Seqs!$A:$B,2,0),E143,1),"")</f>
        <v>A</v>
      </c>
      <c r="E143" s="3">
        <v>29</v>
      </c>
      <c r="F143" s="3" t="str">
        <f>IFERROR(MID(VLOOKUP($B143,Seqs!$A:$B,2,0),G143,1),"")</f>
        <v>S</v>
      </c>
      <c r="G143" s="3">
        <v>56</v>
      </c>
      <c r="H143" s="3" t="str">
        <f>IFERROR(MID(VLOOKUP($B143,Seqs!$A:$B,2,0),I143,1),"")</f>
        <v>S</v>
      </c>
      <c r="I143" s="23">
        <v>57</v>
      </c>
      <c r="J143" s="3" t="str">
        <f>IFERROR(MID(VLOOKUP($B143,Seqs!$A:$B,2,0),K143,1),"")</f>
        <v>R</v>
      </c>
      <c r="K143" s="23">
        <v>61</v>
      </c>
      <c r="L143" s="3" t="str">
        <f>IFERROR(MID(VLOOKUP($B143,Seqs!$A:$B,2,0),M143,1),"")</f>
        <v>R</v>
      </c>
      <c r="M143" s="3">
        <v>62</v>
      </c>
      <c r="N143" s="3" t="str">
        <f>IFERROR(MID(VLOOKUP($B143,Seqs!$A:$B,2,0),O143,1),"")</f>
        <v>D</v>
      </c>
      <c r="O143" s="3">
        <v>92</v>
      </c>
      <c r="P143" s="3" t="str">
        <f>IFERROR(MID(VLOOKUP($B143,Seqs!$A:$B,2,0),Q143,1),"")</f>
        <v>D</v>
      </c>
      <c r="Q143" s="3">
        <v>94</v>
      </c>
      <c r="R143" s="3" t="str">
        <f>IFERROR(MID(VLOOKUP($B143,Seqs!$A:$B,2,0),S143,1),"")</f>
        <v>F</v>
      </c>
      <c r="S143" s="3">
        <v>97</v>
      </c>
      <c r="T143" s="3" t="str">
        <f>IFERROR(MID(VLOOKUP($B143,Seqs!$A:$B,2,0),U143,1),"")</f>
        <v>G</v>
      </c>
      <c r="U143" s="3">
        <v>98</v>
      </c>
      <c r="V143" s="3" t="str">
        <f>IFERROR(MID(VLOOKUP($B143,Seqs!$A:$B,2,0),W143,1),"")</f>
        <v>R</v>
      </c>
      <c r="W143" s="3">
        <v>133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R</v>
      </c>
      <c r="AC143" s="3">
        <v>141</v>
      </c>
      <c r="AD143" s="3" t="str">
        <f>IFERROR(MID(VLOOKUP($B143,Seqs!$A:$B,2,0),AE143,1),"")</f>
        <v>R</v>
      </c>
      <c r="AE143" s="3">
        <v>168</v>
      </c>
      <c r="AF143" s="3" t="str">
        <f>IFERROR(MID(VLOOKUP($B143,Seqs!$A:$B,2,0),AG143,1),"")</f>
        <v>C</v>
      </c>
      <c r="AG143" s="3">
        <v>181</v>
      </c>
      <c r="AH143" s="3" t="str">
        <f>IFERROR(MID(VLOOKUP($B143,Seqs!$A:$B,2,0),AI143,1),"")</f>
        <v>M</v>
      </c>
      <c r="AI143" s="3">
        <v>183</v>
      </c>
      <c r="AJ143" s="3" t="str">
        <f>IFERROR(MID(VLOOKUP($B143,Seqs!$A:$B,2,0),AK143,1),"")</f>
        <v>S</v>
      </c>
      <c r="AK143" s="3">
        <v>193</v>
      </c>
      <c r="AL143" s="3" t="str">
        <f>IFERROR(MID(VLOOKUP($B143,Seqs!$A:$B,2,0),AM143,1),"")</f>
        <v>A</v>
      </c>
      <c r="AM143" s="3">
        <v>229</v>
      </c>
      <c r="AN143" s="3" t="str">
        <f>IFERROR(MID(VLOOKUP($B143,Seqs!$A:$B,2,0),AO143,1),"")</f>
        <v>R</v>
      </c>
      <c r="AO143" s="3">
        <v>244</v>
      </c>
      <c r="AP143" s="3" t="str">
        <f>IFERROR(MID(VLOOKUP($B143,Seqs!$A:$B,2,0),AQ143,1),"")</f>
        <v>L</v>
      </c>
      <c r="AQ143" s="3">
        <v>276</v>
      </c>
      <c r="AR143" s="3" t="str">
        <f>IFERROR(MID(VLOOKUP($B143,Seqs!$A:$B,2,0),AS143,1),"")</f>
        <v>P</v>
      </c>
      <c r="AS143" s="3">
        <v>280</v>
      </c>
      <c r="AT143" s="3" t="str">
        <f>IFERROR(MID(VLOOKUP($B143,Seqs!$A:$B,2,0),AU143,1),"")</f>
        <v>F</v>
      </c>
      <c r="AU143" s="3">
        <v>312</v>
      </c>
      <c r="AV143" s="3" t="str">
        <f>IFERROR(MID(VLOOKUP($B143,Seqs!$A:$B,2,0),AW143,1),"")</f>
        <v>D</v>
      </c>
      <c r="AW143" s="3">
        <v>313</v>
      </c>
      <c r="AX143" s="3" t="str">
        <f>IFERROR(MID(VLOOKUP($B143,Seqs!$A:$B,2,0),AY143,1),"")</f>
        <v>G</v>
      </c>
      <c r="AY143" s="3">
        <v>327</v>
      </c>
      <c r="AZ143" s="77" t="str">
        <f>VLOOKUP(B143,Classification!A:D,2,0)</f>
        <v>A</v>
      </c>
      <c r="BA143" s="94" t="str">
        <f>VLOOKUP(B143,Classification!A:D,4,0)</f>
        <v>Apelin</v>
      </c>
      <c r="BB143" s="27" t="b">
        <f t="shared" si="898"/>
        <v>1</v>
      </c>
      <c r="BC143" s="23">
        <f t="shared" si="899"/>
        <v>254</v>
      </c>
      <c r="BD143" s="2" t="s">
        <v>1376</v>
      </c>
      <c r="BE143" s="3" t="s">
        <v>1374</v>
      </c>
      <c r="BF143" s="119">
        <v>2.6</v>
      </c>
      <c r="BG143" s="49" t="s">
        <v>1281</v>
      </c>
      <c r="BH143" s="49" t="s">
        <v>1281</v>
      </c>
      <c r="BI143" s="1"/>
      <c r="BJ143" s="70" t="s">
        <v>1287</v>
      </c>
      <c r="BK143" s="57" t="s">
        <v>1287</v>
      </c>
      <c r="BL143" s="57" t="s">
        <v>1287</v>
      </c>
      <c r="BM143" s="57" t="s">
        <v>1287</v>
      </c>
      <c r="BN143" s="57" t="s">
        <v>1287</v>
      </c>
      <c r="BO143" s="57" t="s">
        <v>1287</v>
      </c>
      <c r="BP143" s="57" t="s">
        <v>1287</v>
      </c>
      <c r="BQ143" s="57" t="s">
        <v>1287</v>
      </c>
      <c r="BR143" s="57" t="s">
        <v>1287</v>
      </c>
      <c r="BS143" s="57" t="s">
        <v>1287</v>
      </c>
      <c r="BT143" s="57" t="s">
        <v>1287</v>
      </c>
      <c r="BU143" s="57" t="s">
        <v>1287</v>
      </c>
      <c r="BV143" s="70">
        <f t="shared" si="900"/>
        <v>29</v>
      </c>
      <c r="BW143" s="71">
        <f t="shared" si="901"/>
        <v>57</v>
      </c>
      <c r="BX143" s="72">
        <f t="shared" si="902"/>
        <v>62</v>
      </c>
      <c r="BY143" s="71">
        <f t="shared" si="903"/>
        <v>94</v>
      </c>
      <c r="BZ143" s="72">
        <f t="shared" si="904"/>
        <v>98</v>
      </c>
      <c r="CA143" s="71" t="str">
        <f t="shared" si="905"/>
        <v>-</v>
      </c>
      <c r="CB143" s="72">
        <f t="shared" si="906"/>
        <v>141</v>
      </c>
      <c r="CC143" s="71">
        <f t="shared" si="907"/>
        <v>181</v>
      </c>
      <c r="CD143" s="72">
        <f t="shared" si="908"/>
        <v>193</v>
      </c>
      <c r="CE143" s="71">
        <f t="shared" si="909"/>
        <v>244</v>
      </c>
      <c r="CF143" s="72">
        <f t="shared" si="910"/>
        <v>280</v>
      </c>
      <c r="CG143" s="71">
        <f t="shared" si="911"/>
        <v>313</v>
      </c>
      <c r="CH143" s="70">
        <f t="shared" si="912"/>
        <v>56</v>
      </c>
      <c r="CI143" s="71">
        <f t="shared" si="913"/>
        <v>61</v>
      </c>
      <c r="CJ143" s="72">
        <f t="shared" si="914"/>
        <v>92</v>
      </c>
      <c r="CK143" s="72">
        <f t="shared" si="915"/>
        <v>97</v>
      </c>
      <c r="CL143" s="72">
        <f t="shared" si="916"/>
        <v>133</v>
      </c>
      <c r="CM143" s="72" t="str">
        <f t="shared" si="917"/>
        <v>-</v>
      </c>
      <c r="CN143" s="72">
        <f t="shared" si="918"/>
        <v>168</v>
      </c>
      <c r="CO143" s="72">
        <f t="shared" si="919"/>
        <v>183</v>
      </c>
      <c r="CP143" s="72">
        <f t="shared" si="920"/>
        <v>229</v>
      </c>
      <c r="CQ143" s="72">
        <f t="shared" si="921"/>
        <v>276</v>
      </c>
      <c r="CR143" s="72">
        <f t="shared" si="922"/>
        <v>312</v>
      </c>
      <c r="CS143" s="72">
        <f t="shared" si="923"/>
        <v>327</v>
      </c>
      <c r="CT143" s="23">
        <f t="shared" si="924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97"/>
        <v>c5ar1_human__wt</v>
      </c>
      <c r="B144" s="3" t="s">
        <v>165</v>
      </c>
      <c r="C144" s="3" t="s">
        <v>100</v>
      </c>
      <c r="D144" s="3" t="str">
        <f>IFERROR(MID(VLOOKUP($B144,Seqs!$A:$B,2,0),E144,1),"")</f>
        <v>R</v>
      </c>
      <c r="E144" s="3">
        <v>34</v>
      </c>
      <c r="F144" s="3" t="str">
        <f>IFERROR(MID(VLOOKUP($B144,Seqs!$A:$B,2,0),G144,1),"")</f>
        <v>E</v>
      </c>
      <c r="G144" s="3">
        <v>65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69</v>
      </c>
      <c r="N144" s="3" t="str">
        <f>IFERROR(MID(VLOOKUP($B144,Seqs!$A:$B,2,0),O144,1),"")</f>
        <v>H</v>
      </c>
      <c r="O144" s="3">
        <v>99</v>
      </c>
      <c r="P144" s="3" t="str">
        <f>IFERROR(MID(VLOOKUP($B144,Seqs!$A:$B,2,0),Q144,1),"")</f>
        <v>H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K</v>
      </c>
      <c r="W144" s="3">
        <v>140</v>
      </c>
      <c r="X144" s="3" t="str">
        <f>IFERROR(MID(VLOOKUP($B144,Seqs!$A:$B,2,0),Y144,1),"")</f>
        <v>P</v>
      </c>
      <c r="Y144" s="3">
        <v>141</v>
      </c>
      <c r="Z144" s="3" t="str">
        <f>IFERROR(MID(VLOOKUP($B144,Seqs!$A:$B,2,0),AA144,1),"")</f>
        <v>R</v>
      </c>
      <c r="AA144" s="3">
        <v>148</v>
      </c>
      <c r="AB144" s="3" t="str">
        <f>IFERROR(MID(VLOOKUP($B144,Seqs!$A:$B,2,0),AC144,1),"")</f>
        <v>G</v>
      </c>
      <c r="AC144" s="3">
        <v>149</v>
      </c>
      <c r="AD144" s="3" t="str">
        <f>IFERROR(MID(VLOOKUP($B144,Seqs!$A:$B,2,0),AE144,1),"")</f>
        <v>R</v>
      </c>
      <c r="AE144" s="3">
        <v>175</v>
      </c>
      <c r="AF144" s="3" t="str">
        <f>IFERROR(MID(VLOOKUP($B144,Seqs!$A:$B,2,0),AG144,1),"")</f>
        <v>C</v>
      </c>
      <c r="AG144" s="3">
        <v>188</v>
      </c>
      <c r="AH144" s="3" t="str">
        <f>IFERROR(MID(VLOOKUP($B144,Seqs!$A:$B,2,0),AI144,1),"")</f>
        <v>V</v>
      </c>
      <c r="AI144" s="3">
        <v>190</v>
      </c>
      <c r="AJ144" s="3" t="str">
        <f>IFERROR(MID(VLOOKUP($B144,Seqs!$A:$B,2,0),AK144,1),"")</f>
        <v>D</v>
      </c>
      <c r="AK144" s="3">
        <v>195</v>
      </c>
      <c r="AL144" s="3" t="str">
        <f>IFERROR(MID(VLOOKUP($B144,Seqs!$A:$B,2,0),AM144,1),"")</f>
        <v>R</v>
      </c>
      <c r="AM144" s="3">
        <v>232</v>
      </c>
      <c r="AN144" s="3" t="str">
        <f>IFERROR(MID(VLOOKUP($B144,Seqs!$A:$B,2,0),AO144,1),"")</f>
        <v>T</v>
      </c>
      <c r="AO144" s="3">
        <v>238</v>
      </c>
      <c r="AP144" s="3" t="str">
        <f>IFERROR(MID(VLOOKUP($B144,Seqs!$A:$B,2,0),AQ144,1),"")</f>
        <v>L</v>
      </c>
      <c r="AQ144" s="3">
        <v>268</v>
      </c>
      <c r="AR144" s="3" t="str">
        <f>IFERROR(MID(VLOOKUP($B144,Seqs!$A:$B,2,0),AS144,1),"")</f>
        <v>S</v>
      </c>
      <c r="AS144" s="3">
        <v>272</v>
      </c>
      <c r="AT144" s="3" t="str">
        <f>IFERROR(MID(VLOOKUP($B144,Seqs!$A:$B,2,0),AU144,1),"")</f>
        <v>A</v>
      </c>
      <c r="AU144" s="3">
        <v>303</v>
      </c>
      <c r="AV144" s="3" t="str">
        <f>IFERROR(MID(VLOOKUP($B144,Seqs!$A:$B,2,0),AW144,1),"")</f>
        <v>G</v>
      </c>
      <c r="AW144" s="3">
        <v>304</v>
      </c>
      <c r="AX144" s="3" t="str">
        <f>IFERROR(MID(VLOOKUP($B144,Seqs!$A:$B,2,0),AY144,1),"")</f>
        <v>K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98"/>
        <v>1</v>
      </c>
      <c r="BC144" s="23">
        <f t="shared" si="899"/>
        <v>253</v>
      </c>
      <c r="BD144" s="2" t="s">
        <v>23</v>
      </c>
      <c r="BE144" s="3" t="s">
        <v>1374</v>
      </c>
      <c r="BF144" s="119" t="s">
        <v>23</v>
      </c>
      <c r="BI144" s="1"/>
      <c r="BJ144" s="70" t="s">
        <v>1287</v>
      </c>
      <c r="BK144" s="57" t="s">
        <v>1287</v>
      </c>
      <c r="BL144" s="57" t="s">
        <v>1287</v>
      </c>
      <c r="BM144" s="57" t="s">
        <v>1287</v>
      </c>
      <c r="BN144" s="57" t="s">
        <v>1287</v>
      </c>
      <c r="BO144" s="57" t="s">
        <v>1287</v>
      </c>
      <c r="BP144" s="57" t="s">
        <v>1287</v>
      </c>
      <c r="BQ144" s="57" t="s">
        <v>1287</v>
      </c>
      <c r="BR144" s="57" t="s">
        <v>1287</v>
      </c>
      <c r="BS144" s="57" t="s">
        <v>1287</v>
      </c>
      <c r="BT144" s="57" t="s">
        <v>1287</v>
      </c>
      <c r="BU144" s="57" t="s">
        <v>1287</v>
      </c>
      <c r="BV144" s="70">
        <f t="shared" si="900"/>
        <v>34</v>
      </c>
      <c r="BW144" s="71" t="str">
        <f t="shared" si="901"/>
        <v>-</v>
      </c>
      <c r="BX144" s="72">
        <f t="shared" si="902"/>
        <v>69</v>
      </c>
      <c r="BY144" s="71">
        <f t="shared" si="903"/>
        <v>101</v>
      </c>
      <c r="BZ144" s="72">
        <f t="shared" si="904"/>
        <v>105</v>
      </c>
      <c r="CA144" s="71">
        <f t="shared" si="905"/>
        <v>141</v>
      </c>
      <c r="CB144" s="72">
        <f t="shared" si="906"/>
        <v>149</v>
      </c>
      <c r="CC144" s="71">
        <f t="shared" si="907"/>
        <v>188</v>
      </c>
      <c r="CD144" s="72">
        <f t="shared" si="908"/>
        <v>195</v>
      </c>
      <c r="CE144" s="71">
        <f t="shared" si="909"/>
        <v>238</v>
      </c>
      <c r="CF144" s="72">
        <f t="shared" si="910"/>
        <v>272</v>
      </c>
      <c r="CG144" s="71">
        <f t="shared" si="911"/>
        <v>304</v>
      </c>
      <c r="CH144" s="70">
        <f t="shared" si="912"/>
        <v>65</v>
      </c>
      <c r="CI144" s="71" t="str">
        <f t="shared" si="913"/>
        <v>-</v>
      </c>
      <c r="CJ144" s="72">
        <f t="shared" si="914"/>
        <v>99</v>
      </c>
      <c r="CK144" s="72">
        <f t="shared" si="915"/>
        <v>104</v>
      </c>
      <c r="CL144" s="72">
        <f t="shared" si="916"/>
        <v>140</v>
      </c>
      <c r="CM144" s="72">
        <f t="shared" si="917"/>
        <v>148</v>
      </c>
      <c r="CN144" s="72">
        <f t="shared" si="918"/>
        <v>175</v>
      </c>
      <c r="CO144" s="72">
        <f t="shared" si="919"/>
        <v>190</v>
      </c>
      <c r="CP144" s="72">
        <f t="shared" si="920"/>
        <v>232</v>
      </c>
      <c r="CQ144" s="72">
        <f t="shared" si="921"/>
        <v>268</v>
      </c>
      <c r="CR144" s="72">
        <f t="shared" si="922"/>
        <v>303</v>
      </c>
      <c r="CS144" s="72">
        <f t="shared" si="923"/>
        <v>313</v>
      </c>
      <c r="CT144" s="23" t="e">
        <f t="shared" si="924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97"/>
        <v>c5ar1_human_5O9H</v>
      </c>
      <c r="B145" s="3" t="s">
        <v>165</v>
      </c>
      <c r="C145" s="3" t="s">
        <v>1479</v>
      </c>
      <c r="D145" s="3" t="str">
        <f>IFERROR(MID(VLOOKUP($B145,Seqs!$A:$B,2,0),E145,1),"")</f>
        <v>R</v>
      </c>
      <c r="E145" s="3">
        <v>34</v>
      </c>
      <c r="F145" s="3" t="str">
        <f>IFERROR(MID(VLOOKUP($B145,Seqs!$A:$B,2,0),G145,1),"")</f>
        <v>E</v>
      </c>
      <c r="G145" s="3">
        <v>65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69</v>
      </c>
      <c r="N145" s="3" t="str">
        <f>IFERROR(MID(VLOOKUP($B145,Seqs!$A:$B,2,0),O145,1),"")</f>
        <v>H</v>
      </c>
      <c r="O145" s="3">
        <v>99</v>
      </c>
      <c r="P145" s="3" t="str">
        <f>IFERROR(MID(VLOOKUP($B145,Seqs!$A:$B,2,0),Q145,1),"")</f>
        <v>H</v>
      </c>
      <c r="Q145" s="3">
        <v>101</v>
      </c>
      <c r="R145" s="3" t="str">
        <f>IFERROR(MID(VLOOKUP($B145,Seqs!$A:$B,2,0),S145,1),"")</f>
        <v>F</v>
      </c>
      <c r="S145" s="3">
        <v>104</v>
      </c>
      <c r="T145" s="3" t="str">
        <f>IFERROR(MID(VLOOKUP($B145,Seqs!$A:$B,2,0),U145,1),"")</f>
        <v>G</v>
      </c>
      <c r="U145" s="3">
        <v>105</v>
      </c>
      <c r="V145" s="3" t="str">
        <f>IFERROR(MID(VLOOKUP($B145,Seqs!$A:$B,2,0),W145,1),"")</f>
        <v>K</v>
      </c>
      <c r="W145" s="3">
        <v>140</v>
      </c>
      <c r="X145" s="3" t="str">
        <f>IFERROR(MID(VLOOKUP($B145,Seqs!$A:$B,2,0),Y145,1),"")</f>
        <v>P</v>
      </c>
      <c r="Y145" s="3">
        <v>141</v>
      </c>
      <c r="Z145" s="3" t="str">
        <f>IFERROR(MID(VLOOKUP($B145,Seqs!$A:$B,2,0),AA145,1),"")</f>
        <v>R</v>
      </c>
      <c r="AA145" s="3">
        <v>148</v>
      </c>
      <c r="AB145" s="3" t="str">
        <f>IFERROR(MID(VLOOKUP($B145,Seqs!$A:$B,2,0),AC145,1),"")</f>
        <v>G</v>
      </c>
      <c r="AC145" s="3">
        <v>149</v>
      </c>
      <c r="AD145" s="3" t="str">
        <f>IFERROR(MID(VLOOKUP($B145,Seqs!$A:$B,2,0),AE145,1),"")</f>
        <v>R</v>
      </c>
      <c r="AE145" s="3">
        <v>175</v>
      </c>
      <c r="AF145" s="3" t="str">
        <f>IFERROR(MID(VLOOKUP($B145,Seqs!$A:$B,2,0),AG145,1),"")</f>
        <v>C</v>
      </c>
      <c r="AG145" s="3">
        <v>188</v>
      </c>
      <c r="AH145" s="3" t="str">
        <f>IFERROR(MID(VLOOKUP($B145,Seqs!$A:$B,2,0),AI145,1),"")</f>
        <v>V</v>
      </c>
      <c r="AI145" s="3">
        <v>190</v>
      </c>
      <c r="AJ145" s="3" t="str">
        <f>IFERROR(MID(VLOOKUP($B145,Seqs!$A:$B,2,0),AK145,1),"")</f>
        <v>D</v>
      </c>
      <c r="AK145" s="3">
        <v>195</v>
      </c>
      <c r="AL145" s="3" t="str">
        <f>IFERROR(MID(VLOOKUP($B145,Seqs!$A:$B,2,0),AM145,1),"")</f>
        <v>R</v>
      </c>
      <c r="AM145" s="3">
        <v>232</v>
      </c>
      <c r="AN145" s="3" t="str">
        <f>IFERROR(MID(VLOOKUP($B145,Seqs!$A:$B,2,0),AO145,1),"")</f>
        <v>T</v>
      </c>
      <c r="AO145" s="3">
        <v>238</v>
      </c>
      <c r="AP145" s="3" t="str">
        <f>IFERROR(MID(VLOOKUP($B145,Seqs!$A:$B,2,0),AQ145,1),"")</f>
        <v>L</v>
      </c>
      <c r="AQ145" s="3">
        <v>268</v>
      </c>
      <c r="AR145" s="3" t="str">
        <f>IFERROR(MID(VLOOKUP($B145,Seqs!$A:$B,2,0),AS145,1),"")</f>
        <v>S</v>
      </c>
      <c r="AS145" s="3">
        <v>272</v>
      </c>
      <c r="AT145" s="3" t="str">
        <f>IFERROR(MID(VLOOKUP($B145,Seqs!$A:$B,2,0),AU145,1),"")</f>
        <v>F</v>
      </c>
      <c r="AU145" s="3">
        <v>307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898"/>
        <v>1</v>
      </c>
      <c r="BC145" s="23">
        <f t="shared" si="899"/>
        <v>248</v>
      </c>
      <c r="BD145" s="2" t="s">
        <v>1376</v>
      </c>
      <c r="BE145" s="3" t="s">
        <v>1374</v>
      </c>
      <c r="BF145" s="119">
        <v>2.7</v>
      </c>
      <c r="BG145" s="49" t="s">
        <v>1</v>
      </c>
      <c r="BH145" s="49" t="s">
        <v>1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900"/>
        <v>34</v>
      </c>
      <c r="BW145" s="71" t="str">
        <f t="shared" si="901"/>
        <v>-</v>
      </c>
      <c r="BX145" s="72">
        <f t="shared" si="902"/>
        <v>69</v>
      </c>
      <c r="BY145" s="71">
        <f t="shared" si="903"/>
        <v>101</v>
      </c>
      <c r="BZ145" s="72">
        <f t="shared" si="904"/>
        <v>105</v>
      </c>
      <c r="CA145" s="71">
        <f t="shared" si="905"/>
        <v>141</v>
      </c>
      <c r="CB145" s="72">
        <f t="shared" si="906"/>
        <v>149</v>
      </c>
      <c r="CC145" s="71">
        <f t="shared" si="907"/>
        <v>188</v>
      </c>
      <c r="CD145" s="72">
        <f t="shared" si="908"/>
        <v>195</v>
      </c>
      <c r="CE145" s="71">
        <f t="shared" si="909"/>
        <v>238</v>
      </c>
      <c r="CF145" s="72">
        <f t="shared" si="910"/>
        <v>272</v>
      </c>
      <c r="CG145" s="71" t="str">
        <f t="shared" si="911"/>
        <v>-</v>
      </c>
      <c r="CH145" s="70">
        <f t="shared" si="912"/>
        <v>65</v>
      </c>
      <c r="CI145" s="71" t="str">
        <f t="shared" si="913"/>
        <v>-</v>
      </c>
      <c r="CJ145" s="72">
        <f t="shared" si="914"/>
        <v>99</v>
      </c>
      <c r="CK145" s="72">
        <f t="shared" si="915"/>
        <v>104</v>
      </c>
      <c r="CL145" s="72">
        <f t="shared" si="916"/>
        <v>140</v>
      </c>
      <c r="CM145" s="72">
        <f t="shared" si="917"/>
        <v>148</v>
      </c>
      <c r="CN145" s="72">
        <f t="shared" si="918"/>
        <v>175</v>
      </c>
      <c r="CO145" s="72">
        <f t="shared" si="919"/>
        <v>190</v>
      </c>
      <c r="CP145" s="72">
        <f t="shared" si="920"/>
        <v>232</v>
      </c>
      <c r="CQ145" s="72">
        <f t="shared" si="921"/>
        <v>268</v>
      </c>
      <c r="CR145" s="72">
        <f t="shared" si="922"/>
        <v>307</v>
      </c>
      <c r="CS145" s="72" t="str">
        <f t="shared" si="923"/>
        <v>-</v>
      </c>
      <c r="CT145" s="23" t="e">
        <f t="shared" si="924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97"/>
        <v>c5ar1_human_6C1Q</v>
      </c>
      <c r="B146" s="3" t="s">
        <v>165</v>
      </c>
      <c r="C146" s="3" t="s">
        <v>1498</v>
      </c>
      <c r="D146" s="3" t="str">
        <f>IFERROR(MID(VLOOKUP($B146,Seqs!$A:$B,2,0),E146,1),"")</f>
        <v>M</v>
      </c>
      <c r="E146" s="3">
        <v>120</v>
      </c>
      <c r="F146" s="3" t="str">
        <f>IFERROR(MID(VLOOKUP($B146,Seqs!$A:$B,2,0),G146,1),"")</f>
        <v>G</v>
      </c>
      <c r="G146" s="3">
        <v>151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I</v>
      </c>
      <c r="M146" s="3">
        <v>155</v>
      </c>
      <c r="N146" s="3" t="str">
        <f>IFERROR(MID(VLOOKUP($B146,Seqs!$A:$B,2,0),O146,1),"")</f>
        <v>K</v>
      </c>
      <c r="O146" s="3">
        <v>185</v>
      </c>
      <c r="P146" s="3" t="str">
        <f>IFERROR(MID(VLOOKUP($B146,Seqs!$A:$B,2,0),Q146,1),"")</f>
        <v>L</v>
      </c>
      <c r="Q146" s="3">
        <v>187</v>
      </c>
      <c r="R146" s="3" t="str">
        <f>IFERROR(MID(VLOOKUP($B146,Seqs!$A:$B,2,0),S146,1),"")</f>
        <v>V</v>
      </c>
      <c r="S146" s="3">
        <v>190</v>
      </c>
      <c r="T146" s="3" t="str">
        <f>IFERROR(MID(VLOOKUP($B146,Seqs!$A:$B,2,0),U146,1),"")</f>
        <v>D</v>
      </c>
      <c r="U146" s="3">
        <v>191</v>
      </c>
      <c r="V146" s="3" t="str">
        <f>IFERROR(MID(VLOOKUP($B146,Seqs!$A:$B,2,0),W146,1),"")</f>
        <v>L</v>
      </c>
      <c r="W146" s="3">
        <v>226</v>
      </c>
      <c r="X146" s="3" t="str">
        <f>IFERROR(MID(VLOOKUP($B146,Seqs!$A:$B,2,0),Y146,1),"")</f>
        <v>L</v>
      </c>
      <c r="Y146" s="3">
        <v>227</v>
      </c>
      <c r="Z146" s="3" t="str">
        <f>IFERROR(MID(VLOOKUP($B146,Seqs!$A:$B,2,0),AA146,1),"")</f>
        <v>A</v>
      </c>
      <c r="AA146" s="3">
        <v>234</v>
      </c>
      <c r="AB146" s="3" t="str">
        <f>IFERROR(MID(VLOOKUP($B146,Seqs!$A:$B,2,0),AC146,1),"")</f>
        <v>T</v>
      </c>
      <c r="AC146" s="3">
        <v>235</v>
      </c>
      <c r="AD146" s="3" t="str">
        <f>IFERROR(MID(VLOOKUP($B146,Seqs!$A:$B,2,0),AE146,1),"")</f>
        <v>T</v>
      </c>
      <c r="AE146" s="3">
        <v>261</v>
      </c>
      <c r="AF146" s="3" t="str">
        <f>IFERROR(MID(VLOOKUP($B146,Seqs!$A:$B,2,0),AG146,1),"")</f>
        <v>T</v>
      </c>
      <c r="AG146" s="3">
        <v>274</v>
      </c>
      <c r="AH146" s="3" t="str">
        <f>IFERROR(MID(VLOOKUP($B146,Seqs!$A:$B,2,0),AI146,1),"")</f>
        <v>L</v>
      </c>
      <c r="AI146" s="3">
        <v>276</v>
      </c>
      <c r="AJ146" s="3" t="str">
        <f>IFERROR(MID(VLOOKUP($B146,Seqs!$A:$B,2,0),AK146,1),"")</f>
        <v>L</v>
      </c>
      <c r="AK146" s="3">
        <v>281</v>
      </c>
      <c r="AL146" s="3" t="str">
        <f>IFERROR(MID(VLOOKUP($B146,Seqs!$A:$B,2,0),AM146,1),"")</f>
        <v>L</v>
      </c>
      <c r="AM146" s="3">
        <v>318</v>
      </c>
      <c r="AN146" s="3" t="str">
        <f>IFERROR(MID(VLOOKUP($B146,Seqs!$A:$B,2,0),AO146,1),"")</f>
        <v>L</v>
      </c>
      <c r="AO146" s="3">
        <v>323</v>
      </c>
      <c r="AP146" s="3" t="str">
        <f>IFERROR(MID(VLOOKUP($B146,Seqs!$A:$B,2,0),AQ146,1),"")</f>
        <v/>
      </c>
      <c r="AQ146" s="3">
        <v>354</v>
      </c>
      <c r="AR146" s="3" t="str">
        <f>IFERROR(MID(VLOOKUP($B146,Seqs!$A:$B,2,0),AS146,1),"")</f>
        <v/>
      </c>
      <c r="AS146" s="3">
        <v>358</v>
      </c>
      <c r="AT146" s="3" t="str">
        <f>IFERROR(MID(VLOOKUP($B146,Seqs!$A:$B,2,0),AU146,1),"")</f>
        <v/>
      </c>
      <c r="AU146" s="3">
        <v>394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898"/>
        <v>1</v>
      </c>
      <c r="BC146" s="23">
        <f t="shared" si="899"/>
        <v>250</v>
      </c>
      <c r="BD146" s="2" t="s">
        <v>23</v>
      </c>
      <c r="BE146" s="3" t="s">
        <v>1374</v>
      </c>
      <c r="BF146" s="119">
        <v>2.9</v>
      </c>
      <c r="BG146" s="49" t="s">
        <v>1281</v>
      </c>
      <c r="BH146" s="49" t="s">
        <v>1281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900"/>
        <v>120</v>
      </c>
      <c r="BW146" s="71" t="str">
        <f t="shared" si="901"/>
        <v>-</v>
      </c>
      <c r="BX146" s="72">
        <f t="shared" si="902"/>
        <v>155</v>
      </c>
      <c r="BY146" s="71">
        <f t="shared" si="903"/>
        <v>187</v>
      </c>
      <c r="BZ146" s="72">
        <f t="shared" si="904"/>
        <v>191</v>
      </c>
      <c r="CA146" s="71">
        <f t="shared" si="905"/>
        <v>227</v>
      </c>
      <c r="CB146" s="72">
        <f t="shared" si="906"/>
        <v>235</v>
      </c>
      <c r="CC146" s="71">
        <f t="shared" si="907"/>
        <v>274</v>
      </c>
      <c r="CD146" s="72">
        <f t="shared" si="908"/>
        <v>281</v>
      </c>
      <c r="CE146" s="71">
        <f t="shared" si="909"/>
        <v>323</v>
      </c>
      <c r="CF146" s="72">
        <f t="shared" si="910"/>
        <v>358</v>
      </c>
      <c r="CG146" s="71" t="str">
        <f t="shared" si="911"/>
        <v>-</v>
      </c>
      <c r="CH146" s="70">
        <f t="shared" si="912"/>
        <v>151</v>
      </c>
      <c r="CI146" s="71" t="str">
        <f t="shared" si="913"/>
        <v>-</v>
      </c>
      <c r="CJ146" s="72">
        <f t="shared" si="914"/>
        <v>185</v>
      </c>
      <c r="CK146" s="72">
        <f t="shared" si="915"/>
        <v>190</v>
      </c>
      <c r="CL146" s="72">
        <f t="shared" si="916"/>
        <v>226</v>
      </c>
      <c r="CM146" s="72">
        <f t="shared" si="917"/>
        <v>234</v>
      </c>
      <c r="CN146" s="72">
        <f t="shared" si="918"/>
        <v>261</v>
      </c>
      <c r="CO146" s="72">
        <f t="shared" si="919"/>
        <v>276</v>
      </c>
      <c r="CP146" s="72">
        <f t="shared" si="920"/>
        <v>318</v>
      </c>
      <c r="CQ146" s="72">
        <f t="shared" si="921"/>
        <v>354</v>
      </c>
      <c r="CR146" s="72">
        <f t="shared" si="922"/>
        <v>394</v>
      </c>
      <c r="CS146" s="72" t="str">
        <f t="shared" si="923"/>
        <v>-</v>
      </c>
      <c r="CT146" s="23" t="e">
        <f t="shared" si="924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97"/>
        <v>c5ar1_human_6C1R</v>
      </c>
      <c r="B147" s="3" t="s">
        <v>165</v>
      </c>
      <c r="C147" s="3" t="s">
        <v>1499</v>
      </c>
      <c r="D147" s="3" t="str">
        <f>IFERROR(MID(VLOOKUP($B147,Seqs!$A:$B,2,0),E147,1),"")</f>
        <v>M</v>
      </c>
      <c r="E147" s="3">
        <v>120</v>
      </c>
      <c r="F147" s="3" t="str">
        <f>IFERROR(MID(VLOOKUP($B147,Seqs!$A:$B,2,0),G147,1),"")</f>
        <v>G</v>
      </c>
      <c r="G147" s="3">
        <v>151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I</v>
      </c>
      <c r="M147" s="3">
        <v>155</v>
      </c>
      <c r="N147" s="3" t="str">
        <f>IFERROR(MID(VLOOKUP($B147,Seqs!$A:$B,2,0),O147,1),"")</f>
        <v>K</v>
      </c>
      <c r="O147" s="3">
        <v>185</v>
      </c>
      <c r="P147" s="3" t="str">
        <f>IFERROR(MID(VLOOKUP($B147,Seqs!$A:$B,2,0),Q147,1),"")</f>
        <v>L</v>
      </c>
      <c r="Q147" s="3">
        <v>187</v>
      </c>
      <c r="R147" s="3" t="str">
        <f>IFERROR(MID(VLOOKUP($B147,Seqs!$A:$B,2,0),S147,1),"")</f>
        <v>V</v>
      </c>
      <c r="S147" s="3">
        <v>190</v>
      </c>
      <c r="T147" s="3" t="str">
        <f>IFERROR(MID(VLOOKUP($B147,Seqs!$A:$B,2,0),U147,1),"")</f>
        <v>D</v>
      </c>
      <c r="U147" s="3">
        <v>191</v>
      </c>
      <c r="V147" s="3" t="str">
        <f>IFERROR(MID(VLOOKUP($B147,Seqs!$A:$B,2,0),W147,1),"")</f>
        <v>L</v>
      </c>
      <c r="W147" s="3">
        <v>226</v>
      </c>
      <c r="X147" s="3" t="str">
        <f>IFERROR(MID(VLOOKUP($B147,Seqs!$A:$B,2,0),Y147,1),"")</f>
        <v>L</v>
      </c>
      <c r="Y147" s="3">
        <v>227</v>
      </c>
      <c r="Z147" s="3" t="str">
        <f>IFERROR(MID(VLOOKUP($B147,Seqs!$A:$B,2,0),AA147,1),"")</f>
        <v>A</v>
      </c>
      <c r="AA147" s="3">
        <v>234</v>
      </c>
      <c r="AB147" s="3" t="str">
        <f>IFERROR(MID(VLOOKUP($B147,Seqs!$A:$B,2,0),AC147,1),"")</f>
        <v>T</v>
      </c>
      <c r="AC147" s="3">
        <v>235</v>
      </c>
      <c r="AD147" s="3" t="str">
        <f>IFERROR(MID(VLOOKUP($B147,Seqs!$A:$B,2,0),AE147,1),"")</f>
        <v>T</v>
      </c>
      <c r="AE147" s="3">
        <v>261</v>
      </c>
      <c r="AF147" s="3" t="str">
        <f>IFERROR(MID(VLOOKUP($B147,Seqs!$A:$B,2,0),AG147,1),"")</f>
        <v>T</v>
      </c>
      <c r="AG147" s="3">
        <v>274</v>
      </c>
      <c r="AH147" s="3" t="str">
        <f>IFERROR(MID(VLOOKUP($B147,Seqs!$A:$B,2,0),AI147,1),"")</f>
        <v>L</v>
      </c>
      <c r="AI147" s="3">
        <v>276</v>
      </c>
      <c r="AJ147" s="3" t="str">
        <f>IFERROR(MID(VLOOKUP($B147,Seqs!$A:$B,2,0),AK147,1),"")</f>
        <v>L</v>
      </c>
      <c r="AK147" s="3">
        <v>281</v>
      </c>
      <c r="AL147" s="3" t="str">
        <f>IFERROR(MID(VLOOKUP($B147,Seqs!$A:$B,2,0),AM147,1),"")</f>
        <v>L</v>
      </c>
      <c r="AM147" s="3">
        <v>318</v>
      </c>
      <c r="AN147" s="3" t="str">
        <f>IFERROR(MID(VLOOKUP($B147,Seqs!$A:$B,2,0),AO147,1),"")</f>
        <v>L</v>
      </c>
      <c r="AO147" s="3">
        <v>323</v>
      </c>
      <c r="AP147" s="3" t="str">
        <f>IFERROR(MID(VLOOKUP($B147,Seqs!$A:$B,2,0),AQ147,1),"")</f>
        <v/>
      </c>
      <c r="AQ147" s="3">
        <v>354</v>
      </c>
      <c r="AR147" s="3" t="str">
        <f>IFERROR(MID(VLOOKUP($B147,Seqs!$A:$B,2,0),AS147,1),"")</f>
        <v/>
      </c>
      <c r="AS147" s="3">
        <v>358</v>
      </c>
      <c r="AT147" s="3" t="str">
        <f>IFERROR(MID(VLOOKUP($B147,Seqs!$A:$B,2,0),AU147,1),"")</f>
        <v/>
      </c>
      <c r="AU147" s="3">
        <v>394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7" t="str">
        <f>VLOOKUP(B147,Classification!A:D,2,0)</f>
        <v>A</v>
      </c>
      <c r="BA147" s="94" t="str">
        <f>VLOOKUP(B147,Classification!A:D,4,0)</f>
        <v>Complementpeptide</v>
      </c>
      <c r="BB147" s="27" t="b">
        <f t="shared" si="898"/>
        <v>1</v>
      </c>
      <c r="BC147" s="23">
        <f t="shared" si="899"/>
        <v>250</v>
      </c>
      <c r="BD147" s="2" t="s">
        <v>23</v>
      </c>
      <c r="BE147" s="3" t="s">
        <v>1374</v>
      </c>
      <c r="BF147" s="119">
        <v>2.2000000000000002</v>
      </c>
      <c r="BG147" s="49" t="s">
        <v>1281</v>
      </c>
      <c r="BH147" s="49" t="s">
        <v>1281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900"/>
        <v>120</v>
      </c>
      <c r="BW147" s="71" t="str">
        <f t="shared" si="901"/>
        <v>-</v>
      </c>
      <c r="BX147" s="72">
        <f t="shared" si="902"/>
        <v>155</v>
      </c>
      <c r="BY147" s="71">
        <f t="shared" si="903"/>
        <v>187</v>
      </c>
      <c r="BZ147" s="72">
        <f t="shared" si="904"/>
        <v>191</v>
      </c>
      <c r="CA147" s="71">
        <f t="shared" si="905"/>
        <v>227</v>
      </c>
      <c r="CB147" s="72">
        <f t="shared" si="906"/>
        <v>235</v>
      </c>
      <c r="CC147" s="71">
        <f t="shared" si="907"/>
        <v>274</v>
      </c>
      <c r="CD147" s="72">
        <f t="shared" si="908"/>
        <v>281</v>
      </c>
      <c r="CE147" s="71">
        <f t="shared" si="909"/>
        <v>323</v>
      </c>
      <c r="CF147" s="72">
        <f t="shared" si="910"/>
        <v>358</v>
      </c>
      <c r="CG147" s="71" t="str">
        <f t="shared" si="911"/>
        <v>-</v>
      </c>
      <c r="CH147" s="70">
        <f t="shared" si="912"/>
        <v>151</v>
      </c>
      <c r="CI147" s="71" t="str">
        <f t="shared" si="913"/>
        <v>-</v>
      </c>
      <c r="CJ147" s="72">
        <f t="shared" si="914"/>
        <v>185</v>
      </c>
      <c r="CK147" s="72">
        <f t="shared" si="915"/>
        <v>190</v>
      </c>
      <c r="CL147" s="72">
        <f t="shared" si="916"/>
        <v>226</v>
      </c>
      <c r="CM147" s="72">
        <f t="shared" si="917"/>
        <v>234</v>
      </c>
      <c r="CN147" s="72">
        <f t="shared" si="918"/>
        <v>261</v>
      </c>
      <c r="CO147" s="72">
        <f t="shared" si="919"/>
        <v>276</v>
      </c>
      <c r="CP147" s="72">
        <f t="shared" si="920"/>
        <v>318</v>
      </c>
      <c r="CQ147" s="72">
        <f t="shared" si="921"/>
        <v>354</v>
      </c>
      <c r="CR147" s="72">
        <f t="shared" si="922"/>
        <v>394</v>
      </c>
      <c r="CS147" s="72" t="str">
        <f t="shared" si="923"/>
        <v>-</v>
      </c>
      <c r="CT147" s="23" t="e">
        <f t="shared" si="924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67"/>
        <v>ccr2_human__wt</v>
      </c>
      <c r="B148" s="3" t="s">
        <v>170</v>
      </c>
      <c r="C148" s="3" t="s">
        <v>100</v>
      </c>
      <c r="D148" s="3" t="str">
        <f>IFERROR(MID(VLOOKUP($B148,Seqs!$A:$B,2,0),E148,1),"")</f>
        <v>V</v>
      </c>
      <c r="E148" s="3">
        <v>37</v>
      </c>
      <c r="F148" s="3" t="str">
        <f>IFERROR(MID(VLOOKUP($B148,Seqs!$A:$B,2,0),G148,1),"")</f>
        <v>C</v>
      </c>
      <c r="G148" s="3">
        <v>70</v>
      </c>
      <c r="H148" s="3" t="str">
        <f>IFERROR(MID(VLOOKUP($B148,Seqs!$A:$B,2,0),I148,1),"")</f>
        <v>K</v>
      </c>
      <c r="I148" s="23">
        <v>71</v>
      </c>
      <c r="J148" s="3" t="str">
        <f>IFERROR(MID(VLOOKUP($B148,Seqs!$A:$B,2,0),K148,1),"")</f>
        <v>K</v>
      </c>
      <c r="K148" s="23">
        <v>74</v>
      </c>
      <c r="L148" s="3" t="str">
        <f>IFERROR(MID(VLOOKUP($B148,Seqs!$A:$B,2,0),M148,1),"")</f>
        <v>C</v>
      </c>
      <c r="M148" s="3">
        <v>75</v>
      </c>
      <c r="N148" s="3" t="str">
        <f>IFERROR(MID(VLOOKUP($B148,Seqs!$A:$B,2,0),O148,1),"")</f>
        <v>N</v>
      </c>
      <c r="O148" s="3">
        <v>104</v>
      </c>
      <c r="P148" s="3" t="str">
        <f>IFERROR(MID(VLOOKUP($B148,Seqs!$A:$B,2,0),Q148,1),"")</f>
        <v>E</v>
      </c>
      <c r="Q148" s="3">
        <v>105</v>
      </c>
      <c r="R148" s="3" t="str">
        <f>IFERROR(MID(VLOOKUP($B148,Seqs!$A:$B,2,0),S148,1),"")</f>
        <v>F</v>
      </c>
      <c r="S148" s="3">
        <v>108</v>
      </c>
      <c r="T148" s="3" t="str">
        <f>IFERROR(MID(VLOOKUP($B148,Seqs!$A:$B,2,0),U148,1),"")</f>
        <v>G</v>
      </c>
      <c r="U148" s="3">
        <v>109</v>
      </c>
      <c r="V148" s="3" t="str">
        <f>IFERROR(MID(VLOOKUP($B148,Seqs!$A:$B,2,0),W148,1),"")</f>
        <v>H</v>
      </c>
      <c r="W148" s="3">
        <v>144</v>
      </c>
      <c r="X148" s="3" t="str">
        <f>IFERROR(MID(VLOOKUP($B148,Seqs!$A:$B,2,0),Y148,1),"")</f>
        <v>A</v>
      </c>
      <c r="Y148" s="3">
        <v>145</v>
      </c>
      <c r="Z148" s="3" t="str">
        <f>IFERROR(MID(VLOOKUP($B148,Seqs!$A:$B,2,0),AA148,1),"")</f>
        <v>R</v>
      </c>
      <c r="AA148" s="3">
        <v>152</v>
      </c>
      <c r="AB148" s="3" t="str">
        <f>IFERROR(MID(VLOOKUP($B148,Seqs!$A:$B,2,0),AC148,1),"")</f>
        <v>T</v>
      </c>
      <c r="AC148" s="9">
        <v>153</v>
      </c>
      <c r="AD148" s="3" t="str">
        <f>IFERROR(MID(VLOOKUP($B148,Seqs!$A:$B,2,0),AE148,1),"")</f>
        <v>T</v>
      </c>
      <c r="AE148" s="3">
        <v>179</v>
      </c>
      <c r="AF148" s="3" t="str">
        <f>IFERROR(MID(VLOOKUP($B148,Seqs!$A:$B,2,0),AG148,1),"")</f>
        <v>C</v>
      </c>
      <c r="AG148" s="3">
        <v>190</v>
      </c>
      <c r="AH148" s="3" t="str">
        <f>IFERROR(MID(VLOOKUP($B148,Seqs!$A:$B,2,0),AI148,1),"")</f>
        <v>P</v>
      </c>
      <c r="AI148" s="3">
        <v>192</v>
      </c>
      <c r="AJ148" s="3" t="str">
        <f>IFERROR(MID(VLOOKUP($B148,Seqs!$A:$B,2,0),AK148,1),"")</f>
        <v>P</v>
      </c>
      <c r="AK148" s="3">
        <v>195</v>
      </c>
      <c r="AL148" s="3" t="str">
        <f>IFERROR(MID(VLOOKUP($B148,Seqs!$A:$B,2,0),AM148,1),"")</f>
        <v>C</v>
      </c>
      <c r="AM148" s="3">
        <v>232</v>
      </c>
      <c r="AN148" s="3" t="str">
        <f>IFERROR(MID(VLOOKUP($B148,Seqs!$A:$B,2,0),AO148,1),"")</f>
        <v>K</v>
      </c>
      <c r="AO148" s="3">
        <v>236</v>
      </c>
      <c r="AP148" s="3" t="str">
        <f>IFERROR(MID(VLOOKUP($B148,Seqs!$A:$B,2,0),AQ148,1),"")</f>
        <v>G</v>
      </c>
      <c r="AQ148" s="3">
        <v>273</v>
      </c>
      <c r="AR148" s="3" t="str">
        <f>IFERROR(MID(VLOOKUP($B148,Seqs!$A:$B,2,0),AS148,1),"")</f>
        <v>E</v>
      </c>
      <c r="AS148" s="3">
        <v>278</v>
      </c>
      <c r="AT148" s="3" t="str">
        <f>IFERROR(MID(VLOOKUP($B148,Seqs!$A:$B,2,0),AU148,1),"")</f>
        <v>V</v>
      </c>
      <c r="AU148" s="3">
        <v>308</v>
      </c>
      <c r="AV148" s="3" t="str">
        <f>IFERROR(MID(VLOOKUP($B148,Seqs!$A:$B,2,0),AW148,1),"")</f>
        <v>G</v>
      </c>
      <c r="AW148" s="3">
        <v>309</v>
      </c>
      <c r="AX148" s="3" t="str">
        <f>IFERROR(MID(VLOOKUP($B148,Seqs!$A:$B,2,0),AY148,1),"")</f>
        <v>L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Chemokine</v>
      </c>
      <c r="BB148" s="27" t="b">
        <f t="shared" si="868"/>
        <v>1</v>
      </c>
      <c r="BC148" s="23">
        <f t="shared" si="645"/>
        <v>265</v>
      </c>
      <c r="BD148" s="2" t="s">
        <v>23</v>
      </c>
      <c r="BE148" s="3" t="s">
        <v>23</v>
      </c>
      <c r="BF148" s="119" t="s">
        <v>23</v>
      </c>
      <c r="BG148" s="49" t="s">
        <v>1372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646"/>
        <v>37</v>
      </c>
      <c r="BW148" s="71">
        <f t="shared" si="647"/>
        <v>71</v>
      </c>
      <c r="BX148" s="72">
        <f t="shared" si="648"/>
        <v>75</v>
      </c>
      <c r="BY148" s="71">
        <f t="shared" si="649"/>
        <v>105</v>
      </c>
      <c r="BZ148" s="72">
        <f t="shared" si="650"/>
        <v>109</v>
      </c>
      <c r="CA148" s="71">
        <f t="shared" si="651"/>
        <v>145</v>
      </c>
      <c r="CB148" s="72">
        <f t="shared" si="652"/>
        <v>153</v>
      </c>
      <c r="CC148" s="71">
        <f t="shared" si="653"/>
        <v>190</v>
      </c>
      <c r="CD148" s="72">
        <f t="shared" si="654"/>
        <v>195</v>
      </c>
      <c r="CE148" s="71">
        <f t="shared" si="655"/>
        <v>236</v>
      </c>
      <c r="CF148" s="72">
        <f t="shared" si="656"/>
        <v>278</v>
      </c>
      <c r="CG148" s="71">
        <f t="shared" si="657"/>
        <v>309</v>
      </c>
      <c r="CH148" s="70">
        <f t="shared" si="658"/>
        <v>70</v>
      </c>
      <c r="CI148" s="71">
        <f t="shared" si="659"/>
        <v>74</v>
      </c>
      <c r="CJ148" s="72">
        <f t="shared" si="660"/>
        <v>104</v>
      </c>
      <c r="CK148" s="72">
        <f t="shared" si="661"/>
        <v>108</v>
      </c>
      <c r="CL148" s="72">
        <f t="shared" si="662"/>
        <v>144</v>
      </c>
      <c r="CM148" s="72">
        <f t="shared" si="663"/>
        <v>152</v>
      </c>
      <c r="CN148" s="72">
        <f t="shared" si="664"/>
        <v>179</v>
      </c>
      <c r="CO148" s="72">
        <f t="shared" si="665"/>
        <v>192</v>
      </c>
      <c r="CP148" s="72">
        <f t="shared" si="666"/>
        <v>232</v>
      </c>
      <c r="CQ148" s="72">
        <f t="shared" si="667"/>
        <v>273</v>
      </c>
      <c r="CR148" s="72">
        <f t="shared" si="668"/>
        <v>308</v>
      </c>
      <c r="CS148" s="72">
        <f t="shared" si="669"/>
        <v>320</v>
      </c>
      <c r="CT148" s="23">
        <f t="shared" si="670"/>
        <v>1</v>
      </c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</row>
    <row r="149" spans="1:1030" x14ac:dyDescent="0.2">
      <c r="A149" s="3" t="str">
        <f t="shared" si="867"/>
        <v>ccr2_human_5T1A</v>
      </c>
      <c r="B149" s="3" t="s">
        <v>170</v>
      </c>
      <c r="C149" s="3" t="s">
        <v>1378</v>
      </c>
      <c r="D149" s="3" t="str">
        <f>IFERROR(MID(VLOOKUP($B149,Seqs!$A:$B,2,0),E149,1),"")</f>
        <v>V</v>
      </c>
      <c r="E149" s="3">
        <v>37</v>
      </c>
      <c r="F149" s="3" t="str">
        <f>IFERROR(MID(VLOOKUP($B149,Seqs!$A:$B,2,0),G149,1),"")</f>
        <v>C</v>
      </c>
      <c r="G149" s="3">
        <v>70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C</v>
      </c>
      <c r="M149" s="3">
        <v>75</v>
      </c>
      <c r="N149" s="3" t="str">
        <f>IFERROR(MID(VLOOKUP($B149,Seqs!$A:$B,2,0),O149,1),"")</f>
        <v>N</v>
      </c>
      <c r="O149" s="3">
        <v>104</v>
      </c>
      <c r="P149" s="3" t="str">
        <f>IFERROR(MID(VLOOKUP($B149,Seqs!$A:$B,2,0),Q149,1),"")</f>
        <v>E</v>
      </c>
      <c r="Q149" s="3">
        <v>105</v>
      </c>
      <c r="R149" s="3" t="str">
        <f>IFERROR(MID(VLOOKUP($B149,Seqs!$A:$B,2,0),S149,1),"")</f>
        <v>F</v>
      </c>
      <c r="S149" s="3">
        <v>108</v>
      </c>
      <c r="T149" s="3" t="str">
        <f>IFERROR(MID(VLOOKUP($B149,Seqs!$A:$B,2,0),U149,1),"")</f>
        <v>G</v>
      </c>
      <c r="U149" s="3">
        <v>109</v>
      </c>
      <c r="V149" s="3" t="str">
        <f>IFERROR(MID(VLOOKUP($B149,Seqs!$A:$B,2,0),W149,1),"")</f>
        <v>H</v>
      </c>
      <c r="W149" s="3">
        <v>144</v>
      </c>
      <c r="X149" s="3" t="str">
        <f>IFERROR(MID(VLOOKUP($B149,Seqs!$A:$B,2,0),Y149,1),"")</f>
        <v>A</v>
      </c>
      <c r="Y149" s="3">
        <v>145</v>
      </c>
      <c r="Z149" s="3" t="str">
        <f>IFERROR(MID(VLOOKUP($B149,Seqs!$A:$B,2,0),AA149,1),"")</f>
        <v>R</v>
      </c>
      <c r="AA149" s="3">
        <v>152</v>
      </c>
      <c r="AB149" s="3" t="str">
        <f>IFERROR(MID(VLOOKUP($B149,Seqs!$A:$B,2,0),AC149,1),"")</f>
        <v>T</v>
      </c>
      <c r="AC149" s="9">
        <v>153</v>
      </c>
      <c r="AD149" s="3" t="str">
        <f>IFERROR(MID(VLOOKUP($B149,Seqs!$A:$B,2,0),AE149,1),"")</f>
        <v>T</v>
      </c>
      <c r="AE149" s="3">
        <v>179</v>
      </c>
      <c r="AF149" s="3" t="str">
        <f>IFERROR(MID(VLOOKUP($B149,Seqs!$A:$B,2,0),AG149,1),"")</f>
        <v>C</v>
      </c>
      <c r="AG149" s="3">
        <v>190</v>
      </c>
      <c r="AH149" s="3" t="str">
        <f>IFERROR(MID(VLOOKUP($B149,Seqs!$A:$B,2,0),AI149,1),"")</f>
        <v>P</v>
      </c>
      <c r="AI149" s="3">
        <v>192</v>
      </c>
      <c r="AJ149" s="3" t="str">
        <f>IFERROR(MID(VLOOKUP($B149,Seqs!$A:$B,2,0),AK149,1),"")</f>
        <v>P</v>
      </c>
      <c r="AK149" s="3">
        <v>195</v>
      </c>
      <c r="AL149" s="3" t="str">
        <f>IFERROR(MID(VLOOKUP($B149,Seqs!$A:$B,2,0),AM149,1),"")</f>
        <v>T</v>
      </c>
      <c r="AM149" s="3">
        <v>228</v>
      </c>
      <c r="AN149" s="3" t="str">
        <f>IFERROR(MID(VLOOKUP($B149,Seqs!$A:$B,2,0),AO149,1),"")</f>
        <v>K</v>
      </c>
      <c r="AO149" s="3">
        <v>236</v>
      </c>
      <c r="AP149" s="3" t="str">
        <f>IFERROR(MID(VLOOKUP($B149,Seqs!$A:$B,2,0),AQ149,1),"")</f>
        <v>G</v>
      </c>
      <c r="AQ149" s="3">
        <v>273</v>
      </c>
      <c r="AR149" s="3" t="str">
        <f>IFERROR(MID(VLOOKUP($B149,Seqs!$A:$B,2,0),AS149,1),"")</f>
        <v>E</v>
      </c>
      <c r="AS149" s="3">
        <v>278</v>
      </c>
      <c r="AT149" s="3" t="str">
        <f>IFERROR(MID(VLOOKUP($B149,Seqs!$A:$B,2,0),AU149,1),"")</f>
        <v>V</v>
      </c>
      <c r="AU149" s="3">
        <v>308</v>
      </c>
      <c r="AV149" s="3" t="str">
        <f>IFERROR(MID(VLOOKUP($B149,Seqs!$A:$B,2,0),AW149,1),"")</f>
        <v>G</v>
      </c>
      <c r="AW149" s="3">
        <v>309</v>
      </c>
      <c r="AX149" s="3" t="str">
        <f>IFERROR(MID(VLOOKUP($B149,Seqs!$A:$B,2,0),AY149,1),"")</f>
        <v>L</v>
      </c>
      <c r="AY149" s="3">
        <v>320</v>
      </c>
      <c r="AZ149" s="77" t="str">
        <f>VLOOKUP(B149,Classification!A:D,2,0)</f>
        <v>A</v>
      </c>
      <c r="BA149" s="94" t="str">
        <f>VLOOKUP(B149,Classification!A:D,4,0)</f>
        <v>Chemokine</v>
      </c>
      <c r="BB149" s="27" t="b">
        <f t="shared" si="868"/>
        <v>1</v>
      </c>
      <c r="BC149" s="23">
        <f t="shared" si="645"/>
        <v>258</v>
      </c>
      <c r="BD149" s="16" t="s">
        <v>1376</v>
      </c>
      <c r="BE149" s="3" t="s">
        <v>1374</v>
      </c>
      <c r="BF149" s="119">
        <v>2.81</v>
      </c>
      <c r="BG149" s="49" t="s">
        <v>1</v>
      </c>
      <c r="BH149" s="49" t="s">
        <v>1377</v>
      </c>
      <c r="BI149" s="1"/>
      <c r="BJ149" s="70" t="s">
        <v>1287</v>
      </c>
      <c r="BK149" s="57" t="s">
        <v>1287</v>
      </c>
      <c r="BL149" s="57" t="s">
        <v>1287</v>
      </c>
      <c r="BM149" s="57" t="s">
        <v>1287</v>
      </c>
      <c r="BN149" s="57" t="s">
        <v>1287</v>
      </c>
      <c r="BO149" s="57" t="s">
        <v>1287</v>
      </c>
      <c r="BP149" s="57" t="s">
        <v>1287</v>
      </c>
      <c r="BQ149" s="57" t="s">
        <v>1287</v>
      </c>
      <c r="BR149" s="57" t="s">
        <v>1287</v>
      </c>
      <c r="BS149" s="57" t="s">
        <v>1287</v>
      </c>
      <c r="BT149" s="57" t="s">
        <v>1287</v>
      </c>
      <c r="BU149" s="57" t="s">
        <v>1287</v>
      </c>
      <c r="BV149" s="70">
        <f t="shared" si="646"/>
        <v>37</v>
      </c>
      <c r="BW149" s="71" t="str">
        <f t="shared" si="647"/>
        <v>-</v>
      </c>
      <c r="BX149" s="72">
        <f t="shared" si="648"/>
        <v>75</v>
      </c>
      <c r="BY149" s="71">
        <f t="shared" si="649"/>
        <v>105</v>
      </c>
      <c r="BZ149" s="72">
        <f t="shared" si="650"/>
        <v>109</v>
      </c>
      <c r="CA149" s="71">
        <f t="shared" si="651"/>
        <v>145</v>
      </c>
      <c r="CB149" s="72">
        <f t="shared" si="652"/>
        <v>153</v>
      </c>
      <c r="CC149" s="71">
        <f t="shared" si="653"/>
        <v>190</v>
      </c>
      <c r="CD149" s="72">
        <f t="shared" si="654"/>
        <v>195</v>
      </c>
      <c r="CE149" s="71">
        <f t="shared" si="655"/>
        <v>236</v>
      </c>
      <c r="CF149" s="72">
        <f t="shared" si="656"/>
        <v>278</v>
      </c>
      <c r="CG149" s="71">
        <f t="shared" si="657"/>
        <v>309</v>
      </c>
      <c r="CH149" s="70">
        <f t="shared" si="658"/>
        <v>70</v>
      </c>
      <c r="CI149" s="71" t="str">
        <f t="shared" si="659"/>
        <v>-</v>
      </c>
      <c r="CJ149" s="72">
        <f t="shared" si="660"/>
        <v>104</v>
      </c>
      <c r="CK149" s="72">
        <f t="shared" si="661"/>
        <v>108</v>
      </c>
      <c r="CL149" s="72">
        <f t="shared" si="662"/>
        <v>144</v>
      </c>
      <c r="CM149" s="72">
        <f t="shared" si="663"/>
        <v>152</v>
      </c>
      <c r="CN149" s="72">
        <f t="shared" si="664"/>
        <v>179</v>
      </c>
      <c r="CO149" s="72">
        <f t="shared" si="665"/>
        <v>192</v>
      </c>
      <c r="CP149" s="72">
        <f t="shared" si="666"/>
        <v>228</v>
      </c>
      <c r="CQ149" s="72">
        <f t="shared" si="667"/>
        <v>273</v>
      </c>
      <c r="CR149" s="72">
        <f t="shared" si="668"/>
        <v>308</v>
      </c>
      <c r="CS149" s="72">
        <f t="shared" si="669"/>
        <v>320</v>
      </c>
      <c r="CT149" s="23" t="e">
        <f t="shared" si="670"/>
        <v>#VALUE!</v>
      </c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  <c r="AML149" s="6"/>
      <c r="AMM149" s="6"/>
      <c r="AMN149" s="6"/>
      <c r="AMO149" s="6"/>
      <c r="AMP149" s="6"/>
    </row>
    <row r="150" spans="1:1030" s="12" customFormat="1" x14ac:dyDescent="0.2">
      <c r="A150" s="9" t="str">
        <f t="shared" ref="A150" si="953">CONCATENATE(B150,"_",C150)</f>
        <v>ccr2_human_6GPS</v>
      </c>
      <c r="B150" s="9" t="s">
        <v>170</v>
      </c>
      <c r="C150" s="9" t="s">
        <v>1546</v>
      </c>
      <c r="D150" s="9" t="str">
        <f>IFERROR(MID(VLOOKUP($B150,Seqs!$A:$B,2,0),E150,1),"")</f>
        <v>V</v>
      </c>
      <c r="E150" s="9">
        <v>37</v>
      </c>
      <c r="F150" s="9" t="str">
        <f>IFERROR(MID(VLOOKUP($B150,Seqs!$A:$B,2,0),G150,1),"")</f>
        <v>K</v>
      </c>
      <c r="G150" s="9">
        <v>71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L</v>
      </c>
      <c r="M150" s="9">
        <v>76</v>
      </c>
      <c r="N150" s="9" t="str">
        <f>IFERROR(MID(VLOOKUP($B150,Seqs!$A:$B,2,0),O150,1),"")</f>
        <v>A</v>
      </c>
      <c r="O150" s="9">
        <v>102</v>
      </c>
      <c r="P150" s="9" t="str">
        <f>IFERROR(MID(VLOOKUP($B150,Seqs!$A:$B,2,0),Q150,1),"")</f>
        <v>E</v>
      </c>
      <c r="Q150" s="9">
        <v>105</v>
      </c>
      <c r="R150" s="9" t="str">
        <f>IFERROR(MID(VLOOKUP($B150,Seqs!$A:$B,2,0),S150,1),"")</f>
        <v>F</v>
      </c>
      <c r="S150" s="9">
        <v>108</v>
      </c>
      <c r="T150" s="9" t="str">
        <f>IFERROR(MID(VLOOKUP($B150,Seqs!$A:$B,2,0),U150,1),"")</f>
        <v>G</v>
      </c>
      <c r="U150" s="9">
        <v>109</v>
      </c>
      <c r="V150" s="9" t="str">
        <f>IFERROR(MID(VLOOKUP($B150,Seqs!$A:$B,2,0),W150,1),"")</f>
        <v>H</v>
      </c>
      <c r="W150" s="9">
        <v>144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R</v>
      </c>
      <c r="AC150" s="9">
        <v>152</v>
      </c>
      <c r="AD150" s="9" t="str">
        <f>IFERROR(MID(VLOOKUP($B150,Seqs!$A:$B,2,0),AE150,1),"")</f>
        <v>T</v>
      </c>
      <c r="AE150" s="9">
        <v>179</v>
      </c>
      <c r="AF150" s="9" t="str">
        <f>IFERROR(MID(VLOOKUP($B150,Seqs!$A:$B,2,0),AG150,1),"")</f>
        <v>C</v>
      </c>
      <c r="AG150" s="9">
        <v>190</v>
      </c>
      <c r="AH150" s="9" t="str">
        <f>IFERROR(MID(VLOOKUP($B150,Seqs!$A:$B,2,0),AI150,1),"")</f>
        <v>P</v>
      </c>
      <c r="AI150" s="9">
        <v>192</v>
      </c>
      <c r="AJ150" s="9" t="str">
        <f>IFERROR(MID(VLOOKUP($B150,Seqs!$A:$B,2,0),AK150,1),"")</f>
        <v>P</v>
      </c>
      <c r="AK150" s="9">
        <v>195</v>
      </c>
      <c r="AL150" s="9" t="str">
        <f>IFERROR(MID(VLOOKUP($B150,Seqs!$A:$B,2,0),AM150,1),"")</f>
        <v>R</v>
      </c>
      <c r="AM150" s="9">
        <v>231</v>
      </c>
      <c r="AN150" s="9" t="str">
        <f>IFERROR(MID(VLOOKUP($B150,Seqs!$A:$B,2,0),AO150,1),"")</f>
        <v>A</v>
      </c>
      <c r="AO150" s="9">
        <v>241</v>
      </c>
      <c r="AP150" s="9" t="str">
        <f>IFERROR(MID(VLOOKUP($B150,Seqs!$A:$B,2,0),AQ150,1),"")</f>
        <v>F</v>
      </c>
      <c r="AQ150" s="9">
        <v>268</v>
      </c>
      <c r="AR150" s="9" t="str">
        <f>IFERROR(MID(VLOOKUP($B150,Seqs!$A:$B,2,0),AS150,1),"")</f>
        <v>S</v>
      </c>
      <c r="AS150" s="9">
        <v>279</v>
      </c>
      <c r="AT150" s="9" t="str">
        <f>IFERROR(MID(VLOOKUP($B150,Seqs!$A:$B,2,0),AU150,1),"")</f>
        <v>G</v>
      </c>
      <c r="AU150" s="9">
        <v>309</v>
      </c>
      <c r="AV150" s="9" t="str">
        <f>IFERROR(MID(VLOOKUP($B150,Seqs!$A:$B,2,0),AW150,1),"")</f>
        <v>E</v>
      </c>
      <c r="AW150" s="9">
        <v>310</v>
      </c>
      <c r="AX150" s="9" t="str">
        <f>IFERROR(MID(VLOOKUP($B150,Seqs!$A:$B,2,0),AY150,1),"")</f>
        <v>G</v>
      </c>
      <c r="AY150" s="9">
        <v>321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 t="shared" ref="BB150" si="954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 t="shared" ref="BC150" si="955">_xlfn.AGGREGATE(9,6,CH150:CS150)-_xlfn.AGGREGATE(9,6,BV150:CG150)+12</f>
        <v>243</v>
      </c>
      <c r="BD150" s="127" t="s">
        <v>23</v>
      </c>
      <c r="BE150" s="9" t="s">
        <v>1374</v>
      </c>
      <c r="BF150" s="120">
        <v>3.3</v>
      </c>
      <c r="BG150" s="51" t="s">
        <v>1</v>
      </c>
      <c r="BH150" s="51" t="s">
        <v>1</v>
      </c>
      <c r="BJ150" s="111" t="s">
        <v>1287</v>
      </c>
      <c r="BK150" s="112" t="s">
        <v>1287</v>
      </c>
      <c r="BL150" s="112" t="s">
        <v>1287</v>
      </c>
      <c r="BM150" s="112" t="s">
        <v>1287</v>
      </c>
      <c r="BN150" s="112" t="s">
        <v>1287</v>
      </c>
      <c r="BO150" s="112" t="s">
        <v>1287</v>
      </c>
      <c r="BP150" s="112" t="s">
        <v>1287</v>
      </c>
      <c r="BQ150" s="112" t="s">
        <v>1287</v>
      </c>
      <c r="BR150" s="112" t="s">
        <v>1287</v>
      </c>
      <c r="BS150" s="112" t="s">
        <v>1287</v>
      </c>
      <c r="BT150" s="112" t="s">
        <v>1287</v>
      </c>
      <c r="BU150" s="112" t="s">
        <v>1287</v>
      </c>
      <c r="BV150" s="111">
        <f t="shared" ref="BV150" si="956">E150</f>
        <v>37</v>
      </c>
      <c r="BW150" s="113" t="str">
        <f t="shared" ref="BW150" si="957">I150</f>
        <v>-</v>
      </c>
      <c r="BX150" s="114">
        <f t="shared" ref="BX150" si="958">M150</f>
        <v>76</v>
      </c>
      <c r="BY150" s="113">
        <f t="shared" ref="BY150" si="959">Q150</f>
        <v>105</v>
      </c>
      <c r="BZ150" s="114">
        <f t="shared" ref="BZ150" si="960">U150</f>
        <v>109</v>
      </c>
      <c r="CA150" s="113" t="str">
        <f t="shared" ref="CA150" si="961">Y150</f>
        <v>-</v>
      </c>
      <c r="CB150" s="114">
        <f t="shared" ref="CB150" si="962">AC150</f>
        <v>152</v>
      </c>
      <c r="CC150" s="113">
        <f t="shared" ref="CC150" si="963">AG150</f>
        <v>190</v>
      </c>
      <c r="CD150" s="114">
        <f t="shared" ref="CD150" si="964">AK150</f>
        <v>195</v>
      </c>
      <c r="CE150" s="113">
        <f t="shared" ref="CE150" si="965">AO150</f>
        <v>241</v>
      </c>
      <c r="CF150" s="114">
        <f t="shared" ref="CF150" si="966">AS150</f>
        <v>279</v>
      </c>
      <c r="CG150" s="113">
        <f t="shared" ref="CG150" si="967">AW150</f>
        <v>310</v>
      </c>
      <c r="CH150" s="111">
        <f t="shared" ref="CH150" si="968">G150</f>
        <v>71</v>
      </c>
      <c r="CI150" s="113" t="str">
        <f t="shared" ref="CI150" si="969">K150</f>
        <v>-</v>
      </c>
      <c r="CJ150" s="114">
        <f t="shared" ref="CJ150" si="970">O150</f>
        <v>102</v>
      </c>
      <c r="CK150" s="114">
        <f t="shared" ref="CK150" si="971">S150</f>
        <v>108</v>
      </c>
      <c r="CL150" s="114">
        <f t="shared" ref="CL150" si="972">W150</f>
        <v>144</v>
      </c>
      <c r="CM150" s="114" t="str">
        <f t="shared" ref="CM150" si="973">AA150</f>
        <v>-</v>
      </c>
      <c r="CN150" s="114">
        <f t="shared" ref="CN150" si="974">AE150</f>
        <v>179</v>
      </c>
      <c r="CO150" s="114">
        <f t="shared" ref="CO150" si="975">AI150</f>
        <v>192</v>
      </c>
      <c r="CP150" s="114">
        <f t="shared" ref="CP150" si="976">AM150</f>
        <v>231</v>
      </c>
      <c r="CQ150" s="114">
        <f t="shared" ref="CQ150" si="977">AQ150</f>
        <v>268</v>
      </c>
      <c r="CR150" s="114">
        <f t="shared" ref="CR150" si="978">AU150</f>
        <v>309</v>
      </c>
      <c r="CS150" s="114">
        <f t="shared" ref="CS150" si="979">AY150</f>
        <v>321</v>
      </c>
      <c r="CT150" s="109" t="e">
        <f t="shared" ref="CT150" si="980">M150-K150</f>
        <v>#VALUE!</v>
      </c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/>
      <c r="DK150" s="129"/>
      <c r="DL150" s="129"/>
      <c r="DM150" s="129"/>
      <c r="DN150" s="129"/>
      <c r="DO150" s="129"/>
      <c r="DP150" s="129"/>
      <c r="DQ150" s="129"/>
      <c r="DR150" s="129"/>
      <c r="DS150" s="129"/>
      <c r="DT150" s="129"/>
      <c r="DU150" s="129"/>
      <c r="DV150" s="129"/>
      <c r="DW150" s="129"/>
      <c r="DX150" s="129"/>
      <c r="DY150" s="129"/>
      <c r="DZ150" s="129"/>
      <c r="EA150" s="129"/>
      <c r="EB150" s="129"/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/>
      <c r="IZ150" s="129"/>
      <c r="JA150" s="129"/>
      <c r="JB150" s="129"/>
      <c r="JC150" s="129"/>
      <c r="JD150" s="129"/>
      <c r="JE150" s="129"/>
      <c r="JF150" s="129"/>
      <c r="JG150" s="129"/>
      <c r="JH150" s="129"/>
      <c r="JI150" s="129"/>
      <c r="JJ150" s="129"/>
      <c r="JK150" s="129"/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29"/>
      <c r="OS150" s="129"/>
      <c r="OT150" s="129"/>
      <c r="OU150" s="129"/>
      <c r="OV150" s="129"/>
      <c r="OW150" s="129"/>
      <c r="OX150" s="129"/>
      <c r="OY150" s="129"/>
      <c r="OZ150" s="129"/>
      <c r="PA150" s="129"/>
      <c r="PB150" s="129"/>
      <c r="PC150" s="129"/>
      <c r="PD150" s="129"/>
      <c r="PE150" s="129"/>
      <c r="PF150" s="129"/>
      <c r="PG150" s="129"/>
      <c r="PH150" s="129"/>
      <c r="PI150" s="129"/>
      <c r="PJ150" s="129"/>
      <c r="PK150" s="129"/>
      <c r="PL150" s="129"/>
      <c r="PM150" s="129"/>
      <c r="PN150" s="129"/>
      <c r="PO150" s="129"/>
      <c r="PP150" s="129"/>
      <c r="PQ150" s="129"/>
      <c r="PR150" s="129"/>
      <c r="PS150" s="129"/>
      <c r="PT150" s="129"/>
      <c r="PU150" s="129"/>
      <c r="PV150" s="129"/>
      <c r="PW150" s="129"/>
      <c r="PX150" s="129"/>
      <c r="PY150" s="129"/>
      <c r="PZ150" s="129"/>
      <c r="QA150" s="129"/>
      <c r="QB150" s="129"/>
      <c r="QC150" s="129"/>
      <c r="QD150" s="129"/>
      <c r="QE150" s="129"/>
      <c r="QF150" s="129"/>
      <c r="QG150" s="129"/>
      <c r="QH150" s="129"/>
      <c r="QI150" s="129"/>
      <c r="QJ150" s="129"/>
      <c r="QK150" s="129"/>
      <c r="QL150" s="129"/>
      <c r="QM150" s="129"/>
      <c r="QN150" s="129"/>
      <c r="QO150" s="129"/>
      <c r="QP150" s="129"/>
      <c r="QQ150" s="129"/>
      <c r="QR150" s="129"/>
      <c r="QS150" s="129"/>
      <c r="QT150" s="129"/>
      <c r="QU150" s="129"/>
      <c r="QV150" s="129"/>
      <c r="QW150" s="129"/>
      <c r="QX150" s="129"/>
      <c r="QY150" s="129"/>
      <c r="QZ150" s="129"/>
      <c r="RA150" s="129"/>
      <c r="RB150" s="129"/>
      <c r="RC150" s="129"/>
      <c r="RD150" s="129"/>
      <c r="RE150" s="129"/>
      <c r="RF150" s="129"/>
      <c r="RG150" s="129"/>
      <c r="RH150" s="129"/>
      <c r="RI150" s="129"/>
      <c r="RJ150" s="129"/>
      <c r="RK150" s="129"/>
      <c r="RL150" s="129"/>
      <c r="RM150" s="129"/>
      <c r="RN150" s="129"/>
      <c r="RO150" s="129"/>
      <c r="RP150" s="129"/>
      <c r="RQ150" s="129"/>
      <c r="RR150" s="129"/>
      <c r="RS150" s="129"/>
      <c r="RT150" s="129"/>
      <c r="RU150" s="129"/>
      <c r="RV150" s="129"/>
      <c r="RW150" s="129"/>
      <c r="RX150" s="129"/>
      <c r="RY150" s="129"/>
      <c r="RZ150" s="129"/>
      <c r="SA150" s="129"/>
      <c r="SB150" s="129"/>
      <c r="SC150" s="129"/>
      <c r="SD150" s="129"/>
      <c r="SE150" s="129"/>
      <c r="SF150" s="129"/>
      <c r="SG150" s="129"/>
      <c r="SH150" s="129"/>
      <c r="SI150" s="129"/>
      <c r="SJ150" s="129"/>
      <c r="SK150" s="129"/>
      <c r="SL150" s="129"/>
      <c r="SM150" s="129"/>
      <c r="SN150" s="129"/>
      <c r="SO150" s="129"/>
      <c r="SP150" s="129"/>
      <c r="SQ150" s="129"/>
      <c r="SR150" s="129"/>
      <c r="SS150" s="129"/>
      <c r="ST150" s="129"/>
      <c r="SU150" s="129"/>
      <c r="SV150" s="129"/>
      <c r="SW150" s="129"/>
      <c r="SX150" s="129"/>
      <c r="SY150" s="129"/>
      <c r="SZ150" s="129"/>
      <c r="TA150" s="129"/>
      <c r="TB150" s="129"/>
      <c r="TC150" s="129"/>
      <c r="TD150" s="129"/>
      <c r="TE150" s="129"/>
      <c r="TF150" s="129"/>
      <c r="TG150" s="129"/>
      <c r="TH150" s="129"/>
      <c r="TI150" s="129"/>
      <c r="TJ150" s="129"/>
      <c r="TK150" s="129"/>
      <c r="TL150" s="129"/>
      <c r="TM150" s="129"/>
      <c r="TN150" s="129"/>
      <c r="TO150" s="129"/>
      <c r="TP150" s="129"/>
      <c r="TQ150" s="129"/>
      <c r="TR150" s="129"/>
      <c r="TS150" s="129"/>
      <c r="TT150" s="129"/>
      <c r="TU150" s="129"/>
      <c r="TV150" s="129"/>
      <c r="TW150" s="129"/>
      <c r="TX150" s="129"/>
      <c r="TY150" s="129"/>
      <c r="TZ150" s="129"/>
      <c r="UA150" s="129"/>
      <c r="UB150" s="129"/>
      <c r="UC150" s="129"/>
      <c r="UD150" s="129"/>
      <c r="UE150" s="129"/>
      <c r="UF150" s="129"/>
      <c r="UG150" s="129"/>
      <c r="UH150" s="129"/>
      <c r="UI150" s="129"/>
      <c r="UJ150" s="129"/>
      <c r="UK150" s="129"/>
      <c r="UL150" s="129"/>
      <c r="UM150" s="129"/>
      <c r="UN150" s="129"/>
      <c r="UO150" s="129"/>
      <c r="UP150" s="129"/>
      <c r="UQ150" s="129"/>
      <c r="UR150" s="129"/>
      <c r="US150" s="129"/>
      <c r="UT150" s="129"/>
      <c r="UU150" s="129"/>
      <c r="UV150" s="129"/>
      <c r="UW150" s="129"/>
      <c r="UX150" s="129"/>
      <c r="UY150" s="129"/>
      <c r="UZ150" s="129"/>
      <c r="VA150" s="129"/>
      <c r="VB150" s="129"/>
      <c r="VC150" s="129"/>
      <c r="VD150" s="129"/>
      <c r="VE150" s="129"/>
      <c r="VF150" s="129"/>
      <c r="VG150" s="129"/>
      <c r="VH150" s="129"/>
      <c r="VI150" s="129"/>
      <c r="VJ150" s="129"/>
      <c r="VK150" s="129"/>
      <c r="VL150" s="129"/>
      <c r="VM150" s="129"/>
      <c r="VN150" s="129"/>
      <c r="VO150" s="129"/>
      <c r="VP150" s="129"/>
      <c r="VQ150" s="129"/>
      <c r="VR150" s="129"/>
      <c r="VS150" s="129"/>
      <c r="VT150" s="129"/>
      <c r="VU150" s="129"/>
      <c r="VV150" s="129"/>
      <c r="VW150" s="129"/>
      <c r="VX150" s="129"/>
      <c r="VY150" s="129"/>
      <c r="VZ150" s="129"/>
      <c r="WA150" s="129"/>
      <c r="WB150" s="129"/>
      <c r="WC150" s="129"/>
      <c r="WD150" s="129"/>
      <c r="WE150" s="129"/>
      <c r="WF150" s="129"/>
      <c r="WG150" s="129"/>
      <c r="WH150" s="129"/>
      <c r="WI150" s="129"/>
      <c r="WJ150" s="129"/>
      <c r="WK150" s="129"/>
      <c r="WL150" s="129"/>
      <c r="WM150" s="129"/>
      <c r="WN150" s="129"/>
      <c r="WO150" s="129"/>
      <c r="WP150" s="129"/>
      <c r="WQ150" s="129"/>
      <c r="WR150" s="129"/>
      <c r="WS150" s="129"/>
      <c r="WT150" s="129"/>
      <c r="WU150" s="129"/>
      <c r="WV150" s="129"/>
      <c r="WW150" s="129"/>
      <c r="WX150" s="129"/>
      <c r="WY150" s="129"/>
      <c r="WZ150" s="129"/>
      <c r="XA150" s="129"/>
      <c r="XB150" s="129"/>
      <c r="XC150" s="129"/>
      <c r="XD150" s="129"/>
      <c r="XE150" s="129"/>
      <c r="XF150" s="129"/>
      <c r="XG150" s="129"/>
      <c r="XH150" s="129"/>
      <c r="XI150" s="129"/>
      <c r="XJ150" s="129"/>
      <c r="XK150" s="129"/>
      <c r="XL150" s="129"/>
      <c r="XM150" s="129"/>
      <c r="XN150" s="129"/>
      <c r="XO150" s="129"/>
      <c r="XP150" s="129"/>
      <c r="XQ150" s="129"/>
      <c r="XR150" s="129"/>
      <c r="XS150" s="129"/>
      <c r="XT150" s="129"/>
      <c r="XU150" s="129"/>
      <c r="XV150" s="129"/>
      <c r="XW150" s="129"/>
      <c r="XX150" s="129"/>
      <c r="XY150" s="129"/>
      <c r="XZ150" s="129"/>
      <c r="YA150" s="129"/>
      <c r="YB150" s="129"/>
      <c r="YC150" s="129"/>
      <c r="YD150" s="129"/>
      <c r="YE150" s="129"/>
      <c r="YF150" s="129"/>
      <c r="YG150" s="129"/>
      <c r="YH150" s="129"/>
      <c r="YI150" s="129"/>
      <c r="YJ150" s="129"/>
      <c r="YK150" s="129"/>
      <c r="YL150" s="129"/>
      <c r="YM150" s="129"/>
      <c r="YN150" s="129"/>
      <c r="YO150" s="129"/>
      <c r="YP150" s="129"/>
      <c r="YQ150" s="129"/>
      <c r="YR150" s="129"/>
      <c r="YS150" s="129"/>
      <c r="YT150" s="129"/>
      <c r="YU150" s="129"/>
      <c r="YV150" s="129"/>
      <c r="YW150" s="129"/>
      <c r="YX150" s="129"/>
      <c r="YY150" s="129"/>
      <c r="YZ150" s="129"/>
      <c r="ZA150" s="129"/>
      <c r="ZB150" s="129"/>
      <c r="ZC150" s="129"/>
      <c r="ZD150" s="129"/>
      <c r="ZE150" s="129"/>
      <c r="ZF150" s="129"/>
      <c r="ZG150" s="129"/>
      <c r="ZH150" s="129"/>
      <c r="ZI150" s="129"/>
      <c r="ZJ150" s="129"/>
      <c r="ZK150" s="129"/>
      <c r="ZL150" s="129"/>
      <c r="ZM150" s="129"/>
      <c r="ZN150" s="129"/>
      <c r="ZO150" s="129"/>
      <c r="ZP150" s="129"/>
      <c r="ZQ150" s="129"/>
      <c r="ZR150" s="129"/>
      <c r="ZS150" s="129"/>
      <c r="ZT150" s="129"/>
      <c r="ZU150" s="129"/>
      <c r="ZV150" s="129"/>
      <c r="ZW150" s="129"/>
      <c r="ZX150" s="129"/>
      <c r="ZY150" s="129"/>
      <c r="ZZ150" s="129"/>
      <c r="AAA150" s="129"/>
      <c r="AAB150" s="129"/>
      <c r="AAC150" s="129"/>
      <c r="AAD150" s="129"/>
      <c r="AAE150" s="129"/>
      <c r="AAF150" s="129"/>
      <c r="AAG150" s="129"/>
      <c r="AAH150" s="129"/>
      <c r="AAI150" s="129"/>
      <c r="AAJ150" s="129"/>
      <c r="AAK150" s="129"/>
      <c r="AAL150" s="129"/>
      <c r="AAM150" s="129"/>
      <c r="AAN150" s="129"/>
      <c r="AAO150" s="129"/>
      <c r="AAP150" s="129"/>
      <c r="AAQ150" s="129"/>
      <c r="AAR150" s="129"/>
      <c r="AAS150" s="129"/>
      <c r="AAT150" s="129"/>
      <c r="AAU150" s="129"/>
      <c r="AAV150" s="129"/>
      <c r="AAW150" s="129"/>
      <c r="AAX150" s="129"/>
      <c r="AAY150" s="129"/>
      <c r="AAZ150" s="129"/>
      <c r="ABA150" s="129"/>
      <c r="ABB150" s="129"/>
      <c r="ABC150" s="129"/>
      <c r="ABD150" s="129"/>
      <c r="ABE150" s="129"/>
      <c r="ABF150" s="129"/>
      <c r="ABG150" s="129"/>
      <c r="ABH150" s="129"/>
      <c r="ABI150" s="129"/>
      <c r="ABJ150" s="129"/>
      <c r="ABK150" s="129"/>
      <c r="ABL150" s="129"/>
      <c r="ABM150" s="129"/>
      <c r="ABN150" s="129"/>
      <c r="ABO150" s="129"/>
      <c r="ABP150" s="129"/>
      <c r="ABQ150" s="129"/>
      <c r="ABR150" s="129"/>
      <c r="ABS150" s="129"/>
      <c r="ABT150" s="129"/>
      <c r="ABU150" s="129"/>
      <c r="ABV150" s="129"/>
      <c r="ABW150" s="129"/>
      <c r="ABX150" s="129"/>
      <c r="ABY150" s="129"/>
      <c r="ABZ150" s="129"/>
      <c r="ACA150" s="129"/>
      <c r="ACB150" s="129"/>
      <c r="ACC150" s="129"/>
      <c r="ACD150" s="129"/>
      <c r="ACE150" s="129"/>
      <c r="ACF150" s="129"/>
      <c r="ACG150" s="129"/>
      <c r="ACH150" s="129"/>
      <c r="ACI150" s="129"/>
      <c r="ACJ150" s="129"/>
      <c r="ACK150" s="129"/>
      <c r="ACL150" s="129"/>
      <c r="ACM150" s="129"/>
      <c r="ACN150" s="129"/>
      <c r="ACO150" s="129"/>
      <c r="ACP150" s="129"/>
      <c r="ACQ150" s="129"/>
      <c r="ACR150" s="129"/>
      <c r="ACS150" s="129"/>
      <c r="ACT150" s="129"/>
      <c r="ACU150" s="129"/>
      <c r="ACV150" s="129"/>
      <c r="ACW150" s="129"/>
      <c r="ACX150" s="129"/>
      <c r="ACY150" s="129"/>
      <c r="ACZ150" s="129"/>
      <c r="ADA150" s="129"/>
      <c r="ADB150" s="129"/>
      <c r="ADC150" s="129"/>
      <c r="ADD150" s="129"/>
      <c r="ADE150" s="129"/>
      <c r="ADF150" s="129"/>
      <c r="ADG150" s="129"/>
      <c r="ADH150" s="129"/>
      <c r="ADI150" s="129"/>
      <c r="ADJ150" s="129"/>
      <c r="ADK150" s="129"/>
      <c r="ADL150" s="129"/>
      <c r="ADM150" s="129"/>
      <c r="ADN150" s="129"/>
      <c r="ADO150" s="129"/>
      <c r="ADP150" s="129"/>
      <c r="ADQ150" s="129"/>
      <c r="ADR150" s="129"/>
      <c r="ADS150" s="129"/>
      <c r="ADT150" s="129"/>
      <c r="ADU150" s="129"/>
      <c r="ADV150" s="129"/>
      <c r="ADW150" s="129"/>
      <c r="ADX150" s="129"/>
      <c r="ADY150" s="129"/>
      <c r="ADZ150" s="129"/>
      <c r="AEA150" s="129"/>
      <c r="AEB150" s="129"/>
      <c r="AEC150" s="129"/>
      <c r="AED150" s="129"/>
      <c r="AEE150" s="129"/>
      <c r="AEF150" s="129"/>
      <c r="AEG150" s="129"/>
      <c r="AEH150" s="129"/>
      <c r="AEI150" s="129"/>
      <c r="AEJ150" s="129"/>
      <c r="AEK150" s="129"/>
      <c r="AEL150" s="129"/>
      <c r="AEM150" s="129"/>
      <c r="AEN150" s="129"/>
      <c r="AEO150" s="129"/>
      <c r="AEP150" s="129"/>
      <c r="AEQ150" s="129"/>
      <c r="AER150" s="129"/>
      <c r="AES150" s="129"/>
      <c r="AET150" s="129"/>
      <c r="AEU150" s="129"/>
      <c r="AEV150" s="129"/>
      <c r="AEW150" s="129"/>
      <c r="AEX150" s="129"/>
      <c r="AEY150" s="129"/>
      <c r="AEZ150" s="129"/>
      <c r="AFA150" s="129"/>
      <c r="AFB150" s="129"/>
      <c r="AFC150" s="129"/>
      <c r="AFD150" s="129"/>
      <c r="AFE150" s="129"/>
      <c r="AFF150" s="129"/>
      <c r="AFG150" s="129"/>
      <c r="AFH150" s="129"/>
      <c r="AFI150" s="129"/>
      <c r="AFJ150" s="129"/>
      <c r="AFK150" s="129"/>
      <c r="AFL150" s="129"/>
      <c r="AFM150" s="129"/>
      <c r="AFN150" s="129"/>
      <c r="AFO150" s="129"/>
      <c r="AFP150" s="129"/>
      <c r="AFQ150" s="129"/>
      <c r="AFR150" s="129"/>
      <c r="AFS150" s="129"/>
      <c r="AFT150" s="129"/>
      <c r="AFU150" s="129"/>
      <c r="AFV150" s="129"/>
      <c r="AFW150" s="129"/>
      <c r="AFX150" s="129"/>
      <c r="AFY150" s="129"/>
      <c r="AFZ150" s="129"/>
      <c r="AGA150" s="129"/>
      <c r="AGB150" s="129"/>
      <c r="AGC150" s="129"/>
      <c r="AGD150" s="129"/>
      <c r="AGE150" s="129"/>
      <c r="AGF150" s="129"/>
      <c r="AGG150" s="129"/>
      <c r="AGH150" s="129"/>
      <c r="AGI150" s="129"/>
      <c r="AGJ150" s="129"/>
      <c r="AGK150" s="129"/>
      <c r="AGL150" s="129"/>
      <c r="AGM150" s="129"/>
      <c r="AGN150" s="129"/>
      <c r="AGO150" s="129"/>
      <c r="AGP150" s="129"/>
      <c r="AGQ150" s="129"/>
      <c r="AGR150" s="129"/>
      <c r="AGS150" s="129"/>
      <c r="AGT150" s="129"/>
      <c r="AGU150" s="129"/>
      <c r="AGV150" s="129"/>
      <c r="AGW150" s="129"/>
      <c r="AGX150" s="129"/>
      <c r="AGY150" s="129"/>
      <c r="AGZ150" s="129"/>
      <c r="AHA150" s="129"/>
      <c r="AHB150" s="129"/>
      <c r="AHC150" s="129"/>
      <c r="AHD150" s="129"/>
      <c r="AHE150" s="129"/>
      <c r="AHF150" s="129"/>
      <c r="AHG150" s="129"/>
      <c r="AHH150" s="129"/>
      <c r="AHI150" s="129"/>
      <c r="AHJ150" s="129"/>
      <c r="AHK150" s="129"/>
      <c r="AHL150" s="129"/>
      <c r="AHM150" s="129"/>
      <c r="AHN150" s="129"/>
      <c r="AHO150" s="129"/>
      <c r="AHP150" s="129"/>
      <c r="AHQ150" s="129"/>
      <c r="AHR150" s="129"/>
      <c r="AHS150" s="129"/>
      <c r="AHT150" s="129"/>
      <c r="AHU150" s="129"/>
      <c r="AHV150" s="129"/>
      <c r="AHW150" s="129"/>
      <c r="AHX150" s="129"/>
      <c r="AHY150" s="129"/>
      <c r="AHZ150" s="129"/>
      <c r="AIA150" s="129"/>
      <c r="AIB150" s="129"/>
      <c r="AIC150" s="129"/>
      <c r="AID150" s="129"/>
      <c r="AIE150" s="129"/>
      <c r="AIF150" s="129"/>
      <c r="AIG150" s="129"/>
      <c r="AIH150" s="129"/>
      <c r="AII150" s="129"/>
      <c r="AIJ150" s="129"/>
      <c r="AIK150" s="129"/>
      <c r="AIL150" s="129"/>
      <c r="AIM150" s="129"/>
      <c r="AIN150" s="129"/>
      <c r="AIO150" s="129"/>
      <c r="AIP150" s="129"/>
      <c r="AIQ150" s="129"/>
      <c r="AIR150" s="129"/>
      <c r="AIS150" s="129"/>
      <c r="AIT150" s="129"/>
      <c r="AIU150" s="129"/>
      <c r="AIV150" s="129"/>
      <c r="AIW150" s="129"/>
      <c r="AIX150" s="129"/>
      <c r="AIY150" s="129"/>
      <c r="AIZ150" s="129"/>
      <c r="AJA150" s="129"/>
      <c r="AJB150" s="129"/>
      <c r="AJC150" s="129"/>
      <c r="AJD150" s="129"/>
      <c r="AJE150" s="129"/>
      <c r="AJF150" s="129"/>
      <c r="AJG150" s="129"/>
      <c r="AJH150" s="129"/>
      <c r="AJI150" s="129"/>
      <c r="AJJ150" s="129"/>
      <c r="AJK150" s="129"/>
      <c r="AJL150" s="129"/>
      <c r="AJM150" s="129"/>
      <c r="AJN150" s="129"/>
      <c r="AJO150" s="129"/>
      <c r="AJP150" s="129"/>
      <c r="AJQ150" s="129"/>
      <c r="AJR150" s="129"/>
      <c r="AJS150" s="129"/>
      <c r="AJT150" s="129"/>
      <c r="AJU150" s="129"/>
      <c r="AJV150" s="129"/>
      <c r="AJW150" s="129"/>
      <c r="AJX150" s="129"/>
      <c r="AJY150" s="129"/>
      <c r="AJZ150" s="129"/>
      <c r="AKA150" s="129"/>
      <c r="AKB150" s="129"/>
      <c r="AKC150" s="129"/>
      <c r="AKD150" s="129"/>
      <c r="AKE150" s="129"/>
      <c r="AKF150" s="129"/>
      <c r="AKG150" s="129"/>
      <c r="AKH150" s="129"/>
      <c r="AKI150" s="129"/>
      <c r="AKJ150" s="129"/>
      <c r="AKK150" s="129"/>
      <c r="AKL150" s="129"/>
      <c r="AKM150" s="129"/>
      <c r="AKN150" s="129"/>
      <c r="AKO150" s="129"/>
      <c r="AKP150" s="129"/>
      <c r="AKQ150" s="129"/>
      <c r="AKR150" s="129"/>
      <c r="AKS150" s="129"/>
      <c r="AKT150" s="129"/>
      <c r="AKU150" s="129"/>
      <c r="AKV150" s="129"/>
      <c r="AKW150" s="129"/>
      <c r="AKX150" s="129"/>
      <c r="AKY150" s="129"/>
      <c r="AKZ150" s="129"/>
      <c r="ALA150" s="129"/>
      <c r="ALB150" s="129"/>
      <c r="ALC150" s="129"/>
      <c r="ALD150" s="129"/>
      <c r="ALE150" s="129"/>
      <c r="ALF150" s="129"/>
      <c r="ALG150" s="129"/>
      <c r="ALH150" s="129"/>
      <c r="ALI150" s="129"/>
      <c r="ALJ150" s="129"/>
      <c r="ALK150" s="129"/>
      <c r="ALL150" s="129"/>
      <c r="ALM150" s="129"/>
      <c r="ALN150" s="129"/>
      <c r="ALO150" s="129"/>
      <c r="ALP150" s="129"/>
      <c r="ALQ150" s="129"/>
      <c r="ALR150" s="129"/>
      <c r="ALS150" s="129"/>
      <c r="ALT150" s="129"/>
      <c r="ALU150" s="129"/>
      <c r="ALV150" s="129"/>
      <c r="ALW150" s="129"/>
      <c r="ALX150" s="129"/>
      <c r="ALY150" s="129"/>
      <c r="ALZ150" s="129"/>
      <c r="AMA150" s="129"/>
      <c r="AMB150" s="129"/>
      <c r="AMC150" s="129"/>
      <c r="AMD150" s="129"/>
      <c r="AME150" s="129"/>
      <c r="AMF150" s="129"/>
      <c r="AMG150" s="129"/>
      <c r="AMH150" s="129"/>
      <c r="AMI150" s="129"/>
      <c r="AMJ150" s="129"/>
      <c r="AMK150" s="129"/>
      <c r="AML150" s="129"/>
      <c r="AMM150" s="129"/>
      <c r="AMN150" s="129"/>
      <c r="AMO150" s="129"/>
      <c r="AMP150" s="129"/>
    </row>
    <row r="151" spans="1:1030" s="12" customFormat="1" x14ac:dyDescent="0.2">
      <c r="A151" s="9" t="str">
        <f t="shared" ref="A151" si="981">CONCATENATE(B151,"_",C151)</f>
        <v>ccr2_human_6GPX</v>
      </c>
      <c r="B151" s="9" t="s">
        <v>170</v>
      </c>
      <c r="C151" s="9" t="s">
        <v>1547</v>
      </c>
      <c r="D151" s="9" t="str">
        <f>IFERROR(MID(VLOOKUP($B151,Seqs!$A:$B,2,0),E151,1),"")</f>
        <v>F</v>
      </c>
      <c r="E151" s="9">
        <v>35</v>
      </c>
      <c r="F151" s="9" t="str">
        <f>IFERROR(MID(VLOOKUP($B151,Seqs!$A:$B,2,0),G151,1),"")</f>
        <v>K</v>
      </c>
      <c r="G151" s="9">
        <v>71</v>
      </c>
      <c r="H151" s="9" t="str">
        <f>IFERROR(MID(VLOOKUP($B151,Seqs!$A:$B,2,0),I151,1),"")</f>
        <v/>
      </c>
      <c r="I151" s="109" t="s">
        <v>23</v>
      </c>
      <c r="J151" s="9" t="str">
        <f>IFERROR(MID(VLOOKUP($B151,Seqs!$A:$B,2,0),K151,1),"")</f>
        <v/>
      </c>
      <c r="K151" s="109" t="s">
        <v>23</v>
      </c>
      <c r="L151" s="9" t="str">
        <f>IFERROR(MID(VLOOKUP($B151,Seqs!$A:$B,2,0),M151,1),"")</f>
        <v>C</v>
      </c>
      <c r="M151" s="9">
        <v>75</v>
      </c>
      <c r="N151" s="9" t="str">
        <f>IFERROR(MID(VLOOKUP($B151,Seqs!$A:$B,2,0),O151,1),"")</f>
        <v>A</v>
      </c>
      <c r="O151" s="9">
        <v>102</v>
      </c>
      <c r="P151" s="9" t="str">
        <f>IFERROR(MID(VLOOKUP($B151,Seqs!$A:$B,2,0),Q151,1),"")</f>
        <v>E</v>
      </c>
      <c r="Q151" s="9">
        <v>105</v>
      </c>
      <c r="R151" s="9" t="str">
        <f>IFERROR(MID(VLOOKUP($B151,Seqs!$A:$B,2,0),S151,1),"")</f>
        <v>F</v>
      </c>
      <c r="S151" s="9">
        <v>108</v>
      </c>
      <c r="T151" s="9" t="str">
        <f>IFERROR(MID(VLOOKUP($B151,Seqs!$A:$B,2,0),U151,1),"")</f>
        <v>G</v>
      </c>
      <c r="U151" s="9">
        <v>109</v>
      </c>
      <c r="V151" s="9" t="str">
        <f>IFERROR(MID(VLOOKUP($B151,Seqs!$A:$B,2,0),W151,1),"")</f>
        <v>H</v>
      </c>
      <c r="W151" s="9">
        <v>144</v>
      </c>
      <c r="X151" s="9" t="str">
        <f>IFERROR(MID(VLOOKUP($B151,Seqs!$A:$B,2,0),Y151,1),"")</f>
        <v/>
      </c>
      <c r="Y151" s="9" t="s">
        <v>23</v>
      </c>
      <c r="Z151" s="9" t="str">
        <f>IFERROR(MID(VLOOKUP($B151,Seqs!$A:$B,2,0),AA151,1),"")</f>
        <v/>
      </c>
      <c r="AA151" s="9" t="s">
        <v>23</v>
      </c>
      <c r="AB151" s="9" t="str">
        <f>IFERROR(MID(VLOOKUP($B151,Seqs!$A:$B,2,0),AC151,1),"")</f>
        <v>R</v>
      </c>
      <c r="AC151" s="9">
        <v>152</v>
      </c>
      <c r="AD151" s="9" t="str">
        <f>IFERROR(MID(VLOOKUP($B151,Seqs!$A:$B,2,0),AE151,1),"")</f>
        <v>T</v>
      </c>
      <c r="AE151" s="9">
        <v>179</v>
      </c>
      <c r="AF151" s="9" t="str">
        <f>IFERROR(MID(VLOOKUP($B151,Seqs!$A:$B,2,0),AG151,1),"")</f>
        <v>C</v>
      </c>
      <c r="AG151" s="9">
        <v>190</v>
      </c>
      <c r="AH151" s="9" t="str">
        <f>IFERROR(MID(VLOOKUP($B151,Seqs!$A:$B,2,0),AI151,1),"")</f>
        <v>P</v>
      </c>
      <c r="AI151" s="9">
        <v>192</v>
      </c>
      <c r="AJ151" s="9" t="str">
        <f>IFERROR(MID(VLOOKUP($B151,Seqs!$A:$B,2,0),AK151,1),"")</f>
        <v>P</v>
      </c>
      <c r="AK151" s="9">
        <v>195</v>
      </c>
      <c r="AL151" s="9" t="str">
        <f>IFERROR(MID(VLOOKUP($B151,Seqs!$A:$B,2,0),AM151,1),"")</f>
        <v>L</v>
      </c>
      <c r="AM151" s="9">
        <v>229</v>
      </c>
      <c r="AN151" s="9" t="str">
        <f>IFERROR(MID(VLOOKUP($B151,Seqs!$A:$B,2,0),AO151,1),"")</f>
        <v>A</v>
      </c>
      <c r="AO151" s="9">
        <v>241</v>
      </c>
      <c r="AP151" s="9" t="str">
        <f>IFERROR(MID(VLOOKUP($B151,Seqs!$A:$B,2,0),AQ151,1),"")</f>
        <v>F</v>
      </c>
      <c r="AQ151" s="9">
        <v>268</v>
      </c>
      <c r="AR151" s="9" t="str">
        <f>IFERROR(MID(VLOOKUP($B151,Seqs!$A:$B,2,0),AS151,1),"")</f>
        <v>N</v>
      </c>
      <c r="AS151" s="9">
        <v>276</v>
      </c>
      <c r="AT151" s="9" t="str">
        <f>IFERROR(MID(VLOOKUP($B151,Seqs!$A:$B,2,0),AU151,1),"")</f>
        <v>V</v>
      </c>
      <c r="AU151" s="9">
        <v>308</v>
      </c>
      <c r="AV151" s="9" t="str">
        <f>IFERROR(MID(VLOOKUP($B151,Seqs!$A:$B,2,0),AW151,1),"")</f>
        <v/>
      </c>
      <c r="AW151" s="9" t="s">
        <v>23</v>
      </c>
      <c r="AX151" s="9" t="str">
        <f>IFERROR(MID(VLOOKUP($B151,Seqs!$A:$B,2,0),AY151,1),"")</f>
        <v/>
      </c>
      <c r="AY151" s="9" t="s">
        <v>23</v>
      </c>
      <c r="AZ151" s="110" t="str">
        <f>VLOOKUP(B151,Classification!A:D,2,0)</f>
        <v>A</v>
      </c>
      <c r="BA151" s="98" t="str">
        <f>VLOOKUP(B151,Classification!A:D,4,0)</f>
        <v>Chemokine</v>
      </c>
      <c r="BB151" s="36" t="b">
        <f t="shared" ref="BB151" si="982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109">
        <f t="shared" ref="BC151" si="983">_xlfn.AGGREGATE(9,6,CH151:CS151)-_xlfn.AGGREGATE(9,6,BV151:CG151)+12</f>
        <v>235</v>
      </c>
      <c r="BD151" s="127" t="s">
        <v>23</v>
      </c>
      <c r="BE151" s="9" t="s">
        <v>1374</v>
      </c>
      <c r="BF151" s="120">
        <v>2.7</v>
      </c>
      <c r="BG151" s="51" t="s">
        <v>1</v>
      </c>
      <c r="BH151" s="51" t="s">
        <v>1</v>
      </c>
      <c r="BJ151" s="111" t="s">
        <v>1287</v>
      </c>
      <c r="BK151" s="112" t="s">
        <v>1287</v>
      </c>
      <c r="BL151" s="112" t="s">
        <v>1287</v>
      </c>
      <c r="BM151" s="112" t="s">
        <v>1287</v>
      </c>
      <c r="BN151" s="112" t="s">
        <v>1287</v>
      </c>
      <c r="BO151" s="112" t="s">
        <v>1287</v>
      </c>
      <c r="BP151" s="112" t="s">
        <v>1287</v>
      </c>
      <c r="BQ151" s="112" t="s">
        <v>1287</v>
      </c>
      <c r="BR151" s="112" t="s">
        <v>1287</v>
      </c>
      <c r="BS151" s="112" t="s">
        <v>1287</v>
      </c>
      <c r="BT151" s="112" t="s">
        <v>1287</v>
      </c>
      <c r="BU151" s="112" t="s">
        <v>1287</v>
      </c>
      <c r="BV151" s="111">
        <f t="shared" ref="BV151" si="984">E151</f>
        <v>35</v>
      </c>
      <c r="BW151" s="113" t="str">
        <f t="shared" ref="BW151" si="985">I151</f>
        <v>-</v>
      </c>
      <c r="BX151" s="114">
        <f t="shared" ref="BX151" si="986">M151</f>
        <v>75</v>
      </c>
      <c r="BY151" s="113">
        <f t="shared" ref="BY151" si="987">Q151</f>
        <v>105</v>
      </c>
      <c r="BZ151" s="114">
        <f t="shared" ref="BZ151" si="988">U151</f>
        <v>109</v>
      </c>
      <c r="CA151" s="113" t="str">
        <f t="shared" ref="CA151" si="989">Y151</f>
        <v>-</v>
      </c>
      <c r="CB151" s="114">
        <f t="shared" ref="CB151" si="990">AC151</f>
        <v>152</v>
      </c>
      <c r="CC151" s="113">
        <f t="shared" ref="CC151" si="991">AG151</f>
        <v>190</v>
      </c>
      <c r="CD151" s="114">
        <f t="shared" ref="CD151" si="992">AK151</f>
        <v>195</v>
      </c>
      <c r="CE151" s="113">
        <f t="shared" ref="CE151" si="993">AO151</f>
        <v>241</v>
      </c>
      <c r="CF151" s="114">
        <f t="shared" ref="CF151" si="994">AS151</f>
        <v>276</v>
      </c>
      <c r="CG151" s="113" t="str">
        <f t="shared" ref="CG151" si="995">AW151</f>
        <v>-</v>
      </c>
      <c r="CH151" s="111">
        <f t="shared" ref="CH151" si="996">G151</f>
        <v>71</v>
      </c>
      <c r="CI151" s="113" t="str">
        <f t="shared" ref="CI151" si="997">K151</f>
        <v>-</v>
      </c>
      <c r="CJ151" s="114">
        <f t="shared" ref="CJ151" si="998">O151</f>
        <v>102</v>
      </c>
      <c r="CK151" s="114">
        <f t="shared" ref="CK151" si="999">S151</f>
        <v>108</v>
      </c>
      <c r="CL151" s="114">
        <f t="shared" ref="CL151" si="1000">W151</f>
        <v>144</v>
      </c>
      <c r="CM151" s="114" t="str">
        <f t="shared" ref="CM151" si="1001">AA151</f>
        <v>-</v>
      </c>
      <c r="CN151" s="114">
        <f t="shared" ref="CN151" si="1002">AE151</f>
        <v>179</v>
      </c>
      <c r="CO151" s="114">
        <f t="shared" ref="CO151" si="1003">AI151</f>
        <v>192</v>
      </c>
      <c r="CP151" s="114">
        <f t="shared" ref="CP151" si="1004">AM151</f>
        <v>229</v>
      </c>
      <c r="CQ151" s="114">
        <f t="shared" ref="CQ151" si="1005">AQ151</f>
        <v>268</v>
      </c>
      <c r="CR151" s="114">
        <f t="shared" ref="CR151" si="1006">AU151</f>
        <v>308</v>
      </c>
      <c r="CS151" s="114" t="str">
        <f t="shared" ref="CS151" si="1007">AY151</f>
        <v>-</v>
      </c>
      <c r="CT151" s="109" t="e">
        <f t="shared" ref="CT151" si="1008">M151-K151</f>
        <v>#VALUE!</v>
      </c>
      <c r="CU151" s="129"/>
      <c r="CV151" s="129"/>
      <c r="CW151" s="129"/>
      <c r="CX151" s="129"/>
      <c r="CY151" s="129"/>
      <c r="CZ151" s="129"/>
      <c r="DA151" s="129"/>
      <c r="DB151" s="129"/>
      <c r="DC151" s="129"/>
      <c r="DD151" s="129"/>
      <c r="DE151" s="129"/>
      <c r="DF151" s="129"/>
      <c r="DG151" s="129"/>
      <c r="DH151" s="129"/>
      <c r="DI151" s="129"/>
      <c r="DJ151" s="129"/>
      <c r="DK151" s="129"/>
      <c r="DL151" s="129"/>
      <c r="DM151" s="129"/>
      <c r="DN151" s="129"/>
      <c r="DO151" s="129"/>
      <c r="DP151" s="129"/>
      <c r="DQ151" s="129"/>
      <c r="DR151" s="129"/>
      <c r="DS151" s="129"/>
      <c r="DT151" s="129"/>
      <c r="DU151" s="129"/>
      <c r="DV151" s="129"/>
      <c r="DW151" s="129"/>
      <c r="DX151" s="129"/>
      <c r="DY151" s="129"/>
      <c r="DZ151" s="129"/>
      <c r="EA151" s="129"/>
      <c r="EB151" s="129"/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/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  <c r="FQ151" s="129"/>
      <c r="FR151" s="129"/>
      <c r="FS151" s="129"/>
      <c r="FT151" s="129"/>
      <c r="FU151" s="129"/>
      <c r="FV151" s="129"/>
      <c r="FW151" s="129"/>
      <c r="FX151" s="129"/>
      <c r="FY151" s="129"/>
      <c r="FZ151" s="129"/>
      <c r="GA151" s="129"/>
      <c r="GB151" s="129"/>
      <c r="GC151" s="129"/>
      <c r="GD151" s="129"/>
      <c r="GE151" s="129"/>
      <c r="GF151" s="129"/>
      <c r="GG151" s="129"/>
      <c r="GH151" s="129"/>
      <c r="GI151" s="129"/>
      <c r="GJ151" s="129"/>
      <c r="GK151" s="129"/>
      <c r="GL151" s="129"/>
      <c r="GM151" s="129"/>
      <c r="GN151" s="129"/>
      <c r="GO151" s="129"/>
      <c r="GP151" s="129"/>
      <c r="GQ151" s="129"/>
      <c r="GR151" s="129"/>
      <c r="GS151" s="129"/>
      <c r="GT151" s="129"/>
      <c r="GU151" s="129"/>
      <c r="GV151" s="129"/>
      <c r="GW151" s="129"/>
      <c r="GX151" s="129"/>
      <c r="GY151" s="129"/>
      <c r="GZ151" s="129"/>
      <c r="HA151" s="129"/>
      <c r="HB151" s="129"/>
      <c r="HC151" s="129"/>
      <c r="HD151" s="129"/>
      <c r="HE151" s="129"/>
      <c r="HF151" s="129"/>
      <c r="HG151" s="129"/>
      <c r="HH151" s="129"/>
      <c r="HI151" s="129"/>
      <c r="HJ151" s="129"/>
      <c r="HK151" s="129"/>
      <c r="HL151" s="129"/>
      <c r="HM151" s="129"/>
      <c r="HN151" s="129"/>
      <c r="HO151" s="129"/>
      <c r="HP151" s="129"/>
      <c r="HQ151" s="129"/>
      <c r="HR151" s="129"/>
      <c r="HS151" s="129"/>
      <c r="HT151" s="129"/>
      <c r="HU151" s="129"/>
      <c r="HV151" s="129"/>
      <c r="HW151" s="129"/>
      <c r="HX151" s="129"/>
      <c r="HY151" s="129"/>
      <c r="HZ151" s="129"/>
      <c r="IA151" s="129"/>
      <c r="IB151" s="129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29"/>
      <c r="IR151" s="129"/>
      <c r="IS151" s="129"/>
      <c r="IT151" s="129"/>
      <c r="IU151" s="129"/>
      <c r="IV151" s="129"/>
      <c r="IW151" s="129"/>
      <c r="IX151" s="129"/>
      <c r="IY151" s="129"/>
      <c r="IZ151" s="129"/>
      <c r="JA151" s="129"/>
      <c r="JB151" s="129"/>
      <c r="JC151" s="129"/>
      <c r="JD151" s="129"/>
      <c r="JE151" s="129"/>
      <c r="JF151" s="129"/>
      <c r="JG151" s="129"/>
      <c r="JH151" s="129"/>
      <c r="JI151" s="129"/>
      <c r="JJ151" s="129"/>
      <c r="JK151" s="129"/>
      <c r="JL151" s="129"/>
      <c r="JM151" s="129"/>
      <c r="JN151" s="129"/>
      <c r="JO151" s="129"/>
      <c r="JP151" s="129"/>
      <c r="JQ151" s="129"/>
      <c r="JR151" s="129"/>
      <c r="JS151" s="129"/>
      <c r="JT151" s="129"/>
      <c r="JU151" s="129"/>
      <c r="JV151" s="129"/>
      <c r="JW151" s="129"/>
      <c r="JX151" s="129"/>
      <c r="JY151" s="129"/>
      <c r="JZ151" s="129"/>
      <c r="KA151" s="129"/>
      <c r="KB151" s="129"/>
      <c r="KC151" s="129"/>
      <c r="KD151" s="129"/>
      <c r="KE151" s="129"/>
      <c r="KF151" s="129"/>
      <c r="KG151" s="129"/>
      <c r="KH151" s="129"/>
      <c r="KI151" s="129"/>
      <c r="KJ151" s="129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  <c r="KY151" s="129"/>
      <c r="KZ151" s="129"/>
      <c r="LA151" s="129"/>
      <c r="LB151" s="129"/>
      <c r="LC151" s="129"/>
      <c r="LD151" s="129"/>
      <c r="LE151" s="129"/>
      <c r="LF151" s="129"/>
      <c r="LG151" s="129"/>
      <c r="LH151" s="129"/>
      <c r="LI151" s="129"/>
      <c r="LJ151" s="129"/>
      <c r="LK151" s="129"/>
      <c r="LL151" s="129"/>
      <c r="LM151" s="129"/>
      <c r="LN151" s="129"/>
      <c r="LO151" s="129"/>
      <c r="LP151" s="129"/>
      <c r="LQ151" s="129"/>
      <c r="LR151" s="129"/>
      <c r="LS151" s="129"/>
      <c r="LT151" s="129"/>
      <c r="LU151" s="129"/>
      <c r="LV151" s="129"/>
      <c r="LW151" s="129"/>
      <c r="LX151" s="129"/>
      <c r="LY151" s="129"/>
      <c r="LZ151" s="129"/>
      <c r="MA151" s="129"/>
      <c r="MB151" s="129"/>
      <c r="MC151" s="129"/>
      <c r="MD151" s="129"/>
      <c r="ME151" s="129"/>
      <c r="MF151" s="129"/>
      <c r="MG151" s="129"/>
      <c r="MH151" s="129"/>
      <c r="MI151" s="129"/>
      <c r="MJ151" s="129"/>
      <c r="MK151" s="129"/>
      <c r="ML151" s="129"/>
      <c r="MM151" s="129"/>
      <c r="MN151" s="129"/>
      <c r="MO151" s="129"/>
      <c r="MP151" s="129"/>
      <c r="MQ151" s="129"/>
      <c r="MR151" s="129"/>
      <c r="MS151" s="129"/>
      <c r="MT151" s="129"/>
      <c r="MU151" s="129"/>
      <c r="MV151" s="129"/>
      <c r="MW151" s="129"/>
      <c r="MX151" s="129"/>
      <c r="MY151" s="129"/>
      <c r="MZ151" s="129"/>
      <c r="NA151" s="129"/>
      <c r="NB151" s="129"/>
      <c r="NC151" s="129"/>
      <c r="ND151" s="129"/>
      <c r="NE151" s="129"/>
      <c r="NF151" s="129"/>
      <c r="NG151" s="129"/>
      <c r="NH151" s="129"/>
      <c r="NI151" s="129"/>
      <c r="NJ151" s="129"/>
      <c r="NK151" s="129"/>
      <c r="NL151" s="129"/>
      <c r="NM151" s="129"/>
      <c r="NN151" s="129"/>
      <c r="NO151" s="129"/>
      <c r="NP151" s="129"/>
      <c r="NQ151" s="129"/>
      <c r="NR151" s="129"/>
      <c r="NS151" s="129"/>
      <c r="NT151" s="129"/>
      <c r="NU151" s="129"/>
      <c r="NV151" s="129"/>
      <c r="NW151" s="129"/>
      <c r="NX151" s="129"/>
      <c r="NY151" s="129"/>
      <c r="NZ151" s="129"/>
      <c r="OA151" s="129"/>
      <c r="OB151" s="129"/>
      <c r="OC151" s="129"/>
      <c r="OD151" s="129"/>
      <c r="OE151" s="129"/>
      <c r="OF151" s="129"/>
      <c r="OG151" s="129"/>
      <c r="OH151" s="129"/>
      <c r="OI151" s="129"/>
      <c r="OJ151" s="129"/>
      <c r="OK151" s="129"/>
      <c r="OL151" s="129"/>
      <c r="OM151" s="129"/>
      <c r="ON151" s="129"/>
      <c r="OO151" s="129"/>
      <c r="OP151" s="129"/>
      <c r="OQ151" s="129"/>
      <c r="OR151" s="129"/>
      <c r="OS151" s="129"/>
      <c r="OT151" s="129"/>
      <c r="OU151" s="129"/>
      <c r="OV151" s="129"/>
      <c r="OW151" s="129"/>
      <c r="OX151" s="129"/>
      <c r="OY151" s="129"/>
      <c r="OZ151" s="129"/>
      <c r="PA151" s="129"/>
      <c r="PB151" s="129"/>
      <c r="PC151" s="129"/>
      <c r="PD151" s="129"/>
      <c r="PE151" s="129"/>
      <c r="PF151" s="129"/>
      <c r="PG151" s="129"/>
      <c r="PH151" s="129"/>
      <c r="PI151" s="129"/>
      <c r="PJ151" s="129"/>
      <c r="PK151" s="129"/>
      <c r="PL151" s="129"/>
      <c r="PM151" s="129"/>
      <c r="PN151" s="129"/>
      <c r="PO151" s="129"/>
      <c r="PP151" s="129"/>
      <c r="PQ151" s="129"/>
      <c r="PR151" s="129"/>
      <c r="PS151" s="129"/>
      <c r="PT151" s="129"/>
      <c r="PU151" s="129"/>
      <c r="PV151" s="129"/>
      <c r="PW151" s="129"/>
      <c r="PX151" s="129"/>
      <c r="PY151" s="129"/>
      <c r="PZ151" s="129"/>
      <c r="QA151" s="129"/>
      <c r="QB151" s="129"/>
      <c r="QC151" s="129"/>
      <c r="QD151" s="129"/>
      <c r="QE151" s="129"/>
      <c r="QF151" s="129"/>
      <c r="QG151" s="129"/>
      <c r="QH151" s="129"/>
      <c r="QI151" s="129"/>
      <c r="QJ151" s="129"/>
      <c r="QK151" s="129"/>
      <c r="QL151" s="129"/>
      <c r="QM151" s="129"/>
      <c r="QN151" s="129"/>
      <c r="QO151" s="129"/>
      <c r="QP151" s="129"/>
      <c r="QQ151" s="129"/>
      <c r="QR151" s="129"/>
      <c r="QS151" s="129"/>
      <c r="QT151" s="129"/>
      <c r="QU151" s="129"/>
      <c r="QV151" s="129"/>
      <c r="QW151" s="129"/>
      <c r="QX151" s="129"/>
      <c r="QY151" s="129"/>
      <c r="QZ151" s="129"/>
      <c r="RA151" s="129"/>
      <c r="RB151" s="129"/>
      <c r="RC151" s="129"/>
      <c r="RD151" s="129"/>
      <c r="RE151" s="129"/>
      <c r="RF151" s="129"/>
      <c r="RG151" s="129"/>
      <c r="RH151" s="129"/>
      <c r="RI151" s="129"/>
      <c r="RJ151" s="129"/>
      <c r="RK151" s="129"/>
      <c r="RL151" s="129"/>
      <c r="RM151" s="129"/>
      <c r="RN151" s="129"/>
      <c r="RO151" s="129"/>
      <c r="RP151" s="129"/>
      <c r="RQ151" s="129"/>
      <c r="RR151" s="129"/>
      <c r="RS151" s="129"/>
      <c r="RT151" s="129"/>
      <c r="RU151" s="129"/>
      <c r="RV151" s="129"/>
      <c r="RW151" s="129"/>
      <c r="RX151" s="129"/>
      <c r="RY151" s="129"/>
      <c r="RZ151" s="129"/>
      <c r="SA151" s="129"/>
      <c r="SB151" s="129"/>
      <c r="SC151" s="129"/>
      <c r="SD151" s="129"/>
      <c r="SE151" s="129"/>
      <c r="SF151" s="129"/>
      <c r="SG151" s="129"/>
      <c r="SH151" s="129"/>
      <c r="SI151" s="129"/>
      <c r="SJ151" s="129"/>
      <c r="SK151" s="129"/>
      <c r="SL151" s="129"/>
      <c r="SM151" s="129"/>
      <c r="SN151" s="129"/>
      <c r="SO151" s="129"/>
      <c r="SP151" s="129"/>
      <c r="SQ151" s="129"/>
      <c r="SR151" s="129"/>
      <c r="SS151" s="129"/>
      <c r="ST151" s="129"/>
      <c r="SU151" s="129"/>
      <c r="SV151" s="129"/>
      <c r="SW151" s="129"/>
      <c r="SX151" s="129"/>
      <c r="SY151" s="129"/>
      <c r="SZ151" s="129"/>
      <c r="TA151" s="129"/>
      <c r="TB151" s="129"/>
      <c r="TC151" s="129"/>
      <c r="TD151" s="129"/>
      <c r="TE151" s="129"/>
      <c r="TF151" s="129"/>
      <c r="TG151" s="129"/>
      <c r="TH151" s="129"/>
      <c r="TI151" s="129"/>
      <c r="TJ151" s="129"/>
      <c r="TK151" s="129"/>
      <c r="TL151" s="129"/>
      <c r="TM151" s="129"/>
      <c r="TN151" s="129"/>
      <c r="TO151" s="129"/>
      <c r="TP151" s="129"/>
      <c r="TQ151" s="129"/>
      <c r="TR151" s="129"/>
      <c r="TS151" s="129"/>
      <c r="TT151" s="129"/>
      <c r="TU151" s="129"/>
      <c r="TV151" s="129"/>
      <c r="TW151" s="129"/>
      <c r="TX151" s="129"/>
      <c r="TY151" s="129"/>
      <c r="TZ151" s="129"/>
      <c r="UA151" s="129"/>
      <c r="UB151" s="129"/>
      <c r="UC151" s="129"/>
      <c r="UD151" s="129"/>
      <c r="UE151" s="129"/>
      <c r="UF151" s="129"/>
      <c r="UG151" s="129"/>
      <c r="UH151" s="129"/>
      <c r="UI151" s="129"/>
      <c r="UJ151" s="129"/>
      <c r="UK151" s="129"/>
      <c r="UL151" s="129"/>
      <c r="UM151" s="129"/>
      <c r="UN151" s="129"/>
      <c r="UO151" s="129"/>
      <c r="UP151" s="129"/>
      <c r="UQ151" s="129"/>
      <c r="UR151" s="129"/>
      <c r="US151" s="129"/>
      <c r="UT151" s="129"/>
      <c r="UU151" s="129"/>
      <c r="UV151" s="129"/>
      <c r="UW151" s="129"/>
      <c r="UX151" s="129"/>
      <c r="UY151" s="129"/>
      <c r="UZ151" s="129"/>
      <c r="VA151" s="129"/>
      <c r="VB151" s="129"/>
      <c r="VC151" s="129"/>
      <c r="VD151" s="129"/>
      <c r="VE151" s="129"/>
      <c r="VF151" s="129"/>
      <c r="VG151" s="129"/>
      <c r="VH151" s="129"/>
      <c r="VI151" s="129"/>
      <c r="VJ151" s="129"/>
      <c r="VK151" s="129"/>
      <c r="VL151" s="129"/>
      <c r="VM151" s="129"/>
      <c r="VN151" s="129"/>
      <c r="VO151" s="129"/>
      <c r="VP151" s="129"/>
      <c r="VQ151" s="129"/>
      <c r="VR151" s="129"/>
      <c r="VS151" s="129"/>
      <c r="VT151" s="129"/>
      <c r="VU151" s="129"/>
      <c r="VV151" s="129"/>
      <c r="VW151" s="129"/>
      <c r="VX151" s="129"/>
      <c r="VY151" s="129"/>
      <c r="VZ151" s="129"/>
      <c r="WA151" s="129"/>
      <c r="WB151" s="129"/>
      <c r="WC151" s="129"/>
      <c r="WD151" s="129"/>
      <c r="WE151" s="129"/>
      <c r="WF151" s="129"/>
      <c r="WG151" s="129"/>
      <c r="WH151" s="129"/>
      <c r="WI151" s="129"/>
      <c r="WJ151" s="129"/>
      <c r="WK151" s="129"/>
      <c r="WL151" s="129"/>
      <c r="WM151" s="129"/>
      <c r="WN151" s="129"/>
      <c r="WO151" s="129"/>
      <c r="WP151" s="129"/>
      <c r="WQ151" s="129"/>
      <c r="WR151" s="129"/>
      <c r="WS151" s="129"/>
      <c r="WT151" s="129"/>
      <c r="WU151" s="129"/>
      <c r="WV151" s="129"/>
      <c r="WW151" s="129"/>
      <c r="WX151" s="129"/>
      <c r="WY151" s="129"/>
      <c r="WZ151" s="129"/>
      <c r="XA151" s="129"/>
      <c r="XB151" s="129"/>
      <c r="XC151" s="129"/>
      <c r="XD151" s="129"/>
      <c r="XE151" s="129"/>
      <c r="XF151" s="129"/>
      <c r="XG151" s="129"/>
      <c r="XH151" s="129"/>
      <c r="XI151" s="129"/>
      <c r="XJ151" s="129"/>
      <c r="XK151" s="129"/>
      <c r="XL151" s="129"/>
      <c r="XM151" s="129"/>
      <c r="XN151" s="129"/>
      <c r="XO151" s="129"/>
      <c r="XP151" s="129"/>
      <c r="XQ151" s="129"/>
      <c r="XR151" s="129"/>
      <c r="XS151" s="129"/>
      <c r="XT151" s="129"/>
      <c r="XU151" s="129"/>
      <c r="XV151" s="129"/>
      <c r="XW151" s="129"/>
      <c r="XX151" s="129"/>
      <c r="XY151" s="129"/>
      <c r="XZ151" s="129"/>
      <c r="YA151" s="129"/>
      <c r="YB151" s="129"/>
      <c r="YC151" s="129"/>
      <c r="YD151" s="129"/>
      <c r="YE151" s="129"/>
      <c r="YF151" s="129"/>
      <c r="YG151" s="129"/>
      <c r="YH151" s="129"/>
      <c r="YI151" s="129"/>
      <c r="YJ151" s="129"/>
      <c r="YK151" s="129"/>
      <c r="YL151" s="129"/>
      <c r="YM151" s="129"/>
      <c r="YN151" s="129"/>
      <c r="YO151" s="129"/>
      <c r="YP151" s="129"/>
      <c r="YQ151" s="129"/>
      <c r="YR151" s="129"/>
      <c r="YS151" s="129"/>
      <c r="YT151" s="129"/>
      <c r="YU151" s="129"/>
      <c r="YV151" s="129"/>
      <c r="YW151" s="129"/>
      <c r="YX151" s="129"/>
      <c r="YY151" s="129"/>
      <c r="YZ151" s="129"/>
      <c r="ZA151" s="129"/>
      <c r="ZB151" s="129"/>
      <c r="ZC151" s="129"/>
      <c r="ZD151" s="129"/>
      <c r="ZE151" s="129"/>
      <c r="ZF151" s="129"/>
      <c r="ZG151" s="129"/>
      <c r="ZH151" s="129"/>
      <c r="ZI151" s="129"/>
      <c r="ZJ151" s="129"/>
      <c r="ZK151" s="129"/>
      <c r="ZL151" s="129"/>
      <c r="ZM151" s="129"/>
      <c r="ZN151" s="129"/>
      <c r="ZO151" s="129"/>
      <c r="ZP151" s="129"/>
      <c r="ZQ151" s="129"/>
      <c r="ZR151" s="129"/>
      <c r="ZS151" s="129"/>
      <c r="ZT151" s="129"/>
      <c r="ZU151" s="129"/>
      <c r="ZV151" s="129"/>
      <c r="ZW151" s="129"/>
      <c r="ZX151" s="129"/>
      <c r="ZY151" s="129"/>
      <c r="ZZ151" s="129"/>
      <c r="AAA151" s="129"/>
      <c r="AAB151" s="129"/>
      <c r="AAC151" s="129"/>
      <c r="AAD151" s="129"/>
      <c r="AAE151" s="129"/>
      <c r="AAF151" s="129"/>
      <c r="AAG151" s="129"/>
      <c r="AAH151" s="129"/>
      <c r="AAI151" s="129"/>
      <c r="AAJ151" s="129"/>
      <c r="AAK151" s="129"/>
      <c r="AAL151" s="129"/>
      <c r="AAM151" s="129"/>
      <c r="AAN151" s="129"/>
      <c r="AAO151" s="129"/>
      <c r="AAP151" s="129"/>
      <c r="AAQ151" s="129"/>
      <c r="AAR151" s="129"/>
      <c r="AAS151" s="129"/>
      <c r="AAT151" s="129"/>
      <c r="AAU151" s="129"/>
      <c r="AAV151" s="129"/>
      <c r="AAW151" s="129"/>
      <c r="AAX151" s="129"/>
      <c r="AAY151" s="129"/>
      <c r="AAZ151" s="129"/>
      <c r="ABA151" s="129"/>
      <c r="ABB151" s="129"/>
      <c r="ABC151" s="129"/>
      <c r="ABD151" s="129"/>
      <c r="ABE151" s="129"/>
      <c r="ABF151" s="129"/>
      <c r="ABG151" s="129"/>
      <c r="ABH151" s="129"/>
      <c r="ABI151" s="129"/>
      <c r="ABJ151" s="129"/>
      <c r="ABK151" s="129"/>
      <c r="ABL151" s="129"/>
      <c r="ABM151" s="129"/>
      <c r="ABN151" s="129"/>
      <c r="ABO151" s="129"/>
      <c r="ABP151" s="129"/>
      <c r="ABQ151" s="129"/>
      <c r="ABR151" s="129"/>
      <c r="ABS151" s="129"/>
      <c r="ABT151" s="129"/>
      <c r="ABU151" s="129"/>
      <c r="ABV151" s="129"/>
      <c r="ABW151" s="129"/>
      <c r="ABX151" s="129"/>
      <c r="ABY151" s="129"/>
      <c r="ABZ151" s="129"/>
      <c r="ACA151" s="129"/>
      <c r="ACB151" s="129"/>
      <c r="ACC151" s="129"/>
      <c r="ACD151" s="129"/>
      <c r="ACE151" s="129"/>
      <c r="ACF151" s="129"/>
      <c r="ACG151" s="129"/>
      <c r="ACH151" s="129"/>
      <c r="ACI151" s="129"/>
      <c r="ACJ151" s="129"/>
      <c r="ACK151" s="129"/>
      <c r="ACL151" s="129"/>
      <c r="ACM151" s="129"/>
      <c r="ACN151" s="129"/>
      <c r="ACO151" s="129"/>
      <c r="ACP151" s="129"/>
      <c r="ACQ151" s="129"/>
      <c r="ACR151" s="129"/>
      <c r="ACS151" s="129"/>
      <c r="ACT151" s="129"/>
      <c r="ACU151" s="129"/>
      <c r="ACV151" s="129"/>
      <c r="ACW151" s="129"/>
      <c r="ACX151" s="129"/>
      <c r="ACY151" s="129"/>
      <c r="ACZ151" s="129"/>
      <c r="ADA151" s="129"/>
      <c r="ADB151" s="129"/>
      <c r="ADC151" s="129"/>
      <c r="ADD151" s="129"/>
      <c r="ADE151" s="129"/>
      <c r="ADF151" s="129"/>
      <c r="ADG151" s="129"/>
      <c r="ADH151" s="129"/>
      <c r="ADI151" s="129"/>
      <c r="ADJ151" s="129"/>
      <c r="ADK151" s="129"/>
      <c r="ADL151" s="129"/>
      <c r="ADM151" s="129"/>
      <c r="ADN151" s="129"/>
      <c r="ADO151" s="129"/>
      <c r="ADP151" s="129"/>
      <c r="ADQ151" s="129"/>
      <c r="ADR151" s="129"/>
      <c r="ADS151" s="129"/>
      <c r="ADT151" s="129"/>
      <c r="ADU151" s="129"/>
      <c r="ADV151" s="129"/>
      <c r="ADW151" s="129"/>
      <c r="ADX151" s="129"/>
      <c r="ADY151" s="129"/>
      <c r="ADZ151" s="129"/>
      <c r="AEA151" s="129"/>
      <c r="AEB151" s="129"/>
      <c r="AEC151" s="129"/>
      <c r="AED151" s="129"/>
      <c r="AEE151" s="129"/>
      <c r="AEF151" s="129"/>
      <c r="AEG151" s="129"/>
      <c r="AEH151" s="129"/>
      <c r="AEI151" s="129"/>
      <c r="AEJ151" s="129"/>
      <c r="AEK151" s="129"/>
      <c r="AEL151" s="129"/>
      <c r="AEM151" s="129"/>
      <c r="AEN151" s="129"/>
      <c r="AEO151" s="129"/>
      <c r="AEP151" s="129"/>
      <c r="AEQ151" s="129"/>
      <c r="AER151" s="129"/>
      <c r="AES151" s="129"/>
      <c r="AET151" s="129"/>
      <c r="AEU151" s="129"/>
      <c r="AEV151" s="129"/>
      <c r="AEW151" s="129"/>
      <c r="AEX151" s="129"/>
      <c r="AEY151" s="129"/>
      <c r="AEZ151" s="129"/>
      <c r="AFA151" s="129"/>
      <c r="AFB151" s="129"/>
      <c r="AFC151" s="129"/>
      <c r="AFD151" s="129"/>
      <c r="AFE151" s="129"/>
      <c r="AFF151" s="129"/>
      <c r="AFG151" s="129"/>
      <c r="AFH151" s="129"/>
      <c r="AFI151" s="129"/>
      <c r="AFJ151" s="129"/>
      <c r="AFK151" s="129"/>
      <c r="AFL151" s="129"/>
      <c r="AFM151" s="129"/>
      <c r="AFN151" s="129"/>
      <c r="AFO151" s="129"/>
      <c r="AFP151" s="129"/>
      <c r="AFQ151" s="129"/>
      <c r="AFR151" s="129"/>
      <c r="AFS151" s="129"/>
      <c r="AFT151" s="129"/>
      <c r="AFU151" s="129"/>
      <c r="AFV151" s="129"/>
      <c r="AFW151" s="129"/>
      <c r="AFX151" s="129"/>
      <c r="AFY151" s="129"/>
      <c r="AFZ151" s="129"/>
      <c r="AGA151" s="129"/>
      <c r="AGB151" s="129"/>
      <c r="AGC151" s="129"/>
      <c r="AGD151" s="129"/>
      <c r="AGE151" s="129"/>
      <c r="AGF151" s="129"/>
      <c r="AGG151" s="129"/>
      <c r="AGH151" s="129"/>
      <c r="AGI151" s="129"/>
      <c r="AGJ151" s="129"/>
      <c r="AGK151" s="129"/>
      <c r="AGL151" s="129"/>
      <c r="AGM151" s="129"/>
      <c r="AGN151" s="129"/>
      <c r="AGO151" s="129"/>
      <c r="AGP151" s="129"/>
      <c r="AGQ151" s="129"/>
      <c r="AGR151" s="129"/>
      <c r="AGS151" s="129"/>
      <c r="AGT151" s="129"/>
      <c r="AGU151" s="129"/>
      <c r="AGV151" s="129"/>
      <c r="AGW151" s="129"/>
      <c r="AGX151" s="129"/>
      <c r="AGY151" s="129"/>
      <c r="AGZ151" s="129"/>
      <c r="AHA151" s="129"/>
      <c r="AHB151" s="129"/>
      <c r="AHC151" s="129"/>
      <c r="AHD151" s="129"/>
      <c r="AHE151" s="129"/>
      <c r="AHF151" s="129"/>
      <c r="AHG151" s="129"/>
      <c r="AHH151" s="129"/>
      <c r="AHI151" s="129"/>
      <c r="AHJ151" s="129"/>
      <c r="AHK151" s="129"/>
      <c r="AHL151" s="129"/>
      <c r="AHM151" s="129"/>
      <c r="AHN151" s="129"/>
      <c r="AHO151" s="129"/>
      <c r="AHP151" s="129"/>
      <c r="AHQ151" s="129"/>
      <c r="AHR151" s="129"/>
      <c r="AHS151" s="129"/>
      <c r="AHT151" s="129"/>
      <c r="AHU151" s="129"/>
      <c r="AHV151" s="129"/>
      <c r="AHW151" s="129"/>
      <c r="AHX151" s="129"/>
      <c r="AHY151" s="129"/>
      <c r="AHZ151" s="129"/>
      <c r="AIA151" s="129"/>
      <c r="AIB151" s="129"/>
      <c r="AIC151" s="129"/>
      <c r="AID151" s="129"/>
      <c r="AIE151" s="129"/>
      <c r="AIF151" s="129"/>
      <c r="AIG151" s="129"/>
      <c r="AIH151" s="129"/>
      <c r="AII151" s="129"/>
      <c r="AIJ151" s="129"/>
      <c r="AIK151" s="129"/>
      <c r="AIL151" s="129"/>
      <c r="AIM151" s="129"/>
      <c r="AIN151" s="129"/>
      <c r="AIO151" s="129"/>
      <c r="AIP151" s="129"/>
      <c r="AIQ151" s="129"/>
      <c r="AIR151" s="129"/>
      <c r="AIS151" s="129"/>
      <c r="AIT151" s="129"/>
      <c r="AIU151" s="129"/>
      <c r="AIV151" s="129"/>
      <c r="AIW151" s="129"/>
      <c r="AIX151" s="129"/>
      <c r="AIY151" s="129"/>
      <c r="AIZ151" s="129"/>
      <c r="AJA151" s="129"/>
      <c r="AJB151" s="129"/>
      <c r="AJC151" s="129"/>
      <c r="AJD151" s="129"/>
      <c r="AJE151" s="129"/>
      <c r="AJF151" s="129"/>
      <c r="AJG151" s="129"/>
      <c r="AJH151" s="129"/>
      <c r="AJI151" s="129"/>
      <c r="AJJ151" s="129"/>
      <c r="AJK151" s="129"/>
      <c r="AJL151" s="129"/>
      <c r="AJM151" s="129"/>
      <c r="AJN151" s="129"/>
      <c r="AJO151" s="129"/>
      <c r="AJP151" s="129"/>
      <c r="AJQ151" s="129"/>
      <c r="AJR151" s="129"/>
      <c r="AJS151" s="129"/>
      <c r="AJT151" s="129"/>
      <c r="AJU151" s="129"/>
      <c r="AJV151" s="129"/>
      <c r="AJW151" s="129"/>
      <c r="AJX151" s="129"/>
      <c r="AJY151" s="129"/>
      <c r="AJZ151" s="129"/>
      <c r="AKA151" s="129"/>
      <c r="AKB151" s="129"/>
      <c r="AKC151" s="129"/>
      <c r="AKD151" s="129"/>
      <c r="AKE151" s="129"/>
      <c r="AKF151" s="129"/>
      <c r="AKG151" s="129"/>
      <c r="AKH151" s="129"/>
      <c r="AKI151" s="129"/>
      <c r="AKJ151" s="129"/>
      <c r="AKK151" s="129"/>
      <c r="AKL151" s="129"/>
      <c r="AKM151" s="129"/>
      <c r="AKN151" s="129"/>
      <c r="AKO151" s="129"/>
      <c r="AKP151" s="129"/>
      <c r="AKQ151" s="129"/>
      <c r="AKR151" s="129"/>
      <c r="AKS151" s="129"/>
      <c r="AKT151" s="129"/>
      <c r="AKU151" s="129"/>
      <c r="AKV151" s="129"/>
      <c r="AKW151" s="129"/>
      <c r="AKX151" s="129"/>
      <c r="AKY151" s="129"/>
      <c r="AKZ151" s="129"/>
      <c r="ALA151" s="129"/>
      <c r="ALB151" s="129"/>
      <c r="ALC151" s="129"/>
      <c r="ALD151" s="129"/>
      <c r="ALE151" s="129"/>
      <c r="ALF151" s="129"/>
      <c r="ALG151" s="129"/>
      <c r="ALH151" s="129"/>
      <c r="ALI151" s="129"/>
      <c r="ALJ151" s="129"/>
      <c r="ALK151" s="129"/>
      <c r="ALL151" s="129"/>
      <c r="ALM151" s="129"/>
      <c r="ALN151" s="129"/>
      <c r="ALO151" s="129"/>
      <c r="ALP151" s="129"/>
      <c r="ALQ151" s="129"/>
      <c r="ALR151" s="129"/>
      <c r="ALS151" s="129"/>
      <c r="ALT151" s="129"/>
      <c r="ALU151" s="129"/>
      <c r="ALV151" s="129"/>
      <c r="ALW151" s="129"/>
      <c r="ALX151" s="129"/>
      <c r="ALY151" s="129"/>
      <c r="ALZ151" s="129"/>
      <c r="AMA151" s="129"/>
      <c r="AMB151" s="129"/>
      <c r="AMC151" s="129"/>
      <c r="AMD151" s="129"/>
      <c r="AME151" s="129"/>
      <c r="AMF151" s="129"/>
      <c r="AMG151" s="129"/>
      <c r="AMH151" s="129"/>
      <c r="AMI151" s="129"/>
      <c r="AMJ151" s="129"/>
      <c r="AMK151" s="129"/>
      <c r="AML151" s="129"/>
      <c r="AMM151" s="129"/>
      <c r="AMN151" s="129"/>
      <c r="AMO151" s="129"/>
      <c r="AMP151" s="129"/>
    </row>
    <row r="152" spans="1:1030" x14ac:dyDescent="0.2">
      <c r="A152" s="3" t="str">
        <f t="shared" si="867"/>
        <v>ccr5_human__wt</v>
      </c>
      <c r="B152" s="3" t="s">
        <v>173</v>
      </c>
      <c r="C152" s="3" t="s">
        <v>100</v>
      </c>
      <c r="D152" s="3" t="str">
        <f>IFERROR(MID(VLOOKUP($B152,Seqs!$A:$B,2,0),E152,1),"")</f>
        <v>K</v>
      </c>
      <c r="E152" s="3">
        <v>22</v>
      </c>
      <c r="F152" s="3" t="str">
        <f>IFERROR(MID(VLOOKUP($B152,Seqs!$A:$B,2,0),G152,1),"")</f>
        <v>C</v>
      </c>
      <c r="G152" s="3">
        <v>58</v>
      </c>
      <c r="H152" s="3" t="str">
        <f>IFERROR(MID(VLOOKUP($B152,Seqs!$A:$B,2,0),I152,1),"")</f>
        <v>K</v>
      </c>
      <c r="I152" s="23">
        <v>59</v>
      </c>
      <c r="J152" s="3" t="str">
        <f>IFERROR(MID(VLOOKUP($B152,Seqs!$A:$B,2,0),K152,1),"")</f>
        <v>K</v>
      </c>
      <c r="K152" s="23">
        <v>62</v>
      </c>
      <c r="L152" s="3" t="str">
        <f>IFERROR(MID(VLOOKUP($B152,Seqs!$A:$B,2,0),M152,1),"")</f>
        <v>S</v>
      </c>
      <c r="M152" s="3">
        <v>63</v>
      </c>
      <c r="N152" s="3" t="str">
        <f>IFERROR(MID(VLOOKUP($B152,Seqs!$A:$B,2,0),O152,1),"")</f>
        <v>A</v>
      </c>
      <c r="O152" s="3">
        <v>92</v>
      </c>
      <c r="P152" s="3" t="str">
        <f>IFERROR(MID(VLOOKUP($B152,Seqs!$A:$B,2,0),Q152,1),"")</f>
        <v>Q</v>
      </c>
      <c r="Q152" s="3">
        <v>93</v>
      </c>
      <c r="R152" s="3" t="str">
        <f>IFERROR(MID(VLOOKUP($B152,Seqs!$A:$B,2,0),S152,1),"")</f>
        <v>F</v>
      </c>
      <c r="S152" s="3">
        <v>96</v>
      </c>
      <c r="T152" s="3" t="str">
        <f>IFERROR(MID(VLOOKUP($B152,Seqs!$A:$B,2,0),U152,1),"")</f>
        <v>G</v>
      </c>
      <c r="U152" s="3">
        <v>97</v>
      </c>
      <c r="V152" s="3" t="str">
        <f>IFERROR(MID(VLOOKUP($B152,Seqs!$A:$B,2,0),W152,1),"")</f>
        <v>H</v>
      </c>
      <c r="W152" s="3">
        <v>132</v>
      </c>
      <c r="X152" s="3" t="str">
        <f>IFERROR(MID(VLOOKUP($B152,Seqs!$A:$B,2,0),Y152,1),"")</f>
        <v>A</v>
      </c>
      <c r="Y152" s="3">
        <v>133</v>
      </c>
      <c r="Z152" s="3" t="str">
        <f>IFERROR(MID(VLOOKUP($B152,Seqs!$A:$B,2,0),AA152,1),"")</f>
        <v>R</v>
      </c>
      <c r="AA152" s="3">
        <v>140</v>
      </c>
      <c r="AB152" s="3" t="str">
        <f>IFERROR(MID(VLOOKUP($B152,Seqs!$A:$B,2,0),AC152,1),"")</f>
        <v>T</v>
      </c>
      <c r="AC152" s="9">
        <v>141</v>
      </c>
      <c r="AD152" s="3" t="str">
        <f>IFERROR(MID(VLOOKUP($B152,Seqs!$A:$B,2,0),AE152,1),"")</f>
        <v>T</v>
      </c>
      <c r="AE152" s="3">
        <v>167</v>
      </c>
      <c r="AF152" s="3" t="str">
        <f>IFERROR(MID(VLOOKUP($B152,Seqs!$A:$B,2,0),AG152,1),"")</f>
        <v>C</v>
      </c>
      <c r="AG152" s="3">
        <v>178</v>
      </c>
      <c r="AH152" s="3" t="str">
        <f>IFERROR(MID(VLOOKUP($B152,Seqs!$A:$B,2,0),AI152,1),"")</f>
        <v>S</v>
      </c>
      <c r="AI152" s="3">
        <v>180</v>
      </c>
      <c r="AJ152" s="3" t="str">
        <f>IFERROR(MID(VLOOKUP($B152,Seqs!$A:$B,2,0),AK152,1),"")</f>
        <v>Q</v>
      </c>
      <c r="AK152" s="3">
        <v>186</v>
      </c>
      <c r="AL152" s="3" t="str">
        <f>IFERROR(MID(VLOOKUP($B152,Seqs!$A:$B,2,0),AM152,1),"")</f>
        <v>C</v>
      </c>
      <c r="AM152" s="3">
        <v>224</v>
      </c>
      <c r="AN152" s="3" t="str">
        <f>IFERROR(MID(VLOOKUP($B152,Seqs!$A:$B,2,0),AO152,1),"")</f>
        <v>K</v>
      </c>
      <c r="AO152" s="3">
        <v>228</v>
      </c>
      <c r="AP152" s="3" t="str">
        <f>IFERROR(MID(VLOOKUP($B152,Seqs!$A:$B,2,0),AQ152,1),"")</f>
        <v>G</v>
      </c>
      <c r="AQ152" s="3">
        <v>265</v>
      </c>
      <c r="AR152" s="3" t="str">
        <f>IFERROR(MID(VLOOKUP($B152,Seqs!$A:$B,2,0),AS152,1),"")</f>
        <v>N</v>
      </c>
      <c r="AS152" s="3">
        <v>268</v>
      </c>
      <c r="AT152" s="3" t="str">
        <f>IFERROR(MID(VLOOKUP($B152,Seqs!$A:$B,2,0),AU152,1),"")</f>
        <v>V</v>
      </c>
      <c r="AU152" s="3">
        <v>300</v>
      </c>
      <c r="AV152" s="3" t="str">
        <f>IFERROR(MID(VLOOKUP($B152,Seqs!$A:$B,2,0),AW152,1),"")</f>
        <v>G</v>
      </c>
      <c r="AW152" s="3">
        <v>301</v>
      </c>
      <c r="AX152" s="3" t="str">
        <f>IFERROR(MID(VLOOKUP($B152,Seqs!$A:$B,2,0),AY152,1),"")</f>
        <v>Q</v>
      </c>
      <c r="AY152" s="3">
        <v>313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868"/>
        <v>1</v>
      </c>
      <c r="BC152" s="23">
        <f t="shared" si="645"/>
        <v>272</v>
      </c>
      <c r="BD152" s="34" t="s">
        <v>23</v>
      </c>
      <c r="BE152" s="3" t="s">
        <v>23</v>
      </c>
      <c r="BF152" s="119" t="s">
        <v>23</v>
      </c>
      <c r="BG152" s="49" t="s">
        <v>1372</v>
      </c>
      <c r="BH152" s="49" t="s">
        <v>1377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646"/>
        <v>22</v>
      </c>
      <c r="BW152" s="71">
        <f t="shared" si="647"/>
        <v>59</v>
      </c>
      <c r="BX152" s="72">
        <f t="shared" si="648"/>
        <v>63</v>
      </c>
      <c r="BY152" s="71">
        <f t="shared" si="649"/>
        <v>93</v>
      </c>
      <c r="BZ152" s="72">
        <f t="shared" si="650"/>
        <v>97</v>
      </c>
      <c r="CA152" s="71">
        <f t="shared" si="651"/>
        <v>133</v>
      </c>
      <c r="CB152" s="72">
        <f t="shared" si="652"/>
        <v>141</v>
      </c>
      <c r="CC152" s="71">
        <f t="shared" si="653"/>
        <v>178</v>
      </c>
      <c r="CD152" s="72">
        <f t="shared" si="654"/>
        <v>186</v>
      </c>
      <c r="CE152" s="71">
        <f t="shared" si="655"/>
        <v>228</v>
      </c>
      <c r="CF152" s="72">
        <f t="shared" si="656"/>
        <v>268</v>
      </c>
      <c r="CG152" s="71">
        <f t="shared" si="657"/>
        <v>301</v>
      </c>
      <c r="CH152" s="70">
        <f t="shared" si="658"/>
        <v>58</v>
      </c>
      <c r="CI152" s="71">
        <f t="shared" si="659"/>
        <v>62</v>
      </c>
      <c r="CJ152" s="72">
        <f t="shared" si="660"/>
        <v>92</v>
      </c>
      <c r="CK152" s="72">
        <f t="shared" si="661"/>
        <v>96</v>
      </c>
      <c r="CL152" s="72">
        <f t="shared" si="662"/>
        <v>132</v>
      </c>
      <c r="CM152" s="72">
        <f t="shared" si="663"/>
        <v>140</v>
      </c>
      <c r="CN152" s="72">
        <f t="shared" si="664"/>
        <v>167</v>
      </c>
      <c r="CO152" s="72">
        <f t="shared" si="665"/>
        <v>180</v>
      </c>
      <c r="CP152" s="72">
        <f t="shared" si="666"/>
        <v>224</v>
      </c>
      <c r="CQ152" s="72">
        <f t="shared" si="667"/>
        <v>265</v>
      </c>
      <c r="CR152" s="72">
        <f t="shared" si="668"/>
        <v>300</v>
      </c>
      <c r="CS152" s="72">
        <f t="shared" si="669"/>
        <v>313</v>
      </c>
      <c r="CT152" s="23">
        <f t="shared" si="67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867"/>
        <v>ccr5_human_4MBS</v>
      </c>
      <c r="B153" s="3" t="s">
        <v>173</v>
      </c>
      <c r="C153" s="3" t="s">
        <v>74</v>
      </c>
      <c r="D153" s="3" t="str">
        <f>IFERROR(MID(VLOOKUP($B153,Seqs!$A:$B,2,0),E153,1),"")</f>
        <v>V</v>
      </c>
      <c r="E153" s="3">
        <v>25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9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R</v>
      </c>
      <c r="AM153" s="3">
        <v>223</v>
      </c>
      <c r="AN153" s="3" t="str">
        <f>IFERROR(MID(VLOOKUP($B153,Seqs!$A:$B,2,0),AO153,1),"")</f>
        <v>K</v>
      </c>
      <c r="AO153" s="3">
        <v>228</v>
      </c>
      <c r="AP153" s="3" t="str">
        <f>IFERROR(MID(VLOOKUP($B153,Seqs!$A:$B,2,0),AQ153,1),"")</f>
        <v>G</v>
      </c>
      <c r="AQ153" s="3">
        <v>265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Q</v>
      </c>
      <c r="AY153" s="3">
        <v>313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868"/>
        <v>1</v>
      </c>
      <c r="BC153" s="23">
        <f t="shared" si="645"/>
        <v>265</v>
      </c>
      <c r="BD153" s="2" t="s">
        <v>23</v>
      </c>
      <c r="BE153" s="3" t="s">
        <v>1374</v>
      </c>
      <c r="BF153" s="119">
        <v>2.71</v>
      </c>
      <c r="BG153" s="49" t="s">
        <v>1377</v>
      </c>
      <c r="BH153" s="49" t="s">
        <v>1377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646"/>
        <v>25</v>
      </c>
      <c r="BW153" s="71" t="str">
        <f t="shared" si="647"/>
        <v>-</v>
      </c>
      <c r="BX153" s="72">
        <f t="shared" si="648"/>
        <v>63</v>
      </c>
      <c r="BY153" s="71">
        <f t="shared" si="649"/>
        <v>93</v>
      </c>
      <c r="BZ153" s="72">
        <f t="shared" si="650"/>
        <v>97</v>
      </c>
      <c r="CA153" s="71">
        <f t="shared" si="651"/>
        <v>133</v>
      </c>
      <c r="CB153" s="72">
        <f t="shared" si="652"/>
        <v>141</v>
      </c>
      <c r="CC153" s="71">
        <f t="shared" si="653"/>
        <v>178</v>
      </c>
      <c r="CD153" s="72">
        <f t="shared" si="654"/>
        <v>186</v>
      </c>
      <c r="CE153" s="71">
        <f t="shared" si="655"/>
        <v>228</v>
      </c>
      <c r="CF153" s="72">
        <f t="shared" si="656"/>
        <v>268</v>
      </c>
      <c r="CG153" s="71">
        <f t="shared" si="657"/>
        <v>301</v>
      </c>
      <c r="CH153" s="70">
        <f t="shared" si="658"/>
        <v>58</v>
      </c>
      <c r="CI153" s="71" t="str">
        <f t="shared" si="659"/>
        <v>-</v>
      </c>
      <c r="CJ153" s="72">
        <f t="shared" si="660"/>
        <v>92</v>
      </c>
      <c r="CK153" s="72">
        <f t="shared" si="661"/>
        <v>96</v>
      </c>
      <c r="CL153" s="72">
        <f t="shared" si="662"/>
        <v>132</v>
      </c>
      <c r="CM153" s="72">
        <f t="shared" si="663"/>
        <v>140</v>
      </c>
      <c r="CN153" s="72">
        <f t="shared" si="664"/>
        <v>167</v>
      </c>
      <c r="CO153" s="72">
        <f t="shared" si="665"/>
        <v>180</v>
      </c>
      <c r="CP153" s="72">
        <f t="shared" si="666"/>
        <v>223</v>
      </c>
      <c r="CQ153" s="72">
        <f t="shared" si="667"/>
        <v>265</v>
      </c>
      <c r="CR153" s="72">
        <f t="shared" si="668"/>
        <v>300</v>
      </c>
      <c r="CS153" s="72">
        <f t="shared" si="669"/>
        <v>313</v>
      </c>
      <c r="CT153" s="23" t="e">
        <f t="shared" si="670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>CONCATENATE(B154,"_",C154)</f>
        <v>ccr5_human_5UIW</v>
      </c>
      <c r="B154" s="3" t="s">
        <v>173</v>
      </c>
      <c r="C154" s="3" t="s">
        <v>1423</v>
      </c>
      <c r="D154" s="3" t="str">
        <f>IFERROR(MID(VLOOKUP($B154,Seqs!$A:$B,2,0),E154,1),"")</f>
        <v>K</v>
      </c>
      <c r="E154" s="3">
        <v>22</v>
      </c>
      <c r="F154" s="3" t="str">
        <f>IFERROR(MID(VLOOKUP($B154,Seqs!$A:$B,2,0),G154,1),"")</f>
        <v>C</v>
      </c>
      <c r="G154" s="3">
        <v>58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63</v>
      </c>
      <c r="N154" s="3" t="str">
        <f>IFERROR(MID(VLOOKUP($B154,Seqs!$A:$B,2,0),O154,1),"")</f>
        <v>A</v>
      </c>
      <c r="O154" s="3">
        <v>92</v>
      </c>
      <c r="P154" s="3" t="str">
        <f>IFERROR(MID(VLOOKUP($B154,Seqs!$A:$B,2,0),Q154,1),"")</f>
        <v>Q</v>
      </c>
      <c r="Q154" s="3">
        <v>93</v>
      </c>
      <c r="R154" s="3" t="str">
        <f>IFERROR(MID(VLOOKUP($B154,Seqs!$A:$B,2,0),S154,1),"")</f>
        <v>F</v>
      </c>
      <c r="S154" s="3">
        <v>96</v>
      </c>
      <c r="T154" s="3" t="str">
        <f>IFERROR(MID(VLOOKUP($B154,Seqs!$A:$B,2,0),U154,1),"")</f>
        <v>G</v>
      </c>
      <c r="U154" s="3">
        <v>97</v>
      </c>
      <c r="V154" s="3" t="str">
        <f>IFERROR(MID(VLOOKUP($B154,Seqs!$A:$B,2,0),W154,1),"")</f>
        <v>H</v>
      </c>
      <c r="W154" s="3">
        <v>132</v>
      </c>
      <c r="X154" s="3" t="str">
        <f>IFERROR(MID(VLOOKUP($B154,Seqs!$A:$B,2,0),Y154,1),"")</f>
        <v>A</v>
      </c>
      <c r="Y154" s="3">
        <v>133</v>
      </c>
      <c r="Z154" s="3" t="str">
        <f>IFERROR(MID(VLOOKUP($B154,Seqs!$A:$B,2,0),AA154,1),"")</f>
        <v>R</v>
      </c>
      <c r="AA154" s="3">
        <v>140</v>
      </c>
      <c r="AB154" s="3" t="str">
        <f>IFERROR(MID(VLOOKUP($B154,Seqs!$A:$B,2,0),AC154,1),"")</f>
        <v>T</v>
      </c>
      <c r="AC154" s="3">
        <v>141</v>
      </c>
      <c r="AD154" s="3" t="str">
        <f>IFERROR(MID(VLOOKUP($B154,Seqs!$A:$B,2,0),AE154,1),"")</f>
        <v>T</v>
      </c>
      <c r="AE154" s="3">
        <v>167</v>
      </c>
      <c r="AF154" s="3" t="str">
        <f>IFERROR(MID(VLOOKUP($B154,Seqs!$A:$B,2,0),AG154,1),"")</f>
        <v>C</v>
      </c>
      <c r="AG154" s="3">
        <v>178</v>
      </c>
      <c r="AH154" s="3" t="str">
        <f>IFERROR(MID(VLOOKUP($B154,Seqs!$A:$B,2,0),AI154,1),"")</f>
        <v>S</v>
      </c>
      <c r="AI154" s="3">
        <v>180</v>
      </c>
      <c r="AJ154" s="3" t="str">
        <f>IFERROR(MID(VLOOKUP($B154,Seqs!$A:$B,2,0),AK154,1),"")</f>
        <v>Q</v>
      </c>
      <c r="AK154" s="3">
        <v>186</v>
      </c>
      <c r="AL154" s="3" t="str">
        <f>IFERROR(MID(VLOOKUP($B154,Seqs!$A:$B,2,0),AM154,1),"")</f>
        <v>R</v>
      </c>
      <c r="AM154" s="3">
        <v>223</v>
      </c>
      <c r="AN154" s="3" t="str">
        <f>IFERROR(MID(VLOOKUP($B154,Seqs!$A:$B,2,0),AO154,1),"")</f>
        <v>E</v>
      </c>
      <c r="AO154" s="3">
        <v>227</v>
      </c>
      <c r="AP154" s="3" t="str">
        <f>IFERROR(MID(VLOOKUP($B154,Seqs!$A:$B,2,0),AQ154,1),"")</f>
        <v>Q</v>
      </c>
      <c r="AQ154" s="3">
        <v>261</v>
      </c>
      <c r="AR154" s="3" t="str">
        <f>IFERROR(MID(VLOOKUP($B154,Seqs!$A:$B,2,0),AS154,1),"")</f>
        <v>N</v>
      </c>
      <c r="AS154" s="3">
        <v>268</v>
      </c>
      <c r="AT154" s="3" t="str">
        <f>IFERROR(MID(VLOOKUP($B154,Seqs!$A:$B,2,0),AU154,1),"")</f>
        <v>V</v>
      </c>
      <c r="AU154" s="3">
        <v>300</v>
      </c>
      <c r="AV154" s="3" t="str">
        <f>IFERROR(MID(VLOOKUP($B154,Seqs!$A:$B,2,0),AW154,1),"")</f>
        <v>G</v>
      </c>
      <c r="AW154" s="3">
        <v>301</v>
      </c>
      <c r="AX154" s="3" t="str">
        <f>IFERROR(MID(VLOOKUP($B154,Seqs!$A:$B,2,0),AY154,1),"")</f>
        <v>I</v>
      </c>
      <c r="AY154" s="3">
        <v>316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>_xlfn.AGGREGATE(9,6,CH154:CS154)-_xlfn.AGGREGATE(9,6,BV154:CG154)+12</f>
        <v>268</v>
      </c>
      <c r="BD154" s="2" t="s">
        <v>1376</v>
      </c>
      <c r="BE154" s="3" t="s">
        <v>1374</v>
      </c>
      <c r="BF154" s="119">
        <v>2.2000000000000002</v>
      </c>
      <c r="BG154" s="49" t="s">
        <v>1377</v>
      </c>
      <c r="BH154" s="49" t="s">
        <v>1377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>E154</f>
        <v>22</v>
      </c>
      <c r="BW154" s="71" t="str">
        <f>I154</f>
        <v>-</v>
      </c>
      <c r="BX154" s="72">
        <f>M154</f>
        <v>63</v>
      </c>
      <c r="BY154" s="71">
        <f>Q154</f>
        <v>93</v>
      </c>
      <c r="BZ154" s="72">
        <f>U154</f>
        <v>97</v>
      </c>
      <c r="CA154" s="71">
        <f>Y154</f>
        <v>133</v>
      </c>
      <c r="CB154" s="72">
        <f>AC154</f>
        <v>141</v>
      </c>
      <c r="CC154" s="71">
        <f>AG154</f>
        <v>178</v>
      </c>
      <c r="CD154" s="72">
        <f>AK154</f>
        <v>186</v>
      </c>
      <c r="CE154" s="71">
        <f>AO154</f>
        <v>227</v>
      </c>
      <c r="CF154" s="72">
        <f>AS154</f>
        <v>268</v>
      </c>
      <c r="CG154" s="71">
        <f>AW154</f>
        <v>301</v>
      </c>
      <c r="CH154" s="70">
        <f>G154</f>
        <v>58</v>
      </c>
      <c r="CI154" s="71" t="str">
        <f>K154</f>
        <v>-</v>
      </c>
      <c r="CJ154" s="72">
        <f>O154</f>
        <v>92</v>
      </c>
      <c r="CK154" s="72">
        <f>S154</f>
        <v>96</v>
      </c>
      <c r="CL154" s="72">
        <f>W154</f>
        <v>132</v>
      </c>
      <c r="CM154" s="72">
        <f>AA154</f>
        <v>140</v>
      </c>
      <c r="CN154" s="72">
        <f>AE154</f>
        <v>167</v>
      </c>
      <c r="CO154" s="72">
        <f>AI154</f>
        <v>180</v>
      </c>
      <c r="CP154" s="72">
        <f>AM154</f>
        <v>223</v>
      </c>
      <c r="CQ154" s="72">
        <f>AQ154</f>
        <v>261</v>
      </c>
      <c r="CR154" s="72">
        <f>AU154</f>
        <v>300</v>
      </c>
      <c r="CS154" s="72">
        <f>AY154</f>
        <v>316</v>
      </c>
      <c r="CT154" s="23" t="e">
        <f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s="12" customFormat="1" x14ac:dyDescent="0.2">
      <c r="A155" s="9" t="str">
        <f>CONCATENATE(B155,"_",C155)</f>
        <v>ccr5_human_6AKX</v>
      </c>
      <c r="B155" s="9" t="s">
        <v>173</v>
      </c>
      <c r="C155" s="9" t="s">
        <v>1524</v>
      </c>
      <c r="D155" s="9" t="str">
        <f>IFERROR(MID(VLOOKUP($B155,Seqs!$A:$B,2,0),E155,1),"")</f>
        <v>V</v>
      </c>
      <c r="E155" s="9">
        <v>25</v>
      </c>
      <c r="F155" s="9" t="str">
        <f>IFERROR(MID(VLOOKUP($B155,Seqs!$A:$B,2,0),G155,1),"")</f>
        <v>C</v>
      </c>
      <c r="G155" s="9">
        <v>58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S</v>
      </c>
      <c r="M155" s="9">
        <v>63</v>
      </c>
      <c r="N155" s="9" t="str">
        <f>IFERROR(MID(VLOOKUP($B155,Seqs!$A:$B,2,0),O155,1),"")</f>
        <v>A</v>
      </c>
      <c r="O155" s="9">
        <v>92</v>
      </c>
      <c r="P155" s="9" t="str">
        <f>IFERROR(MID(VLOOKUP($B155,Seqs!$A:$B,2,0),Q155,1),"")</f>
        <v>Q</v>
      </c>
      <c r="Q155" s="9">
        <v>93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A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T</v>
      </c>
      <c r="AE155" s="9">
        <v>167</v>
      </c>
      <c r="AF155" s="9" t="str">
        <f>IFERROR(MID(VLOOKUP($B155,Seqs!$A:$B,2,0),AG155,1),"")</f>
        <v>C</v>
      </c>
      <c r="AG155" s="9">
        <v>178</v>
      </c>
      <c r="AH155" s="9" t="str">
        <f>IFERROR(MID(VLOOKUP($B155,Seqs!$A:$B,2,0),AI155,1),"")</f>
        <v>S</v>
      </c>
      <c r="AI155" s="9">
        <v>180</v>
      </c>
      <c r="AJ155" s="9" t="str">
        <f>IFERROR(MID(VLOOKUP($B155,Seqs!$A:$B,2,0),AK155,1),"")</f>
        <v>Q</v>
      </c>
      <c r="AK155" s="9">
        <v>186</v>
      </c>
      <c r="AL155" s="9" t="str">
        <f>IFERROR(MID(VLOOKUP($B155,Seqs!$A:$B,2,0),AM155,1),"")</f>
        <v>R</v>
      </c>
      <c r="AM155" s="9">
        <v>223</v>
      </c>
      <c r="AN155" s="9" t="str">
        <f>IFERROR(MID(VLOOKUP($B155,Seqs!$A:$B,2,0),AO155,1),"")</f>
        <v>K</v>
      </c>
      <c r="AO155" s="9">
        <v>228</v>
      </c>
      <c r="AP155" s="9" t="str">
        <f>IFERROR(MID(VLOOKUP($B155,Seqs!$A:$B,2,0),AQ155,1),"")</f>
        <v>G</v>
      </c>
      <c r="AQ155" s="9">
        <v>265</v>
      </c>
      <c r="AR155" s="9" t="str">
        <f>IFERROR(MID(VLOOKUP($B155,Seqs!$A:$B,2,0),AS155,1),"")</f>
        <v>N</v>
      </c>
      <c r="AS155" s="9">
        <v>268</v>
      </c>
      <c r="AT155" s="9" t="str">
        <f>IFERROR(MID(VLOOKUP($B155,Seqs!$A:$B,2,0),AU155,1),"")</f>
        <v>V</v>
      </c>
      <c r="AU155" s="9">
        <v>300</v>
      </c>
      <c r="AV155" s="9" t="str">
        <f>IFERROR(MID(VLOOKUP($B155,Seqs!$A:$B,2,0),AW155,1),"")</f>
        <v>G</v>
      </c>
      <c r="AW155" s="9">
        <v>301</v>
      </c>
      <c r="AX155" s="9" t="str">
        <f>IFERROR(MID(VLOOKUP($B155,Seqs!$A:$B,2,0),AY155,1),"")</f>
        <v>Q</v>
      </c>
      <c r="AY155" s="9">
        <v>313</v>
      </c>
      <c r="AZ155" s="110" t="str">
        <f>VLOOKUP(B155,Classification!A:D,2,0)</f>
        <v>A</v>
      </c>
      <c r="BA155" s="98" t="str">
        <f>VLOOKUP(B155,Classification!A:D,4,0)</f>
        <v>Chemokine</v>
      </c>
      <c r="BB155" s="36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>_xlfn.AGGREGATE(9,6,CH155:CS155)-_xlfn.AGGREGATE(9,6,BV155:CG155)+12</f>
        <v>265</v>
      </c>
      <c r="BD155" s="40" t="s">
        <v>23</v>
      </c>
      <c r="BE155" s="9" t="s">
        <v>1374</v>
      </c>
      <c r="BF155" s="120">
        <v>2.8</v>
      </c>
      <c r="BG155" s="51" t="s">
        <v>1281</v>
      </c>
      <c r="BH155" s="51" t="s">
        <v>1281</v>
      </c>
      <c r="BJ155" s="111" t="s">
        <v>1287</v>
      </c>
      <c r="BK155" s="112" t="s">
        <v>1287</v>
      </c>
      <c r="BL155" s="112" t="s">
        <v>1287</v>
      </c>
      <c r="BM155" s="112" t="s">
        <v>1287</v>
      </c>
      <c r="BN155" s="112" t="s">
        <v>1287</v>
      </c>
      <c r="BO155" s="112" t="s">
        <v>1287</v>
      </c>
      <c r="BP155" s="112" t="s">
        <v>1287</v>
      </c>
      <c r="BQ155" s="112" t="s">
        <v>1287</v>
      </c>
      <c r="BR155" s="112" t="s">
        <v>1287</v>
      </c>
      <c r="BS155" s="112" t="s">
        <v>1287</v>
      </c>
      <c r="BT155" s="112" t="s">
        <v>1287</v>
      </c>
      <c r="BU155" s="112" t="s">
        <v>1287</v>
      </c>
      <c r="BV155" s="111">
        <f>E155</f>
        <v>25</v>
      </c>
      <c r="BW155" s="113" t="str">
        <f>I155</f>
        <v>-</v>
      </c>
      <c r="BX155" s="114">
        <f>M155</f>
        <v>63</v>
      </c>
      <c r="BY155" s="113">
        <f>Q155</f>
        <v>93</v>
      </c>
      <c r="BZ155" s="114">
        <f>U155</f>
        <v>97</v>
      </c>
      <c r="CA155" s="113">
        <f>Y155</f>
        <v>133</v>
      </c>
      <c r="CB155" s="114">
        <f>AC155</f>
        <v>141</v>
      </c>
      <c r="CC155" s="113">
        <f>AG155</f>
        <v>178</v>
      </c>
      <c r="CD155" s="114">
        <f>AK155</f>
        <v>186</v>
      </c>
      <c r="CE155" s="113">
        <f>AO155</f>
        <v>228</v>
      </c>
      <c r="CF155" s="114">
        <f>AS155</f>
        <v>268</v>
      </c>
      <c r="CG155" s="113">
        <f>AW155</f>
        <v>301</v>
      </c>
      <c r="CH155" s="111">
        <f>G155</f>
        <v>58</v>
      </c>
      <c r="CI155" s="113" t="str">
        <f>K155</f>
        <v>-</v>
      </c>
      <c r="CJ155" s="114">
        <f>O155</f>
        <v>92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167</v>
      </c>
      <c r="CO155" s="114">
        <f>AI155</f>
        <v>180</v>
      </c>
      <c r="CP155" s="114">
        <f>AM155</f>
        <v>223</v>
      </c>
      <c r="CQ155" s="114">
        <f>AQ155</f>
        <v>265</v>
      </c>
      <c r="CR155" s="114">
        <f>AU155</f>
        <v>300</v>
      </c>
      <c r="CS155" s="114">
        <f>AY155</f>
        <v>313</v>
      </c>
      <c r="CT155" s="109" t="e">
        <f>M155-K155</f>
        <v>#VALUE!</v>
      </c>
    </row>
    <row r="156" spans="1:1030" s="12" customFormat="1" x14ac:dyDescent="0.2">
      <c r="A156" s="9" t="str">
        <f>CONCATENATE(B156,"_",C156)</f>
        <v>ccr5_human_6AKY</v>
      </c>
      <c r="B156" s="9" t="s">
        <v>173</v>
      </c>
      <c r="C156" s="9" t="s">
        <v>1525</v>
      </c>
      <c r="D156" s="9" t="str">
        <f>IFERROR(MID(VLOOKUP($B156,Seqs!$A:$B,2,0),E156,1),"")</f>
        <v>V</v>
      </c>
      <c r="E156" s="9">
        <v>25</v>
      </c>
      <c r="F156" s="9" t="str">
        <f>IFERROR(MID(VLOOKUP($B156,Seqs!$A:$B,2,0),G156,1),"")</f>
        <v>C</v>
      </c>
      <c r="G156" s="9">
        <v>58</v>
      </c>
      <c r="H156" s="9" t="str">
        <f>IFERROR(MID(VLOOKUP($B156,Seqs!$A:$B,2,0),I156,1),"")</f>
        <v/>
      </c>
      <c r="I156" s="109" t="s">
        <v>23</v>
      </c>
      <c r="J156" s="9" t="str">
        <f>IFERROR(MID(VLOOKUP($B156,Seqs!$A:$B,2,0),K156,1),"")</f>
        <v/>
      </c>
      <c r="K156" s="109" t="s">
        <v>23</v>
      </c>
      <c r="L156" s="9" t="str">
        <f>IFERROR(MID(VLOOKUP($B156,Seqs!$A:$B,2,0),M156,1),"")</f>
        <v>S</v>
      </c>
      <c r="M156" s="9">
        <v>63</v>
      </c>
      <c r="N156" s="9" t="str">
        <f>IFERROR(MID(VLOOKUP($B156,Seqs!$A:$B,2,0),O156,1),"")</f>
        <v>A</v>
      </c>
      <c r="O156" s="9">
        <v>92</v>
      </c>
      <c r="P156" s="9" t="str">
        <f>IFERROR(MID(VLOOKUP($B156,Seqs!$A:$B,2,0),Q156,1),"")</f>
        <v>Q</v>
      </c>
      <c r="Q156" s="9">
        <v>93</v>
      </c>
      <c r="R156" s="9" t="str">
        <f>IFERROR(MID(VLOOKUP($B156,Seqs!$A:$B,2,0),S156,1),"")</f>
        <v>F</v>
      </c>
      <c r="S156" s="9">
        <v>96</v>
      </c>
      <c r="T156" s="9" t="str">
        <f>IFERROR(MID(VLOOKUP($B156,Seqs!$A:$B,2,0),U156,1),"")</f>
        <v>G</v>
      </c>
      <c r="U156" s="9">
        <v>97</v>
      </c>
      <c r="V156" s="9" t="str">
        <f>IFERROR(MID(VLOOKUP($B156,Seqs!$A:$B,2,0),W156,1),"")</f>
        <v>H</v>
      </c>
      <c r="W156" s="9">
        <v>132</v>
      </c>
      <c r="X156" s="9" t="str">
        <f>IFERROR(MID(VLOOKUP($B156,Seqs!$A:$B,2,0),Y156,1),"")</f>
        <v>A</v>
      </c>
      <c r="Y156" s="9">
        <v>133</v>
      </c>
      <c r="Z156" s="9" t="str">
        <f>IFERROR(MID(VLOOKUP($B156,Seqs!$A:$B,2,0),AA156,1),"")</f>
        <v>R</v>
      </c>
      <c r="AA156" s="9">
        <v>140</v>
      </c>
      <c r="AB156" s="9" t="str">
        <f>IFERROR(MID(VLOOKUP($B156,Seqs!$A:$B,2,0),AC156,1),"")</f>
        <v>T</v>
      </c>
      <c r="AC156" s="9">
        <v>141</v>
      </c>
      <c r="AD156" s="9" t="str">
        <f>IFERROR(MID(VLOOKUP($B156,Seqs!$A:$B,2,0),AE156,1),"")</f>
        <v>T</v>
      </c>
      <c r="AE156" s="9">
        <v>167</v>
      </c>
      <c r="AF156" s="9" t="str">
        <f>IFERROR(MID(VLOOKUP($B156,Seqs!$A:$B,2,0),AG156,1),"")</f>
        <v>C</v>
      </c>
      <c r="AG156" s="9">
        <v>178</v>
      </c>
      <c r="AH156" s="9" t="str">
        <f>IFERROR(MID(VLOOKUP($B156,Seqs!$A:$B,2,0),AI156,1),"")</f>
        <v>S</v>
      </c>
      <c r="AI156" s="9">
        <v>180</v>
      </c>
      <c r="AJ156" s="9" t="str">
        <f>IFERROR(MID(VLOOKUP($B156,Seqs!$A:$B,2,0),AK156,1),"")</f>
        <v>Q</v>
      </c>
      <c r="AK156" s="9">
        <v>186</v>
      </c>
      <c r="AL156" s="9" t="str">
        <f>IFERROR(MID(VLOOKUP($B156,Seqs!$A:$B,2,0),AM156,1),"")</f>
        <v>R</v>
      </c>
      <c r="AM156" s="9">
        <v>223</v>
      </c>
      <c r="AN156" s="9" t="str">
        <f>IFERROR(MID(VLOOKUP($B156,Seqs!$A:$B,2,0),AO156,1),"")</f>
        <v>H</v>
      </c>
      <c r="AO156" s="9">
        <v>231</v>
      </c>
      <c r="AP156" s="9" t="str">
        <f>IFERROR(MID(VLOOKUP($B156,Seqs!$A:$B,2,0),AQ156,1),"")</f>
        <v>F</v>
      </c>
      <c r="AQ156" s="9">
        <v>260</v>
      </c>
      <c r="AR156" s="9" t="str">
        <f>IFERROR(MID(VLOOKUP($B156,Seqs!$A:$B,2,0),AS156,1),"")</f>
        <v>N</v>
      </c>
      <c r="AS156" s="9">
        <v>268</v>
      </c>
      <c r="AT156" s="9" t="str">
        <f>IFERROR(MID(VLOOKUP($B156,Seqs!$A:$B,2,0),AU156,1),"")</f>
        <v>V</v>
      </c>
      <c r="AU156" s="9">
        <v>300</v>
      </c>
      <c r="AV156" s="9" t="str">
        <f>IFERROR(MID(VLOOKUP($B156,Seqs!$A:$B,2,0),AW156,1),"")</f>
        <v>G</v>
      </c>
      <c r="AW156" s="9">
        <v>301</v>
      </c>
      <c r="AX156" s="9" t="str">
        <f>IFERROR(MID(VLOOKUP($B156,Seqs!$A:$B,2,0),AY156,1),"")</f>
        <v>L</v>
      </c>
      <c r="AY156" s="9">
        <v>308</v>
      </c>
      <c r="AZ156" s="110" t="str">
        <f>VLOOKUP(B156,Classification!A:D,2,0)</f>
        <v>A</v>
      </c>
      <c r="BA156" s="98" t="str">
        <f>VLOOKUP(B156,Classification!A:D,4,0)</f>
        <v>Chemokine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252</v>
      </c>
      <c r="BD156" s="40" t="s">
        <v>23</v>
      </c>
      <c r="BE156" s="9" t="s">
        <v>1374</v>
      </c>
      <c r="BF156" s="120">
        <v>2.8</v>
      </c>
      <c r="BG156" s="51" t="s">
        <v>1281</v>
      </c>
      <c r="BH156" s="51" t="s">
        <v>1281</v>
      </c>
      <c r="BJ156" s="111" t="s">
        <v>1287</v>
      </c>
      <c r="BK156" s="112" t="s">
        <v>1287</v>
      </c>
      <c r="BL156" s="112" t="s">
        <v>1287</v>
      </c>
      <c r="BM156" s="112" t="s">
        <v>1287</v>
      </c>
      <c r="BN156" s="112" t="s">
        <v>1287</v>
      </c>
      <c r="BO156" s="112" t="s">
        <v>1287</v>
      </c>
      <c r="BP156" s="112" t="s">
        <v>1287</v>
      </c>
      <c r="BQ156" s="112" t="s">
        <v>1287</v>
      </c>
      <c r="BR156" s="112" t="s">
        <v>1287</v>
      </c>
      <c r="BS156" s="112" t="s">
        <v>1287</v>
      </c>
      <c r="BT156" s="112" t="s">
        <v>1287</v>
      </c>
      <c r="BU156" s="112" t="s">
        <v>1287</v>
      </c>
      <c r="BV156" s="111">
        <f>E156</f>
        <v>25</v>
      </c>
      <c r="BW156" s="113" t="str">
        <f>I156</f>
        <v>-</v>
      </c>
      <c r="BX156" s="114">
        <f>M156</f>
        <v>63</v>
      </c>
      <c r="BY156" s="113">
        <f>Q156</f>
        <v>93</v>
      </c>
      <c r="BZ156" s="114">
        <f>U156</f>
        <v>97</v>
      </c>
      <c r="CA156" s="113">
        <f>Y156</f>
        <v>133</v>
      </c>
      <c r="CB156" s="114">
        <f>AC156</f>
        <v>141</v>
      </c>
      <c r="CC156" s="113">
        <f>AG156</f>
        <v>178</v>
      </c>
      <c r="CD156" s="114">
        <f>AK156</f>
        <v>186</v>
      </c>
      <c r="CE156" s="113">
        <f>AO156</f>
        <v>231</v>
      </c>
      <c r="CF156" s="114">
        <f>AS156</f>
        <v>268</v>
      </c>
      <c r="CG156" s="113">
        <f>AW156</f>
        <v>301</v>
      </c>
      <c r="CH156" s="111">
        <f>G156</f>
        <v>58</v>
      </c>
      <c r="CI156" s="113" t="str">
        <f>K156</f>
        <v>-</v>
      </c>
      <c r="CJ156" s="114">
        <f>O156</f>
        <v>92</v>
      </c>
      <c r="CK156" s="114">
        <f>S156</f>
        <v>96</v>
      </c>
      <c r="CL156" s="114">
        <f>W156</f>
        <v>132</v>
      </c>
      <c r="CM156" s="114">
        <f>AA156</f>
        <v>140</v>
      </c>
      <c r="CN156" s="114">
        <f>AE156</f>
        <v>167</v>
      </c>
      <c r="CO156" s="114">
        <f>AI156</f>
        <v>180</v>
      </c>
      <c r="CP156" s="114">
        <f>AM156</f>
        <v>223</v>
      </c>
      <c r="CQ156" s="114">
        <f>AQ156</f>
        <v>260</v>
      </c>
      <c r="CR156" s="114">
        <f>AU156</f>
        <v>300</v>
      </c>
      <c r="CS156" s="114">
        <f>AY156</f>
        <v>308</v>
      </c>
      <c r="CT156" s="109" t="e">
        <f>M156-K156</f>
        <v>#VALUE!</v>
      </c>
    </row>
    <row r="157" spans="1:1030" s="12" customFormat="1" x14ac:dyDescent="0.2">
      <c r="A157" s="9" t="str">
        <f>CONCATENATE(B157,"_",C157)</f>
        <v>ccr5_human_6MEO</v>
      </c>
      <c r="B157" s="9" t="s">
        <v>173</v>
      </c>
      <c r="C157" s="9" t="s">
        <v>1541</v>
      </c>
      <c r="D157" s="9" t="str">
        <f>IFERROR(MID(VLOOKUP($B157,Seqs!$A:$B,2,0),E157,1),"")</f>
        <v>K</v>
      </c>
      <c r="E157" s="9">
        <v>26</v>
      </c>
      <c r="F157" s="9" t="str">
        <f>IFERROR(MID(VLOOKUP($B157,Seqs!$A:$B,2,0),G157,1),"")</f>
        <v>R</v>
      </c>
      <c r="G157" s="9">
        <v>60</v>
      </c>
      <c r="H157" s="9" t="str">
        <f>IFERROR(MID(VLOOKUP($B157,Seqs!$A:$B,2,0),I157,1),"")</f>
        <v/>
      </c>
      <c r="I157" s="109" t="s">
        <v>23</v>
      </c>
      <c r="J157" s="9" t="str">
        <f>IFERROR(MID(VLOOKUP($B157,Seqs!$A:$B,2,0),K157,1),"")</f>
        <v/>
      </c>
      <c r="K157" s="109" t="s">
        <v>23</v>
      </c>
      <c r="L157" s="9" t="str">
        <f>IFERROR(MID(VLOOKUP($B157,Seqs!$A:$B,2,0),M157,1),"")</f>
        <v>S</v>
      </c>
      <c r="M157" s="9">
        <v>63</v>
      </c>
      <c r="N157" s="9" t="str">
        <f>IFERROR(MID(VLOOKUP($B157,Seqs!$A:$B,2,0),O157,1),"")</f>
        <v>A</v>
      </c>
      <c r="O157" s="9">
        <v>90</v>
      </c>
      <c r="P157" s="9" t="str">
        <f>IFERROR(MID(VLOOKUP($B157,Seqs!$A:$B,2,0),Q157,1),"")</f>
        <v>Q</v>
      </c>
      <c r="Q157" s="9">
        <v>93</v>
      </c>
      <c r="R157" s="9" t="str">
        <f>IFERROR(MID(VLOOKUP($B157,Seqs!$A:$B,2,0),S157,1),"")</f>
        <v>F</v>
      </c>
      <c r="S157" s="9">
        <v>96</v>
      </c>
      <c r="T157" s="9" t="str">
        <f>IFERROR(MID(VLOOKUP($B157,Seqs!$A:$B,2,0),U157,1),"")</f>
        <v>M</v>
      </c>
      <c r="U157" s="9">
        <v>100</v>
      </c>
      <c r="V157" s="9" t="str">
        <f>IFERROR(MID(VLOOKUP($B157,Seqs!$A:$B,2,0),W157,1),"")</f>
        <v>H</v>
      </c>
      <c r="W157" s="9">
        <v>132</v>
      </c>
      <c r="X157" s="9" t="str">
        <f>IFERROR(MID(VLOOKUP($B157,Seqs!$A:$B,2,0),Y157,1),"")</f>
        <v>A</v>
      </c>
      <c r="Y157" s="9">
        <v>133</v>
      </c>
      <c r="Z157" s="9" t="str">
        <f>IFERROR(MID(VLOOKUP($B157,Seqs!$A:$B,2,0),AA157,1),"")</f>
        <v>R</v>
      </c>
      <c r="AA157" s="9">
        <v>140</v>
      </c>
      <c r="AB157" s="9" t="str">
        <f>IFERROR(MID(VLOOKUP($B157,Seqs!$A:$B,2,0),AC157,1),"")</f>
        <v>T</v>
      </c>
      <c r="AC157" s="9">
        <v>141</v>
      </c>
      <c r="AD157" s="9" t="str">
        <f>IFERROR(MID(VLOOKUP($B157,Seqs!$A:$B,2,0),AE157,1),"")</f>
        <v>I</v>
      </c>
      <c r="AE157" s="9">
        <v>165</v>
      </c>
      <c r="AF157" s="9" t="str">
        <f>IFERROR(MID(VLOOKUP($B157,Seqs!$A:$B,2,0),AG157,1),"")</f>
        <v>C</v>
      </c>
      <c r="AG157" s="9">
        <v>178</v>
      </c>
      <c r="AH157" s="9" t="str">
        <f>IFERROR(MID(VLOOKUP($B157,Seqs!$A:$B,2,0),AI157,1),"")</f>
        <v>S</v>
      </c>
      <c r="AI157" s="9">
        <v>180</v>
      </c>
      <c r="AJ157" s="9" t="str">
        <f>IFERROR(MID(VLOOKUP($B157,Seqs!$A:$B,2,0),AK157,1),"")</f>
        <v>Q</v>
      </c>
      <c r="AK157" s="9">
        <v>186</v>
      </c>
      <c r="AL157" s="9" t="str">
        <f>IFERROR(MID(VLOOKUP($B157,Seqs!$A:$B,2,0),AM157,1),"")</f>
        <v>C</v>
      </c>
      <c r="AM157" s="9">
        <v>224</v>
      </c>
      <c r="AN157" s="9" t="str">
        <f>IFERROR(MID(VLOOKUP($B157,Seqs!$A:$B,2,0),AO157,1),"")</f>
        <v>K</v>
      </c>
      <c r="AO157" s="9">
        <v>228</v>
      </c>
      <c r="AP157" s="9" t="str">
        <f>IFERROR(MID(VLOOKUP($B157,Seqs!$A:$B,2,0),AQ157,1),"")</f>
        <v>F</v>
      </c>
      <c r="AQ157" s="9">
        <v>260</v>
      </c>
      <c r="AR157" s="9" t="str">
        <f>IFERROR(MID(VLOOKUP($B157,Seqs!$A:$B,2,0),AS157,1),"")</f>
        <v>N</v>
      </c>
      <c r="AS157" s="9">
        <v>268</v>
      </c>
      <c r="AT157" s="9" t="str">
        <f>IFERROR(MID(VLOOKUP($B157,Seqs!$A:$B,2,0),AU157,1),"")</f>
        <v>V</v>
      </c>
      <c r="AU157" s="9">
        <v>300</v>
      </c>
      <c r="AV157" s="9" t="str">
        <f>IFERROR(MID(VLOOKUP($B157,Seqs!$A:$B,2,0),AW157,1),"")</f>
        <v/>
      </c>
      <c r="AW157" s="9" t="s">
        <v>23</v>
      </c>
      <c r="AX157" s="9" t="str">
        <f>IFERROR(MID(VLOOKUP($B157,Seqs!$A:$B,2,0),AY157,1),"")</f>
        <v/>
      </c>
      <c r="AY157" s="9" t="s">
        <v>23</v>
      </c>
      <c r="AZ157" s="110" t="str">
        <f>VLOOKUP(B157,Classification!A:D,2,0)</f>
        <v>A</v>
      </c>
      <c r="BA157" s="98" t="str">
        <f>VLOOKUP(B157,Classification!A:D,4,0)</f>
        <v>Chemokine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243</v>
      </c>
      <c r="BD157" s="40" t="s">
        <v>23</v>
      </c>
      <c r="BE157" s="9" t="s">
        <v>1374</v>
      </c>
      <c r="BF157" s="120">
        <v>3.9</v>
      </c>
      <c r="BG157" s="51" t="s">
        <v>1281</v>
      </c>
      <c r="BH157" s="51" t="s">
        <v>1281</v>
      </c>
      <c r="BJ157" s="111" t="s">
        <v>1287</v>
      </c>
      <c r="BK157" s="112" t="s">
        <v>1287</v>
      </c>
      <c r="BL157" s="112" t="s">
        <v>1287</v>
      </c>
      <c r="BM157" s="112" t="s">
        <v>1287</v>
      </c>
      <c r="BN157" s="112" t="s">
        <v>1287</v>
      </c>
      <c r="BO157" s="112" t="s">
        <v>1287</v>
      </c>
      <c r="BP157" s="112" t="s">
        <v>1287</v>
      </c>
      <c r="BQ157" s="112" t="s">
        <v>1287</v>
      </c>
      <c r="BR157" s="112" t="s">
        <v>1287</v>
      </c>
      <c r="BS157" s="112" t="s">
        <v>1287</v>
      </c>
      <c r="BT157" s="112" t="s">
        <v>1287</v>
      </c>
      <c r="BU157" s="112" t="s">
        <v>1287</v>
      </c>
      <c r="BV157" s="111">
        <f>E157</f>
        <v>26</v>
      </c>
      <c r="BW157" s="113" t="str">
        <f>I157</f>
        <v>-</v>
      </c>
      <c r="BX157" s="114">
        <f>M157</f>
        <v>63</v>
      </c>
      <c r="BY157" s="113">
        <f>Q157</f>
        <v>93</v>
      </c>
      <c r="BZ157" s="114">
        <f>U157</f>
        <v>100</v>
      </c>
      <c r="CA157" s="113">
        <f>Y157</f>
        <v>133</v>
      </c>
      <c r="CB157" s="114">
        <f>AC157</f>
        <v>141</v>
      </c>
      <c r="CC157" s="113">
        <f>AG157</f>
        <v>178</v>
      </c>
      <c r="CD157" s="114">
        <f>AK157</f>
        <v>186</v>
      </c>
      <c r="CE157" s="113">
        <f>AO157</f>
        <v>228</v>
      </c>
      <c r="CF157" s="114">
        <f>AS157</f>
        <v>268</v>
      </c>
      <c r="CG157" s="113" t="str">
        <f>AW157</f>
        <v>-</v>
      </c>
      <c r="CH157" s="111">
        <f>G157</f>
        <v>60</v>
      </c>
      <c r="CI157" s="113" t="str">
        <f>K157</f>
        <v>-</v>
      </c>
      <c r="CJ157" s="114">
        <f>O157</f>
        <v>90</v>
      </c>
      <c r="CK157" s="114">
        <f>S157</f>
        <v>96</v>
      </c>
      <c r="CL157" s="114">
        <f>W157</f>
        <v>132</v>
      </c>
      <c r="CM157" s="114">
        <f>AA157</f>
        <v>140</v>
      </c>
      <c r="CN157" s="114">
        <f>AE157</f>
        <v>165</v>
      </c>
      <c r="CO157" s="114">
        <f>AI157</f>
        <v>180</v>
      </c>
      <c r="CP157" s="114">
        <f>AM157</f>
        <v>224</v>
      </c>
      <c r="CQ157" s="114">
        <f>AQ157</f>
        <v>260</v>
      </c>
      <c r="CR157" s="114">
        <f>AU157</f>
        <v>300</v>
      </c>
      <c r="CS157" s="114" t="str">
        <f>AY157</f>
        <v>-</v>
      </c>
      <c r="CT157" s="109" t="e">
        <f>M157-K157</f>
        <v>#VALUE!</v>
      </c>
    </row>
    <row r="158" spans="1:1030" s="12" customFormat="1" x14ac:dyDescent="0.2">
      <c r="A158" s="9" t="str">
        <f>CONCATENATE(B158,"_",C158)</f>
        <v>ccr5_human_6MET</v>
      </c>
      <c r="B158" s="9" t="s">
        <v>173</v>
      </c>
      <c r="C158" s="9" t="s">
        <v>1540</v>
      </c>
      <c r="D158" s="9" t="str">
        <f>IFERROR(MID(VLOOKUP($B158,Seqs!$A:$B,2,0),E158,1),"")</f>
        <v>K</v>
      </c>
      <c r="E158" s="9">
        <v>26</v>
      </c>
      <c r="F158" s="9" t="str">
        <f>IFERROR(MID(VLOOKUP($B158,Seqs!$A:$B,2,0),G158,1),"")</f>
        <v>R</v>
      </c>
      <c r="G158" s="9">
        <v>60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S</v>
      </c>
      <c r="M158" s="9">
        <v>63</v>
      </c>
      <c r="N158" s="9" t="str">
        <f>IFERROR(MID(VLOOKUP($B158,Seqs!$A:$B,2,0),O158,1),"")</f>
        <v>A</v>
      </c>
      <c r="O158" s="9">
        <v>90</v>
      </c>
      <c r="P158" s="9" t="str">
        <f>IFERROR(MID(VLOOKUP($B158,Seqs!$A:$B,2,0),Q158,1),"")</f>
        <v>Q</v>
      </c>
      <c r="Q158" s="9">
        <v>93</v>
      </c>
      <c r="R158" s="9" t="str">
        <f>IFERROR(MID(VLOOKUP($B158,Seqs!$A:$B,2,0),S158,1),"")</f>
        <v>F</v>
      </c>
      <c r="S158" s="9">
        <v>96</v>
      </c>
      <c r="T158" s="9" t="str">
        <f>IFERROR(MID(VLOOKUP($B158,Seqs!$A:$B,2,0),U158,1),"")</f>
        <v>M</v>
      </c>
      <c r="U158" s="9">
        <v>100</v>
      </c>
      <c r="V158" s="9" t="str">
        <f>IFERROR(MID(VLOOKUP($B158,Seqs!$A:$B,2,0),W158,1),"")</f>
        <v>H</v>
      </c>
      <c r="W158" s="9">
        <v>132</v>
      </c>
      <c r="X158" s="9" t="str">
        <f>IFERROR(MID(VLOOKUP($B158,Seqs!$A:$B,2,0),Y158,1),"")</f>
        <v>A</v>
      </c>
      <c r="Y158" s="9">
        <v>133</v>
      </c>
      <c r="Z158" s="9" t="str">
        <f>IFERROR(MID(VLOOKUP($B158,Seqs!$A:$B,2,0),AA158,1),"")</f>
        <v>R</v>
      </c>
      <c r="AA158" s="9">
        <v>140</v>
      </c>
      <c r="AB158" s="9" t="str">
        <f>IFERROR(MID(VLOOKUP($B158,Seqs!$A:$B,2,0),AC158,1),"")</f>
        <v>T</v>
      </c>
      <c r="AC158" s="9">
        <v>141</v>
      </c>
      <c r="AD158" s="9" t="str">
        <f>IFERROR(MID(VLOOKUP($B158,Seqs!$A:$B,2,0),AE158,1),"")</f>
        <v>I</v>
      </c>
      <c r="AE158" s="9">
        <v>165</v>
      </c>
      <c r="AF158" s="9" t="str">
        <f>IFERROR(MID(VLOOKUP($B158,Seqs!$A:$B,2,0),AG158,1),"")</f>
        <v>C</v>
      </c>
      <c r="AG158" s="9">
        <v>178</v>
      </c>
      <c r="AH158" s="9" t="str">
        <f>IFERROR(MID(VLOOKUP($B158,Seqs!$A:$B,2,0),AI158,1),"")</f>
        <v>S</v>
      </c>
      <c r="AI158" s="9">
        <v>180</v>
      </c>
      <c r="AJ158" s="9" t="str">
        <f>IFERROR(MID(VLOOKUP($B158,Seqs!$A:$B,2,0),AK158,1),"")</f>
        <v>Q</v>
      </c>
      <c r="AK158" s="9">
        <v>186</v>
      </c>
      <c r="AL158" s="9" t="str">
        <f>IFERROR(MID(VLOOKUP($B158,Seqs!$A:$B,2,0),AM158,1),"")</f>
        <v>C</v>
      </c>
      <c r="AM158" s="9">
        <v>224</v>
      </c>
      <c r="AN158" s="9" t="str">
        <f>IFERROR(MID(VLOOKUP($B158,Seqs!$A:$B,2,0),AO158,1),"")</f>
        <v>K</v>
      </c>
      <c r="AO158" s="9">
        <v>228</v>
      </c>
      <c r="AP158" s="9" t="str">
        <f>IFERROR(MID(VLOOKUP($B158,Seqs!$A:$B,2,0),AQ158,1),"")</f>
        <v>F</v>
      </c>
      <c r="AQ158" s="9">
        <v>260</v>
      </c>
      <c r="AR158" s="9" t="str">
        <f>IFERROR(MID(VLOOKUP($B158,Seqs!$A:$B,2,0),AS158,1),"")</f>
        <v>N</v>
      </c>
      <c r="AS158" s="9">
        <v>268</v>
      </c>
      <c r="AT158" s="9" t="str">
        <f>IFERROR(MID(VLOOKUP($B158,Seqs!$A:$B,2,0),AU158,1),"")</f>
        <v>V</v>
      </c>
      <c r="AU158" s="9">
        <v>300</v>
      </c>
      <c r="AV158" s="9" t="str">
        <f>IFERROR(MID(VLOOKUP($B158,Seqs!$A:$B,2,0),AW158,1),"")</f>
        <v/>
      </c>
      <c r="AW158" s="9" t="s">
        <v>23</v>
      </c>
      <c r="AX158" s="9" t="str">
        <f>IFERROR(MID(VLOOKUP($B158,Seqs!$A:$B,2,0),AY158,1),"")</f>
        <v/>
      </c>
      <c r="AY158" s="9" t="s">
        <v>23</v>
      </c>
      <c r="AZ158" s="110" t="str">
        <f>VLOOKUP(B158,Classification!A:D,2,0)</f>
        <v>A</v>
      </c>
      <c r="BA158" s="98" t="str">
        <f>VLOOKUP(B158,Classification!A:D,4,0)</f>
        <v>Chemokine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243</v>
      </c>
      <c r="BD158" s="40" t="s">
        <v>23</v>
      </c>
      <c r="BE158" s="9" t="s">
        <v>1374</v>
      </c>
      <c r="BF158" s="120">
        <v>4.5</v>
      </c>
      <c r="BG158" s="51" t="s">
        <v>1281</v>
      </c>
      <c r="BH158" s="51" t="s">
        <v>1281</v>
      </c>
      <c r="BJ158" s="111" t="s">
        <v>1287</v>
      </c>
      <c r="BK158" s="112" t="s">
        <v>1287</v>
      </c>
      <c r="BL158" s="112" t="s">
        <v>1287</v>
      </c>
      <c r="BM158" s="112" t="s">
        <v>1287</v>
      </c>
      <c r="BN158" s="112" t="s">
        <v>1287</v>
      </c>
      <c r="BO158" s="112" t="s">
        <v>1287</v>
      </c>
      <c r="BP158" s="112" t="s">
        <v>1287</v>
      </c>
      <c r="BQ158" s="112" t="s">
        <v>1287</v>
      </c>
      <c r="BR158" s="112" t="s">
        <v>1287</v>
      </c>
      <c r="BS158" s="112" t="s">
        <v>1287</v>
      </c>
      <c r="BT158" s="112" t="s">
        <v>1287</v>
      </c>
      <c r="BU158" s="112" t="s">
        <v>1287</v>
      </c>
      <c r="BV158" s="111">
        <f>E158</f>
        <v>26</v>
      </c>
      <c r="BW158" s="113" t="str">
        <f>I158</f>
        <v>-</v>
      </c>
      <c r="BX158" s="114">
        <f>M158</f>
        <v>63</v>
      </c>
      <c r="BY158" s="113">
        <f>Q158</f>
        <v>93</v>
      </c>
      <c r="BZ158" s="114">
        <f>U158</f>
        <v>100</v>
      </c>
      <c r="CA158" s="113">
        <f>Y158</f>
        <v>133</v>
      </c>
      <c r="CB158" s="114">
        <f>AC158</f>
        <v>141</v>
      </c>
      <c r="CC158" s="113">
        <f>AG158</f>
        <v>178</v>
      </c>
      <c r="CD158" s="114">
        <f>AK158</f>
        <v>186</v>
      </c>
      <c r="CE158" s="113">
        <f>AO158</f>
        <v>228</v>
      </c>
      <c r="CF158" s="114">
        <f>AS158</f>
        <v>268</v>
      </c>
      <c r="CG158" s="113" t="str">
        <f>AW158</f>
        <v>-</v>
      </c>
      <c r="CH158" s="111">
        <f>G158</f>
        <v>60</v>
      </c>
      <c r="CI158" s="113" t="str">
        <f>K158</f>
        <v>-</v>
      </c>
      <c r="CJ158" s="114">
        <f>O158</f>
        <v>90</v>
      </c>
      <c r="CK158" s="114">
        <f>S158</f>
        <v>96</v>
      </c>
      <c r="CL158" s="114">
        <f>W158</f>
        <v>132</v>
      </c>
      <c r="CM158" s="114">
        <f>AA158</f>
        <v>140</v>
      </c>
      <c r="CN158" s="114">
        <f>AE158</f>
        <v>165</v>
      </c>
      <c r="CO158" s="114">
        <f>AI158</f>
        <v>180</v>
      </c>
      <c r="CP158" s="114">
        <f>AM158</f>
        <v>224</v>
      </c>
      <c r="CQ158" s="114">
        <f>AQ158</f>
        <v>260</v>
      </c>
      <c r="CR158" s="114">
        <f>AU158</f>
        <v>300</v>
      </c>
      <c r="CS158" s="114" t="str">
        <f>AY158</f>
        <v>-</v>
      </c>
      <c r="CT158" s="109" t="e">
        <f>M158-K158</f>
        <v>#VALUE!</v>
      </c>
    </row>
    <row r="159" spans="1:1030" x14ac:dyDescent="0.2">
      <c r="A159" s="3" t="str">
        <f t="shared" si="867"/>
        <v>ccr9_human__wt</v>
      </c>
      <c r="B159" s="3" t="s">
        <v>177</v>
      </c>
      <c r="C159" s="3" t="s">
        <v>100</v>
      </c>
      <c r="D159" s="3" t="str">
        <f>IFERROR(MID(VLOOKUP($B159,Seqs!$A:$B,2,0),E159,1),"")</f>
        <v>V</v>
      </c>
      <c r="E159" s="3">
        <v>43</v>
      </c>
      <c r="F159" s="3" t="str">
        <f>IFERROR(MID(VLOOKUP($B159,Seqs!$A:$B,2,0),G159,1),"")</f>
        <v>C</v>
      </c>
      <c r="G159" s="3">
        <v>76</v>
      </c>
      <c r="H159" s="3" t="str">
        <f>IFERROR(MID(VLOOKUP($B159,Seqs!$A:$B,2,0),I159,1),"")</f>
        <v>T</v>
      </c>
      <c r="I159" s="23">
        <v>77</v>
      </c>
      <c r="J159" s="3" t="str">
        <f>IFERROR(MID(VLOOKUP($B159,Seqs!$A:$B,2,0),K159,1),"")</f>
        <v>K</v>
      </c>
      <c r="K159" s="23">
        <v>80</v>
      </c>
      <c r="L159" s="3" t="str">
        <f>IFERROR(MID(VLOOKUP($B159,Seqs!$A:$B,2,0),M159,1),"")</f>
        <v>T</v>
      </c>
      <c r="M159" s="3">
        <v>81</v>
      </c>
      <c r="N159" s="3" t="str">
        <f>IFERROR(MID(VLOOKUP($B159,Seqs!$A:$B,2,0),O159,1),"")</f>
        <v>D</v>
      </c>
      <c r="O159" s="3">
        <v>110</v>
      </c>
      <c r="P159" s="3" t="str">
        <f>IFERROR(MID(VLOOKUP($B159,Seqs!$A:$B,2,0),Q159,1),"")</f>
        <v>Q</v>
      </c>
      <c r="Q159" s="3">
        <v>111</v>
      </c>
      <c r="R159" s="3" t="str">
        <f>IFERROR(MID(VLOOKUP($B159,Seqs!$A:$B,2,0),S159,1),"")</f>
        <v>F</v>
      </c>
      <c r="S159" s="3">
        <v>114</v>
      </c>
      <c r="T159" s="3" t="str">
        <f>IFERROR(MID(VLOOKUP($B159,Seqs!$A:$B,2,0),U159,1),"")</f>
        <v>Q</v>
      </c>
      <c r="U159" s="3">
        <v>115</v>
      </c>
      <c r="V159" s="3" t="str">
        <f>IFERROR(MID(VLOOKUP($B159,Seqs!$A:$B,2,0),W159,1),"")</f>
        <v>Q</v>
      </c>
      <c r="W159" s="3">
        <v>150</v>
      </c>
      <c r="X159" s="3" t="str">
        <f>IFERROR(MID(VLOOKUP($B159,Seqs!$A:$B,2,0),Y159,1),"")</f>
        <v>A</v>
      </c>
      <c r="Y159" s="3">
        <v>151</v>
      </c>
      <c r="Z159" s="3" t="str">
        <f>IFERROR(MID(VLOOKUP($B159,Seqs!$A:$B,2,0),AA159,1),"")</f>
        <v>W</v>
      </c>
      <c r="AA159" s="3">
        <v>157</v>
      </c>
      <c r="AB159" s="3" t="str">
        <f>IFERROR(MID(VLOOKUP($B159,Seqs!$A:$B,2,0),AC159,1),"")</f>
        <v>R</v>
      </c>
      <c r="AC159" s="9">
        <v>158</v>
      </c>
      <c r="AD159" s="3" t="str">
        <f>IFERROR(MID(VLOOKUP($B159,Seqs!$A:$B,2,0),AE159,1),"")</f>
        <v>S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M</v>
      </c>
      <c r="AI159" s="3">
        <v>200</v>
      </c>
      <c r="AJ159" s="3" t="str">
        <f>IFERROR(MID(VLOOKUP($B159,Seqs!$A:$B,2,0),AK159,1),"")</f>
        <v>K</v>
      </c>
      <c r="AK159" s="3">
        <v>209</v>
      </c>
      <c r="AL159" s="3" t="str">
        <f>IFERROR(MID(VLOOKUP($B159,Seqs!$A:$B,2,0),AM159,1),"")</f>
        <v>A</v>
      </c>
      <c r="AM159" s="3">
        <v>244</v>
      </c>
      <c r="AN159" s="3" t="str">
        <f>IFERROR(MID(VLOOKUP($B159,Seqs!$A:$B,2,0),AO159,1),"")</f>
        <v>S</v>
      </c>
      <c r="AO159" s="3">
        <v>247</v>
      </c>
      <c r="AP159" s="3" t="str">
        <f>IFERROR(MID(VLOOKUP($B159,Seqs!$A:$B,2,0),AQ159,1),"")</f>
        <v>M</v>
      </c>
      <c r="AQ159" s="3">
        <v>284</v>
      </c>
      <c r="AR159" s="3" t="str">
        <f>IFERROR(MID(VLOOKUP($B159,Seqs!$A:$B,2,0),AS159,1),"")</f>
        <v>N</v>
      </c>
      <c r="AS159" s="3">
        <v>288</v>
      </c>
      <c r="AT159" s="3" t="str">
        <f>IFERROR(MID(VLOOKUP($B159,Seqs!$A:$B,2,0),AU159,1),"")</f>
        <v>V</v>
      </c>
      <c r="AU159" s="3">
        <v>320</v>
      </c>
      <c r="AV159" s="3" t="str">
        <f>IFERROR(MID(VLOOKUP($B159,Seqs!$A:$B,2,0),AW159,1),"")</f>
        <v>G</v>
      </c>
      <c r="AW159" s="3">
        <v>321</v>
      </c>
      <c r="AX159" s="3" t="str">
        <f>IFERROR(MID(VLOOKUP($B159,Seqs!$A:$B,2,0),AY159,1),"")</f>
        <v>A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Chemokine</v>
      </c>
      <c r="BB159" s="27" t="b">
        <f t="shared" si="868"/>
        <v>1</v>
      </c>
      <c r="BC159" s="23">
        <f t="shared" si="645"/>
        <v>276</v>
      </c>
      <c r="BD159" s="56" t="s">
        <v>23</v>
      </c>
      <c r="BE159" s="3" t="s">
        <v>23</v>
      </c>
      <c r="BF159" s="119" t="s">
        <v>23</v>
      </c>
      <c r="BG159" s="49" t="s">
        <v>1372</v>
      </c>
      <c r="BH159" s="49" t="s">
        <v>1377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646"/>
        <v>43</v>
      </c>
      <c r="BW159" s="71">
        <f t="shared" si="647"/>
        <v>77</v>
      </c>
      <c r="BX159" s="72">
        <f t="shared" si="648"/>
        <v>81</v>
      </c>
      <c r="BY159" s="71">
        <f t="shared" si="649"/>
        <v>111</v>
      </c>
      <c r="BZ159" s="72">
        <f t="shared" si="650"/>
        <v>115</v>
      </c>
      <c r="CA159" s="71">
        <f t="shared" si="651"/>
        <v>151</v>
      </c>
      <c r="CB159" s="72">
        <f t="shared" si="652"/>
        <v>158</v>
      </c>
      <c r="CC159" s="71">
        <f t="shared" si="653"/>
        <v>198</v>
      </c>
      <c r="CD159" s="72">
        <f t="shared" si="654"/>
        <v>209</v>
      </c>
      <c r="CE159" s="71">
        <f t="shared" si="655"/>
        <v>247</v>
      </c>
      <c r="CF159" s="72">
        <f t="shared" si="656"/>
        <v>288</v>
      </c>
      <c r="CG159" s="71">
        <f t="shared" si="657"/>
        <v>321</v>
      </c>
      <c r="CH159" s="70">
        <f t="shared" si="658"/>
        <v>76</v>
      </c>
      <c r="CI159" s="71">
        <f t="shared" si="659"/>
        <v>80</v>
      </c>
      <c r="CJ159" s="72">
        <f t="shared" si="660"/>
        <v>110</v>
      </c>
      <c r="CK159" s="72">
        <f t="shared" si="661"/>
        <v>114</v>
      </c>
      <c r="CL159" s="72">
        <f t="shared" si="662"/>
        <v>150</v>
      </c>
      <c r="CM159" s="72">
        <f t="shared" si="663"/>
        <v>157</v>
      </c>
      <c r="CN159" s="72">
        <f t="shared" si="664"/>
        <v>187</v>
      </c>
      <c r="CO159" s="72">
        <f t="shared" si="665"/>
        <v>200</v>
      </c>
      <c r="CP159" s="72">
        <f t="shared" si="666"/>
        <v>244</v>
      </c>
      <c r="CQ159" s="72">
        <f t="shared" si="667"/>
        <v>284</v>
      </c>
      <c r="CR159" s="72">
        <f t="shared" si="668"/>
        <v>320</v>
      </c>
      <c r="CS159" s="72">
        <f t="shared" si="669"/>
        <v>341</v>
      </c>
      <c r="CT159" s="23">
        <f t="shared" si="670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867"/>
        <v>ccr9_human_5LWE</v>
      </c>
      <c r="B160" s="3" t="s">
        <v>177</v>
      </c>
      <c r="C160" s="3" t="s">
        <v>1365</v>
      </c>
      <c r="D160" s="3" t="str">
        <f>IFERROR(MID(VLOOKUP($B160,Seqs!$A:$B,2,0),E160,1),"")</f>
        <v>V</v>
      </c>
      <c r="E160" s="3">
        <v>43</v>
      </c>
      <c r="F160" s="3" t="str">
        <f>IFERROR(MID(VLOOKUP($B160,Seqs!$A:$B,2,0),G160,1),"")</f>
        <v>C</v>
      </c>
      <c r="G160" s="3">
        <v>76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81</v>
      </c>
      <c r="N160" s="3" t="str">
        <f>IFERROR(MID(VLOOKUP($B160,Seqs!$A:$B,2,0),O160,1),"")</f>
        <v>A</v>
      </c>
      <c r="O160" s="3">
        <v>108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C</v>
      </c>
      <c r="U160" s="3">
        <v>119</v>
      </c>
      <c r="V160" s="3" t="str">
        <f>IFERROR(MID(VLOOKUP($B160,Seqs!$A:$B,2,0),W160,1),"")</f>
        <v>Q</v>
      </c>
      <c r="W160" s="3">
        <v>150</v>
      </c>
      <c r="X160" s="3" t="str">
        <f>IFERROR(MID(VLOOKUP($B160,Seqs!$A:$B,2,0),Y160,1),"")</f>
        <v>A</v>
      </c>
      <c r="Y160" s="3">
        <v>151</v>
      </c>
      <c r="Z160" s="3" t="str">
        <f>IFERROR(MID(VLOOKUP($B160,Seqs!$A:$B,2,0),AA160,1),"")</f>
        <v>W</v>
      </c>
      <c r="AA160" s="3">
        <v>157</v>
      </c>
      <c r="AB160" s="3" t="str">
        <f>IFERROR(MID(VLOOKUP($B160,Seqs!$A:$B,2,0),AC160,1),"")</f>
        <v>R</v>
      </c>
      <c r="AC160" s="9">
        <v>158</v>
      </c>
      <c r="AD160" s="3" t="str">
        <f>IFERROR(MID(VLOOKUP($B160,Seqs!$A:$B,2,0),AE160,1),"")</f>
        <v>I</v>
      </c>
      <c r="AE160" s="3">
        <v>184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/>
      </c>
      <c r="AK160" s="3" t="s">
        <v>23</v>
      </c>
      <c r="AL160" s="3" t="str">
        <f>IFERROR(MID(VLOOKUP($B160,Seqs!$A:$B,2,0),AM160,1),"")</f>
        <v/>
      </c>
      <c r="AM160" s="3" t="s">
        <v>23</v>
      </c>
      <c r="AN160" s="3" t="str">
        <f>IFERROR(MID(VLOOKUP($B160,Seqs!$A:$B,2,0),AO160,1),"")</f>
        <v>S</v>
      </c>
      <c r="AO160" s="3">
        <v>247</v>
      </c>
      <c r="AP160" s="3" t="str">
        <f>IFERROR(MID(VLOOKUP($B160,Seqs!$A:$B,2,0),AQ160,1),"")</f>
        <v>M</v>
      </c>
      <c r="AQ160" s="3">
        <v>284</v>
      </c>
      <c r="AR160" s="3" t="str">
        <f>IFERROR(MID(VLOOKUP($B160,Seqs!$A:$B,2,0),AS160,1),"")</f>
        <v>N</v>
      </c>
      <c r="AS160" s="3">
        <v>288</v>
      </c>
      <c r="AT160" s="3" t="str">
        <f>IFERROR(MID(VLOOKUP($B160,Seqs!$A:$B,2,0),AU160,1),"")</f>
        <v>V</v>
      </c>
      <c r="AU160" s="3">
        <v>320</v>
      </c>
      <c r="AV160" s="3" t="str">
        <f>IFERROR(MID(VLOOKUP($B160,Seqs!$A:$B,2,0),AW160,1),"")</f>
        <v>G</v>
      </c>
      <c r="AW160" s="3">
        <v>321</v>
      </c>
      <c r="AX160" s="3" t="str">
        <f>IFERROR(MID(VLOOKUP($B160,Seqs!$A:$B,2,0),AY160,1),"")</f>
        <v>A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Chemokine</v>
      </c>
      <c r="BB160" s="27" t="b">
        <f t="shared" si="868"/>
        <v>0</v>
      </c>
      <c r="BC160" s="23">
        <f t="shared" si="645"/>
        <v>224</v>
      </c>
      <c r="BD160" s="16" t="s">
        <v>1376</v>
      </c>
      <c r="BE160" s="3" t="s">
        <v>1374</v>
      </c>
      <c r="BF160" s="119">
        <v>2.8</v>
      </c>
      <c r="BG160" s="49" t="s">
        <v>1377</v>
      </c>
      <c r="BH160" s="49" t="s">
        <v>1377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si="646"/>
        <v>43</v>
      </c>
      <c r="BW160" s="71" t="str">
        <f t="shared" si="647"/>
        <v>-</v>
      </c>
      <c r="BX160" s="72">
        <f t="shared" si="648"/>
        <v>81</v>
      </c>
      <c r="BY160" s="71" t="str">
        <f t="shared" si="649"/>
        <v>-</v>
      </c>
      <c r="BZ160" s="72">
        <f t="shared" si="650"/>
        <v>119</v>
      </c>
      <c r="CA160" s="71">
        <f t="shared" si="651"/>
        <v>151</v>
      </c>
      <c r="CB160" s="72">
        <f t="shared" si="652"/>
        <v>158</v>
      </c>
      <c r="CC160" s="71" t="str">
        <f t="shared" si="653"/>
        <v>-</v>
      </c>
      <c r="CD160" s="72" t="str">
        <f t="shared" si="654"/>
        <v>-</v>
      </c>
      <c r="CE160" s="71">
        <f t="shared" si="655"/>
        <v>247</v>
      </c>
      <c r="CF160" s="72">
        <f t="shared" si="656"/>
        <v>288</v>
      </c>
      <c r="CG160" s="71">
        <f t="shared" si="657"/>
        <v>321</v>
      </c>
      <c r="CH160" s="70">
        <f t="shared" si="658"/>
        <v>76</v>
      </c>
      <c r="CI160" s="71" t="str">
        <f t="shared" si="659"/>
        <v>-</v>
      </c>
      <c r="CJ160" s="72">
        <f t="shared" si="660"/>
        <v>108</v>
      </c>
      <c r="CK160" s="72" t="str">
        <f t="shared" si="661"/>
        <v>-</v>
      </c>
      <c r="CL160" s="72">
        <f t="shared" si="662"/>
        <v>150</v>
      </c>
      <c r="CM160" s="72">
        <f t="shared" si="663"/>
        <v>157</v>
      </c>
      <c r="CN160" s="72">
        <f t="shared" si="664"/>
        <v>184</v>
      </c>
      <c r="CO160" s="72" t="str">
        <f t="shared" si="665"/>
        <v>-</v>
      </c>
      <c r="CP160" s="72" t="str">
        <f t="shared" si="666"/>
        <v>-</v>
      </c>
      <c r="CQ160" s="72">
        <f t="shared" si="667"/>
        <v>284</v>
      </c>
      <c r="CR160" s="72">
        <f t="shared" si="668"/>
        <v>320</v>
      </c>
      <c r="CS160" s="72">
        <f t="shared" si="669"/>
        <v>341</v>
      </c>
      <c r="CT160" s="23" t="e">
        <f t="shared" si="670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>CONCATENATE(B161,"_",C161)</f>
        <v>ccr9_human_5LWE_dist</v>
      </c>
      <c r="B161" s="3" t="s">
        <v>177</v>
      </c>
      <c r="C161" s="3" t="s">
        <v>1384</v>
      </c>
      <c r="D161" s="3" t="str">
        <f>IFERROR(MID(VLOOKUP($B161,Seqs!$A:$B,2,0),E161,1),"")</f>
        <v>V</v>
      </c>
      <c r="E161" s="3">
        <v>43</v>
      </c>
      <c r="F161" s="3" t="str">
        <f>IFERROR(MID(VLOOKUP($B161,Seqs!$A:$B,2,0),G161,1),"")</f>
        <v>C</v>
      </c>
      <c r="G161" s="3">
        <v>76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T</v>
      </c>
      <c r="M161" s="3">
        <v>81</v>
      </c>
      <c r="N161" s="3" t="str">
        <f>IFERROR(MID(VLOOKUP($B161,Seqs!$A:$B,2,0),O161,1),"")</f>
        <v>A</v>
      </c>
      <c r="O161" s="3">
        <v>108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C</v>
      </c>
      <c r="U161" s="3">
        <v>119</v>
      </c>
      <c r="V161" s="3" t="str">
        <f>IFERROR(MID(VLOOKUP($B161,Seqs!$A:$B,2,0),W161,1),"")</f>
        <v>Q</v>
      </c>
      <c r="W161" s="3">
        <v>150</v>
      </c>
      <c r="X161" s="3" t="str">
        <f>IFERROR(MID(VLOOKUP($B161,Seqs!$A:$B,2,0),Y161,1),"")</f>
        <v>A</v>
      </c>
      <c r="Y161" s="3">
        <v>151</v>
      </c>
      <c r="Z161" s="3" t="str">
        <f>IFERROR(MID(VLOOKUP($B161,Seqs!$A:$B,2,0),AA161,1),"")</f>
        <v>W</v>
      </c>
      <c r="AA161" s="3">
        <v>157</v>
      </c>
      <c r="AB161" s="3" t="str">
        <f>IFERROR(MID(VLOOKUP($B161,Seqs!$A:$B,2,0),AC161,1),"")</f>
        <v>R</v>
      </c>
      <c r="AC161" s="9">
        <v>158</v>
      </c>
      <c r="AD161" s="3" t="str">
        <f>IFERROR(MID(VLOOKUP($B161,Seqs!$A:$B,2,0),AE161,1),"")</f>
        <v>I</v>
      </c>
      <c r="AE161" s="3">
        <v>184</v>
      </c>
      <c r="AF161" s="3" t="str">
        <f>IFERROR(MID(VLOOKUP($B161,Seqs!$A:$B,2,0),AG161,1),"")</f>
        <v/>
      </c>
      <c r="AG161" s="3" t="s">
        <v>23</v>
      </c>
      <c r="AH161" s="3" t="str">
        <f>IFERROR(MID(VLOOKUP($B161,Seqs!$A:$B,2,0),AI161,1),"")</f>
        <v/>
      </c>
      <c r="AI161" s="3" t="s">
        <v>23</v>
      </c>
      <c r="AJ161" s="3" t="str">
        <f>IFERROR(MID(VLOOKUP($B161,Seqs!$A:$B,2,0),AK161,1),"")</f>
        <v>K</v>
      </c>
      <c r="AK161" s="3">
        <v>209</v>
      </c>
      <c r="AL161" s="3" t="str">
        <f>IFERROR(MID(VLOOKUP($B161,Seqs!$A:$B,2,0),AM161,1),"")</f>
        <v>A</v>
      </c>
      <c r="AM161" s="3">
        <v>244</v>
      </c>
      <c r="AN161" s="3" t="str">
        <f>IFERROR(MID(VLOOKUP($B161,Seqs!$A:$B,2,0),AO161,1),"")</f>
        <v>S</v>
      </c>
      <c r="AO161" s="3">
        <v>247</v>
      </c>
      <c r="AP161" s="3" t="str">
        <f>IFERROR(MID(VLOOKUP($B161,Seqs!$A:$B,2,0),AQ161,1),"")</f>
        <v>M</v>
      </c>
      <c r="AQ161" s="3">
        <v>284</v>
      </c>
      <c r="AR161" s="3" t="str">
        <f>IFERROR(MID(VLOOKUP($B161,Seqs!$A:$B,2,0),AS161,1),"")</f>
        <v>N</v>
      </c>
      <c r="AS161" s="3">
        <v>288</v>
      </c>
      <c r="AT161" s="3" t="str">
        <f>IFERROR(MID(VLOOKUP($B161,Seqs!$A:$B,2,0),AU161,1),"")</f>
        <v>V</v>
      </c>
      <c r="AU161" s="3">
        <v>320</v>
      </c>
      <c r="AV161" s="3" t="str">
        <f>IFERROR(MID(VLOOKUP($B161,Seqs!$A:$B,2,0),AW161,1),"")</f>
        <v>G</v>
      </c>
      <c r="AW161" s="3">
        <v>321</v>
      </c>
      <c r="AX161" s="3" t="str">
        <f>IFERROR(MID(VLOOKUP($B161,Seqs!$A:$B,2,0),AY161,1),"")</f>
        <v>A</v>
      </c>
      <c r="AY161" s="3">
        <v>341</v>
      </c>
      <c r="AZ161" s="77" t="str">
        <f>VLOOKUP(B161,Classification!A:D,2,0)</f>
        <v>A</v>
      </c>
      <c r="BA161" s="94" t="str">
        <f>VLOOKUP(B161,Classification!A:D,4,0)</f>
        <v>Chemokine</v>
      </c>
      <c r="BB161" s="27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>_xlfn.AGGREGATE(9,6,CH161:CS161)-_xlfn.AGGREGATE(9,6,BV161:CG161)+12</f>
        <v>259</v>
      </c>
      <c r="BD161" s="16" t="s">
        <v>23</v>
      </c>
      <c r="BE161" s="3" t="s">
        <v>1374</v>
      </c>
      <c r="BF161" s="119">
        <v>2.8</v>
      </c>
      <c r="BG161" s="49" t="s">
        <v>1377</v>
      </c>
      <c r="BH161" s="49" t="s">
        <v>1377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>E161</f>
        <v>43</v>
      </c>
      <c r="BW161" s="71" t="str">
        <f>I161</f>
        <v>-</v>
      </c>
      <c r="BX161" s="72">
        <f>M161</f>
        <v>81</v>
      </c>
      <c r="BY161" s="71" t="str">
        <f>Q161</f>
        <v>-</v>
      </c>
      <c r="BZ161" s="72">
        <f>U161</f>
        <v>119</v>
      </c>
      <c r="CA161" s="71">
        <f>Y161</f>
        <v>151</v>
      </c>
      <c r="CB161" s="72">
        <f>AC161</f>
        <v>158</v>
      </c>
      <c r="CC161" s="71" t="str">
        <f>AG161</f>
        <v>-</v>
      </c>
      <c r="CD161" s="72">
        <f>AK161</f>
        <v>209</v>
      </c>
      <c r="CE161" s="71">
        <f>AO161</f>
        <v>247</v>
      </c>
      <c r="CF161" s="72">
        <f>AS161</f>
        <v>288</v>
      </c>
      <c r="CG161" s="71">
        <f>AW161</f>
        <v>321</v>
      </c>
      <c r="CH161" s="70">
        <f>G161</f>
        <v>76</v>
      </c>
      <c r="CI161" s="71" t="str">
        <f>K161</f>
        <v>-</v>
      </c>
      <c r="CJ161" s="72">
        <f>O161</f>
        <v>108</v>
      </c>
      <c r="CK161" s="72" t="str">
        <f>S161</f>
        <v>-</v>
      </c>
      <c r="CL161" s="72">
        <f>W161</f>
        <v>150</v>
      </c>
      <c r="CM161" s="72">
        <f>AA161</f>
        <v>157</v>
      </c>
      <c r="CN161" s="72">
        <f>AE161</f>
        <v>184</v>
      </c>
      <c r="CO161" s="72" t="str">
        <f>AI161</f>
        <v>-</v>
      </c>
      <c r="CP161" s="72">
        <f>AM161</f>
        <v>244</v>
      </c>
      <c r="CQ161" s="72">
        <f>AQ161</f>
        <v>284</v>
      </c>
      <c r="CR161" s="72">
        <f>AU161</f>
        <v>320</v>
      </c>
      <c r="CS161" s="72">
        <f>AY161</f>
        <v>341</v>
      </c>
      <c r="CT161" s="23" t="e">
        <f>M161-K161</f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867"/>
        <v>cnr1_human__wt</v>
      </c>
      <c r="B162" s="3" t="s">
        <v>182</v>
      </c>
      <c r="C162" s="3" t="s">
        <v>100</v>
      </c>
      <c r="D162" s="3" t="str">
        <f>IFERROR(MID(VLOOKUP($B162,Seqs!$A:$B,2,0),E162,1),"")</f>
        <v>N</v>
      </c>
      <c r="E162" s="3">
        <v>112</v>
      </c>
      <c r="F162" s="3" t="str">
        <f>IFERROR(MID(VLOOKUP($B162,Seqs!$A:$B,2,0),G162,1),"")</f>
        <v>S</v>
      </c>
      <c r="G162" s="3">
        <v>144</v>
      </c>
      <c r="H162" s="3" t="str">
        <f>IFERROR(MID(VLOOKUP($B162,Seqs!$A:$B,2,0),I162,1),"")</f>
        <v>R</v>
      </c>
      <c r="I162" s="23">
        <v>145</v>
      </c>
      <c r="J162" s="3" t="str">
        <f>IFERROR(MID(VLOOKUP($B162,Seqs!$A:$B,2,0),K162,1),"")</f>
        <v>R</v>
      </c>
      <c r="K162" s="23">
        <v>148</v>
      </c>
      <c r="L162" s="3" t="str">
        <f>IFERROR(MID(VLOOKUP($B162,Seqs!$A:$B,2,0),M162,1),"")</f>
        <v>R</v>
      </c>
      <c r="M162" s="3">
        <v>150</v>
      </c>
      <c r="N162" s="3" t="str">
        <f>IFERROR(MID(VLOOKUP($B162,Seqs!$A:$B,2,0),O162,1),"")</f>
        <v>V</v>
      </c>
      <c r="O162" s="3">
        <v>179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S</v>
      </c>
      <c r="U162" s="3">
        <v>185</v>
      </c>
      <c r="V162" s="3" t="str">
        <f>IFERROR(MID(VLOOKUP($B162,Seqs!$A:$B,2,0),W162,1),"")</f>
        <v>R</v>
      </c>
      <c r="W162" s="3">
        <v>220</v>
      </c>
      <c r="X162" s="3" t="str">
        <f>IFERROR(MID(VLOOKUP($B162,Seqs!$A:$B,2,0),Y162,1),"")</f>
        <v>P</v>
      </c>
      <c r="Y162" s="3">
        <v>221</v>
      </c>
      <c r="Z162" s="3" t="str">
        <f>IFERROR(MID(VLOOKUP($B162,Seqs!$A:$B,2,0),AA162,1),"")</f>
        <v>V</v>
      </c>
      <c r="AA162" s="3">
        <v>228</v>
      </c>
      <c r="AB162" s="3" t="str">
        <f>IFERROR(MID(VLOOKUP($B162,Seqs!$A:$B,2,0),AC162,1),"")</f>
        <v>T</v>
      </c>
      <c r="AC162" s="9">
        <v>229</v>
      </c>
      <c r="AD162" s="3" t="str">
        <f>IFERROR(MID(VLOOKUP($B162,Seqs!$A:$B,2,0),AE162,1),"")</f>
        <v>G</v>
      </c>
      <c r="AE162" s="3">
        <v>254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>D</v>
      </c>
      <c r="AK162" s="3">
        <v>272</v>
      </c>
      <c r="AL162" s="3" t="str">
        <f>IFERROR(MID(VLOOKUP($B162,Seqs!$A:$B,2,0),AM162,1),"")</f>
        <v>G</v>
      </c>
      <c r="AM162" s="3">
        <v>312</v>
      </c>
      <c r="AN162" s="3" t="str">
        <f>IFERROR(MID(VLOOKUP($B162,Seqs!$A:$B,2,0),AO162,1),"")</f>
        <v>P</v>
      </c>
      <c r="AO162" s="3">
        <v>332</v>
      </c>
      <c r="AP162" s="3" t="str">
        <f>IFERROR(MID(VLOOKUP($B162,Seqs!$A:$B,2,0),AQ162,1),"")</f>
        <v>G</v>
      </c>
      <c r="AQ162" s="3">
        <v>369</v>
      </c>
      <c r="AR162" s="3" t="str">
        <f>IFERROR(MID(VLOOKUP($B162,Seqs!$A:$B,2,0),AS162,1),"")</f>
        <v>N</v>
      </c>
      <c r="AS162" s="3">
        <v>372</v>
      </c>
      <c r="AT162" s="3" t="str">
        <f>IFERROR(MID(VLOOKUP($B162,Seqs!$A:$B,2,0),AU162,1),"")</f>
        <v>R</v>
      </c>
      <c r="AU162" s="3">
        <v>400</v>
      </c>
      <c r="AV162" s="3" t="str">
        <f>IFERROR(MID(VLOOKUP($B162,Seqs!$A:$B,2,0),AW162,1),"")</f>
        <v>S</v>
      </c>
      <c r="AW162" s="3">
        <v>401</v>
      </c>
      <c r="AX162" s="3" t="str">
        <f>IFERROR(MID(VLOOKUP($B162,Seqs!$A:$B,2,0),AY162,1),"")</f>
        <v>P</v>
      </c>
      <c r="AY162" s="3">
        <v>413</v>
      </c>
      <c r="AZ162" s="77" t="str">
        <f>VLOOKUP(B162,Classification!A:D,2,0)</f>
        <v>A</v>
      </c>
      <c r="BA162" s="94" t="str">
        <f>VLOOKUP(B162,Classification!A:D,4,0)</f>
        <v>Cannabinoid</v>
      </c>
      <c r="BB162" s="27" t="b">
        <f t="shared" si="868"/>
        <v>1</v>
      </c>
      <c r="BC162" s="23">
        <f t="shared" si="645"/>
        <v>260</v>
      </c>
      <c r="BD162" s="56" t="s">
        <v>23</v>
      </c>
      <c r="BE162" s="3" t="s">
        <v>23</v>
      </c>
      <c r="BF162" s="119" t="s">
        <v>23</v>
      </c>
      <c r="BG162" s="49" t="s">
        <v>1372</v>
      </c>
      <c r="BH162" s="49" t="s">
        <v>1377</v>
      </c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646"/>
        <v>112</v>
      </c>
      <c r="BW162" s="71">
        <f t="shared" si="647"/>
        <v>145</v>
      </c>
      <c r="BX162" s="72">
        <f t="shared" si="648"/>
        <v>150</v>
      </c>
      <c r="BY162" s="71" t="str">
        <f t="shared" si="649"/>
        <v>-</v>
      </c>
      <c r="BZ162" s="72">
        <f t="shared" si="650"/>
        <v>185</v>
      </c>
      <c r="CA162" s="71">
        <f t="shared" si="651"/>
        <v>221</v>
      </c>
      <c r="CB162" s="72">
        <f t="shared" si="652"/>
        <v>229</v>
      </c>
      <c r="CC162" s="71" t="str">
        <f t="shared" si="653"/>
        <v>-</v>
      </c>
      <c r="CD162" s="72">
        <f t="shared" si="654"/>
        <v>272</v>
      </c>
      <c r="CE162" s="71">
        <f t="shared" si="655"/>
        <v>332</v>
      </c>
      <c r="CF162" s="72">
        <f t="shared" si="656"/>
        <v>372</v>
      </c>
      <c r="CG162" s="71">
        <f t="shared" si="657"/>
        <v>401</v>
      </c>
      <c r="CH162" s="70">
        <f t="shared" si="658"/>
        <v>144</v>
      </c>
      <c r="CI162" s="71">
        <f t="shared" si="659"/>
        <v>148</v>
      </c>
      <c r="CJ162" s="72">
        <f t="shared" si="660"/>
        <v>179</v>
      </c>
      <c r="CK162" s="72" t="str">
        <f t="shared" si="661"/>
        <v>-</v>
      </c>
      <c r="CL162" s="72">
        <f t="shared" si="662"/>
        <v>220</v>
      </c>
      <c r="CM162" s="72">
        <f t="shared" si="663"/>
        <v>228</v>
      </c>
      <c r="CN162" s="72">
        <f t="shared" si="664"/>
        <v>254</v>
      </c>
      <c r="CO162" s="72" t="str">
        <f t="shared" si="665"/>
        <v>-</v>
      </c>
      <c r="CP162" s="72">
        <f t="shared" si="666"/>
        <v>312</v>
      </c>
      <c r="CQ162" s="72">
        <f t="shared" si="667"/>
        <v>369</v>
      </c>
      <c r="CR162" s="72">
        <f t="shared" si="668"/>
        <v>400</v>
      </c>
      <c r="CS162" s="72">
        <f t="shared" si="669"/>
        <v>413</v>
      </c>
      <c r="CT162" s="23">
        <f t="shared" si="670"/>
        <v>2</v>
      </c>
    </row>
    <row r="163" spans="1:1030" s="3" customFormat="1" x14ac:dyDescent="0.2">
      <c r="A163" s="3" t="str">
        <f t="shared" si="867"/>
        <v>cnr1_human_5TGZ</v>
      </c>
      <c r="B163" s="3" t="s">
        <v>182</v>
      </c>
      <c r="C163" s="3" t="s">
        <v>1359</v>
      </c>
      <c r="D163" s="3" t="str">
        <f>IFERROR(MID(VLOOKUP($B163,Seqs!$A:$B,2,0),E163,1),"")</f>
        <v>P</v>
      </c>
      <c r="E163" s="3">
        <v>113</v>
      </c>
      <c r="F163" s="3" t="str">
        <f>IFERROR(MID(VLOOKUP($B163,Seqs!$A:$B,2,0),G163,1),"")</f>
        <v>S</v>
      </c>
      <c r="G163" s="3">
        <v>144</v>
      </c>
      <c r="H163" s="3" t="str">
        <f>IFERROR(MID(VLOOKUP($B163,Seqs!$A:$B,2,0),I163,1),"")</f>
        <v>R</v>
      </c>
      <c r="I163" s="23">
        <v>145</v>
      </c>
      <c r="J163" s="3" t="str">
        <f>IFERROR(MID(VLOOKUP($B163,Seqs!$A:$B,2,0),K163,1),"")</f>
        <v>R</v>
      </c>
      <c r="K163" s="23">
        <v>148</v>
      </c>
      <c r="L163" s="3" t="str">
        <f>IFERROR(MID(VLOOKUP($B163,Seqs!$A:$B,2,0),M163,1),"")</f>
        <v>R</v>
      </c>
      <c r="M163" s="3">
        <v>150</v>
      </c>
      <c r="N163" s="3" t="str">
        <f>IFERROR(MID(VLOOKUP($B163,Seqs!$A:$B,2,0),O163,1),"")</f>
        <v>V</v>
      </c>
      <c r="O163" s="3">
        <v>179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S</v>
      </c>
      <c r="U163" s="3">
        <v>185</v>
      </c>
      <c r="V163" s="3" t="str">
        <f>IFERROR(MID(VLOOKUP($B163,Seqs!$A:$B,2,0),W163,1),"")</f>
        <v>R</v>
      </c>
      <c r="W163" s="3">
        <v>220</v>
      </c>
      <c r="X163" s="3" t="str">
        <f>IFERROR(MID(VLOOKUP($B163,Seqs!$A:$B,2,0),Y163,1),"")</f>
        <v>P</v>
      </c>
      <c r="Y163" s="3">
        <v>221</v>
      </c>
      <c r="Z163" s="3" t="str">
        <f>IFERROR(MID(VLOOKUP($B163,Seqs!$A:$B,2,0),AA163,1),"")</f>
        <v>V</v>
      </c>
      <c r="AA163" s="3">
        <v>228</v>
      </c>
      <c r="AB163" s="3" t="str">
        <f>IFERROR(MID(VLOOKUP($B163,Seqs!$A:$B,2,0),AC163,1),"")</f>
        <v>T</v>
      </c>
      <c r="AC163" s="9">
        <v>229</v>
      </c>
      <c r="AD163" s="3" t="str">
        <f>IFERROR(MID(VLOOKUP($B163,Seqs!$A:$B,2,0),AE163,1),"")</f>
        <v>G</v>
      </c>
      <c r="AE163" s="3">
        <v>254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D</v>
      </c>
      <c r="AK163" s="3">
        <v>272</v>
      </c>
      <c r="AL163" s="3" t="str">
        <f>IFERROR(MID(VLOOKUP($B163,Seqs!$A:$B,2,0),AM163,1),"")</f>
        <v>H</v>
      </c>
      <c r="AM163" s="3">
        <v>304</v>
      </c>
      <c r="AN163" s="3" t="str">
        <f>IFERROR(MID(VLOOKUP($B163,Seqs!$A:$B,2,0),AO163,1),"")</f>
        <v>P</v>
      </c>
      <c r="AO163" s="3">
        <v>332</v>
      </c>
      <c r="AP163" s="3" t="str">
        <f>IFERROR(MID(VLOOKUP($B163,Seqs!$A:$B,2,0),AQ163,1),"")</f>
        <v>F</v>
      </c>
      <c r="AQ163" s="3">
        <v>368</v>
      </c>
      <c r="AR163" s="3" t="str">
        <f>IFERROR(MID(VLOOKUP($B163,Seqs!$A:$B,2,0),AS163,1),"")</f>
        <v>N</v>
      </c>
      <c r="AS163" s="3">
        <v>372</v>
      </c>
      <c r="AT163" s="3" t="str">
        <f>IFERROR(MID(VLOOKUP($B163,Seqs!$A:$B,2,0),AU163,1),"")</f>
        <v>R</v>
      </c>
      <c r="AU163" s="3">
        <v>400</v>
      </c>
      <c r="AV163" s="3" t="str">
        <f>IFERROR(MID(VLOOKUP($B163,Seqs!$A:$B,2,0),AW163,1),"")</f>
        <v>S</v>
      </c>
      <c r="AW163" s="3">
        <v>401</v>
      </c>
      <c r="AX163" s="3" t="str">
        <f>IFERROR(MID(VLOOKUP($B163,Seqs!$A:$B,2,0),AY163,1),"")</f>
        <v>M</v>
      </c>
      <c r="AY163" s="3">
        <v>411</v>
      </c>
      <c r="AZ163" s="77" t="str">
        <f>VLOOKUP(B163,Classification!A:D,2,0)</f>
        <v>A</v>
      </c>
      <c r="BA163" s="94" t="str">
        <f>VLOOKUP(B163,Classification!A:D,4,0)</f>
        <v>Cannabinoid</v>
      </c>
      <c r="BB163" s="27" t="b">
        <f t="shared" si="868"/>
        <v>1</v>
      </c>
      <c r="BC163" s="23">
        <f t="shared" si="645"/>
        <v>248</v>
      </c>
      <c r="BD163" s="16" t="s">
        <v>1376</v>
      </c>
      <c r="BE163" s="3" t="s">
        <v>1374</v>
      </c>
      <c r="BF163" s="119">
        <v>2.8</v>
      </c>
      <c r="BG163" s="49" t="s">
        <v>1377</v>
      </c>
      <c r="BH163" s="49" t="s">
        <v>1377</v>
      </c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646"/>
        <v>113</v>
      </c>
      <c r="BW163" s="71">
        <f t="shared" si="647"/>
        <v>145</v>
      </c>
      <c r="BX163" s="72">
        <f t="shared" si="648"/>
        <v>150</v>
      </c>
      <c r="BY163" s="71" t="str">
        <f t="shared" si="649"/>
        <v>-</v>
      </c>
      <c r="BZ163" s="72">
        <f t="shared" si="650"/>
        <v>185</v>
      </c>
      <c r="CA163" s="71">
        <f t="shared" si="651"/>
        <v>221</v>
      </c>
      <c r="CB163" s="72">
        <f t="shared" si="652"/>
        <v>229</v>
      </c>
      <c r="CC163" s="71" t="str">
        <f t="shared" si="653"/>
        <v>-</v>
      </c>
      <c r="CD163" s="72">
        <f t="shared" si="654"/>
        <v>272</v>
      </c>
      <c r="CE163" s="71">
        <f t="shared" si="655"/>
        <v>332</v>
      </c>
      <c r="CF163" s="72">
        <f t="shared" si="656"/>
        <v>372</v>
      </c>
      <c r="CG163" s="71">
        <f t="shared" si="657"/>
        <v>401</v>
      </c>
      <c r="CH163" s="70">
        <f t="shared" si="658"/>
        <v>144</v>
      </c>
      <c r="CI163" s="71">
        <f t="shared" si="659"/>
        <v>148</v>
      </c>
      <c r="CJ163" s="72">
        <f t="shared" si="660"/>
        <v>179</v>
      </c>
      <c r="CK163" s="72" t="str">
        <f t="shared" si="661"/>
        <v>-</v>
      </c>
      <c r="CL163" s="72">
        <f t="shared" si="662"/>
        <v>220</v>
      </c>
      <c r="CM163" s="72">
        <f t="shared" si="663"/>
        <v>228</v>
      </c>
      <c r="CN163" s="72">
        <f t="shared" si="664"/>
        <v>254</v>
      </c>
      <c r="CO163" s="72" t="str">
        <f t="shared" si="665"/>
        <v>-</v>
      </c>
      <c r="CP163" s="72">
        <f t="shared" si="666"/>
        <v>304</v>
      </c>
      <c r="CQ163" s="72">
        <f t="shared" si="667"/>
        <v>368</v>
      </c>
      <c r="CR163" s="72">
        <f t="shared" si="668"/>
        <v>400</v>
      </c>
      <c r="CS163" s="72">
        <f t="shared" si="669"/>
        <v>411</v>
      </c>
      <c r="CT163" s="23">
        <f t="shared" si="670"/>
        <v>2</v>
      </c>
      <c r="AMP163" s="1"/>
    </row>
    <row r="164" spans="1:1030" x14ac:dyDescent="0.2">
      <c r="A164" s="3" t="str">
        <f t="shared" si="867"/>
        <v>cnr1_human_5U09</v>
      </c>
      <c r="B164" s="3" t="s">
        <v>182</v>
      </c>
      <c r="C164" s="3" t="s">
        <v>1364</v>
      </c>
      <c r="D164" s="3" t="str">
        <f>IFERROR(MID(VLOOKUP($B164,Seqs!$A:$B,2,0),E164,1),"")</f>
        <v>N</v>
      </c>
      <c r="E164" s="3">
        <v>112</v>
      </c>
      <c r="F164" s="3" t="str">
        <f>IFERROR(MID(VLOOKUP($B164,Seqs!$A:$B,2,0),G164,1),"")</f>
        <v>S</v>
      </c>
      <c r="G164" s="3">
        <v>144</v>
      </c>
      <c r="H164" s="3" t="str">
        <f>IFERROR(MID(VLOOKUP($B164,Seqs!$A:$B,2,0),I164,1),"")</f>
        <v>R</v>
      </c>
      <c r="I164" s="23">
        <v>145</v>
      </c>
      <c r="J164" s="3" t="str">
        <f>IFERROR(MID(VLOOKUP($B164,Seqs!$A:$B,2,0),K164,1),"")</f>
        <v>R</v>
      </c>
      <c r="K164" s="23">
        <v>148</v>
      </c>
      <c r="L164" s="3" t="str">
        <f>IFERROR(MID(VLOOKUP($B164,Seqs!$A:$B,2,0),M164,1),"")</f>
        <v>R</v>
      </c>
      <c r="M164" s="3">
        <v>150</v>
      </c>
      <c r="N164" s="3" t="str">
        <f>IFERROR(MID(VLOOKUP($B164,Seqs!$A:$B,2,0),O164,1),"")</f>
        <v>V</v>
      </c>
      <c r="O164" s="3">
        <v>179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185</v>
      </c>
      <c r="V164" s="3" t="str">
        <f>IFERROR(MID(VLOOKUP($B164,Seqs!$A:$B,2,0),W164,1),"")</f>
        <v>R</v>
      </c>
      <c r="W164" s="3">
        <v>220</v>
      </c>
      <c r="X164" s="3" t="str">
        <f>IFERROR(MID(VLOOKUP($B164,Seqs!$A:$B,2,0),Y164,1),"")</f>
        <v>P</v>
      </c>
      <c r="Y164" s="3">
        <v>221</v>
      </c>
      <c r="Z164" s="3" t="str">
        <f>IFERROR(MID(VLOOKUP($B164,Seqs!$A:$B,2,0),AA164,1),"")</f>
        <v>V</v>
      </c>
      <c r="AA164" s="3">
        <v>228</v>
      </c>
      <c r="AB164" s="3" t="str">
        <f>IFERROR(MID(VLOOKUP($B164,Seqs!$A:$B,2,0),AC164,1),"")</f>
        <v>T</v>
      </c>
      <c r="AC164" s="9">
        <v>229</v>
      </c>
      <c r="AD164" s="3" t="str">
        <f>IFERROR(MID(VLOOKUP($B164,Seqs!$A:$B,2,0),AE164,1),"")</f>
        <v>G</v>
      </c>
      <c r="AE164" s="3">
        <v>254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D</v>
      </c>
      <c r="AK164" s="3">
        <v>272</v>
      </c>
      <c r="AL164" s="3" t="str">
        <f>IFERROR(MID(VLOOKUP($B164,Seqs!$A:$B,2,0),AM164,1),"")</f>
        <v>A</v>
      </c>
      <c r="AM164" s="3">
        <v>301</v>
      </c>
      <c r="AN164" s="3" t="str">
        <f>IFERROR(MID(VLOOKUP($B164,Seqs!$A:$B,2,0),AO164,1),"")</f>
        <v>D</v>
      </c>
      <c r="AO164" s="3">
        <v>333</v>
      </c>
      <c r="AP164" s="3" t="str">
        <f>IFERROR(MID(VLOOKUP($B164,Seqs!$A:$B,2,0),AQ164,1),"")</f>
        <v>F</v>
      </c>
      <c r="AQ164" s="3">
        <v>368</v>
      </c>
      <c r="AR164" s="3" t="str">
        <f>IFERROR(MID(VLOOKUP($B164,Seqs!$A:$B,2,0),AS164,1),"")</f>
        <v>L</v>
      </c>
      <c r="AS164" s="3">
        <v>374</v>
      </c>
      <c r="AT164" s="3" t="str">
        <f>IFERROR(MID(VLOOKUP($B164,Seqs!$A:$B,2,0),AU164,1),"")</f>
        <v>R</v>
      </c>
      <c r="AU164" s="3">
        <v>400</v>
      </c>
      <c r="AV164" s="3" t="str">
        <f>IFERROR(MID(VLOOKUP($B164,Seqs!$A:$B,2,0),AW164,1),"")</f>
        <v>S</v>
      </c>
      <c r="AW164" s="3">
        <v>401</v>
      </c>
      <c r="AX164" s="3" t="str">
        <f>IFERROR(MID(VLOOKUP($B164,Seqs!$A:$B,2,0),AY164,1),"")</f>
        <v>M</v>
      </c>
      <c r="AY164" s="3">
        <v>411</v>
      </c>
      <c r="AZ164" s="77" t="str">
        <f>VLOOKUP(B164,Classification!A:D,2,0)</f>
        <v>A</v>
      </c>
      <c r="BA164" s="94" t="str">
        <f>VLOOKUP(B164,Classification!A:D,4,0)</f>
        <v>Cannabinoid</v>
      </c>
      <c r="BB164" s="27" t="b">
        <f t="shared" si="868"/>
        <v>1</v>
      </c>
      <c r="BC164" s="23">
        <f t="shared" si="645"/>
        <v>243</v>
      </c>
      <c r="BD164" s="2" t="s">
        <v>23</v>
      </c>
      <c r="BE164" s="3" t="s">
        <v>1374</v>
      </c>
      <c r="BF164" s="119">
        <v>2.6</v>
      </c>
      <c r="BG164" s="49" t="s">
        <v>1377</v>
      </c>
      <c r="BH164" s="49" t="s">
        <v>1377</v>
      </c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si="646"/>
        <v>112</v>
      </c>
      <c r="BW164" s="71">
        <f t="shared" si="647"/>
        <v>145</v>
      </c>
      <c r="BX164" s="72">
        <f t="shared" si="648"/>
        <v>150</v>
      </c>
      <c r="BY164" s="71" t="str">
        <f t="shared" si="649"/>
        <v>-</v>
      </c>
      <c r="BZ164" s="72">
        <f t="shared" si="650"/>
        <v>185</v>
      </c>
      <c r="CA164" s="71">
        <f t="shared" si="651"/>
        <v>221</v>
      </c>
      <c r="CB164" s="72">
        <f t="shared" si="652"/>
        <v>229</v>
      </c>
      <c r="CC164" s="71" t="str">
        <f t="shared" si="653"/>
        <v>-</v>
      </c>
      <c r="CD164" s="72">
        <f t="shared" si="654"/>
        <v>272</v>
      </c>
      <c r="CE164" s="71">
        <f t="shared" si="655"/>
        <v>333</v>
      </c>
      <c r="CF164" s="72">
        <f t="shared" si="656"/>
        <v>374</v>
      </c>
      <c r="CG164" s="71">
        <f t="shared" si="657"/>
        <v>401</v>
      </c>
      <c r="CH164" s="70">
        <f t="shared" si="658"/>
        <v>144</v>
      </c>
      <c r="CI164" s="71">
        <f t="shared" si="659"/>
        <v>148</v>
      </c>
      <c r="CJ164" s="72">
        <f t="shared" si="660"/>
        <v>179</v>
      </c>
      <c r="CK164" s="72" t="str">
        <f t="shared" si="661"/>
        <v>-</v>
      </c>
      <c r="CL164" s="72">
        <f t="shared" si="662"/>
        <v>220</v>
      </c>
      <c r="CM164" s="72">
        <f t="shared" si="663"/>
        <v>228</v>
      </c>
      <c r="CN164" s="72">
        <f t="shared" si="664"/>
        <v>254</v>
      </c>
      <c r="CO164" s="72" t="str">
        <f t="shared" si="665"/>
        <v>-</v>
      </c>
      <c r="CP164" s="72">
        <f t="shared" si="666"/>
        <v>301</v>
      </c>
      <c r="CQ164" s="72">
        <f t="shared" si="667"/>
        <v>368</v>
      </c>
      <c r="CR164" s="72">
        <f t="shared" si="668"/>
        <v>400</v>
      </c>
      <c r="CS164" s="72">
        <f t="shared" si="669"/>
        <v>411</v>
      </c>
      <c r="CT164" s="23">
        <f t="shared" si="670"/>
        <v>2</v>
      </c>
    </row>
    <row r="165" spans="1:1030" x14ac:dyDescent="0.2">
      <c r="A165" s="3" t="str">
        <f>CONCATENATE(B165,"_",C165)</f>
        <v>cnr1_human_5XR8</v>
      </c>
      <c r="B165" s="3" t="s">
        <v>182</v>
      </c>
      <c r="C165" s="3" t="s">
        <v>1424</v>
      </c>
      <c r="D165" s="3" t="str">
        <f>IFERROR(MID(VLOOKUP($B165,Seqs!$A:$B,2,0),E165,1),"")</f>
        <v>N</v>
      </c>
      <c r="E165" s="3">
        <v>112</v>
      </c>
      <c r="F165" s="3" t="str">
        <f>IFERROR(MID(VLOOKUP($B165,Seqs!$A:$B,2,0),G165,1),"")</f>
        <v>S</v>
      </c>
      <c r="G165" s="3">
        <v>146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Y</v>
      </c>
      <c r="M165" s="3">
        <v>153</v>
      </c>
      <c r="N165" s="3" t="str">
        <f>IFERROR(MID(VLOOKUP($B165,Seqs!$A:$B,2,0),O165,1),"")</f>
        <v>F</v>
      </c>
      <c r="O165" s="3">
        <v>180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185</v>
      </c>
      <c r="V165" s="3" t="str">
        <f>IFERROR(MID(VLOOKUP($B165,Seqs!$A:$B,2,0),W165,1),"")</f>
        <v>R</v>
      </c>
      <c r="W165" s="3">
        <v>220</v>
      </c>
      <c r="X165" s="3" t="str">
        <f>IFERROR(MID(VLOOKUP($B165,Seqs!$A:$B,2,0),Y165,1),"")</f>
        <v>P</v>
      </c>
      <c r="Y165" s="3">
        <v>221</v>
      </c>
      <c r="Z165" s="3" t="str">
        <f>IFERROR(MID(VLOOKUP($B165,Seqs!$A:$B,2,0),AA165,1),"")</f>
        <v>V</v>
      </c>
      <c r="AA165" s="3">
        <v>228</v>
      </c>
      <c r="AB165" s="3" t="str">
        <f>IFERROR(MID(VLOOKUP($B165,Seqs!$A:$B,2,0),AC165,1),"")</f>
        <v>T</v>
      </c>
      <c r="AC165" s="3">
        <v>229</v>
      </c>
      <c r="AD165" s="3" t="str">
        <f>IFERROR(MID(VLOOKUP($B165,Seqs!$A:$B,2,0),AE165,1),"")</f>
        <v>G</v>
      </c>
      <c r="AE165" s="3">
        <v>254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D</v>
      </c>
      <c r="AK165" s="3">
        <v>272</v>
      </c>
      <c r="AL165" s="3" t="str">
        <f>IFERROR(MID(VLOOKUP($B165,Seqs!$A:$B,2,0),AM165,1),"")</f>
        <v>S</v>
      </c>
      <c r="AM165" s="3">
        <v>303</v>
      </c>
      <c r="AN165" s="3" t="str">
        <f>IFERROR(MID(VLOOKUP($B165,Seqs!$A:$B,2,0),AO165,1),"")</f>
        <v>D</v>
      </c>
      <c r="AO165" s="3">
        <v>338</v>
      </c>
      <c r="AP165" s="3" t="str">
        <f>IFERROR(MID(VLOOKUP($B165,Seqs!$A:$B,2,0),AQ165,1),"")</f>
        <v>F</v>
      </c>
      <c r="AQ165" s="3">
        <v>368</v>
      </c>
      <c r="AR165" s="3" t="str">
        <f>IFERROR(MID(VLOOKUP($B165,Seqs!$A:$B,2,0),AS165,1),"")</f>
        <v>N</v>
      </c>
      <c r="AS165" s="3">
        <v>372</v>
      </c>
      <c r="AT165" s="3" t="str">
        <f>IFERROR(MID(VLOOKUP($B165,Seqs!$A:$B,2,0),AU165,1),"")</f>
        <v>Y</v>
      </c>
      <c r="AU165" s="3">
        <v>397</v>
      </c>
      <c r="AV165" s="3" t="str">
        <f>IFERROR(MID(VLOOKUP($B165,Seqs!$A:$B,2,0),AW165,1),"")</f>
        <v>S</v>
      </c>
      <c r="AW165" s="3">
        <v>401</v>
      </c>
      <c r="AX165" s="3" t="str">
        <f>IFERROR(MID(VLOOKUP($B165,Seqs!$A:$B,2,0),AY165,1),"")</f>
        <v>F</v>
      </c>
      <c r="AY165" s="3">
        <v>412</v>
      </c>
      <c r="AZ165" s="77" t="str">
        <f>VLOOKUP(B165,Classification!A:D,2,0)</f>
        <v>A</v>
      </c>
      <c r="BA165" s="94" t="str">
        <f>VLOOKUP(B165,Classification!A:D,4,0)</f>
        <v>Cannabinoid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237</v>
      </c>
      <c r="BD165" s="2" t="s">
        <v>23</v>
      </c>
      <c r="BE165" s="3" t="s">
        <v>1291</v>
      </c>
      <c r="BF165" s="119">
        <v>2.95</v>
      </c>
      <c r="BG165" s="49" t="s">
        <v>1</v>
      </c>
      <c r="BH165" s="49" t="s">
        <v>1</v>
      </c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>E165</f>
        <v>112</v>
      </c>
      <c r="BW165" s="71" t="str">
        <f>I165</f>
        <v>-</v>
      </c>
      <c r="BX165" s="72">
        <f>M165</f>
        <v>153</v>
      </c>
      <c r="BY165" s="71" t="str">
        <f>Q165</f>
        <v>-</v>
      </c>
      <c r="BZ165" s="72">
        <f>U165</f>
        <v>185</v>
      </c>
      <c r="CA165" s="71">
        <f>Y165</f>
        <v>221</v>
      </c>
      <c r="CB165" s="72">
        <f>AC165</f>
        <v>229</v>
      </c>
      <c r="CC165" s="71" t="str">
        <f>AG165</f>
        <v>-</v>
      </c>
      <c r="CD165" s="72">
        <f>AK165</f>
        <v>272</v>
      </c>
      <c r="CE165" s="71">
        <f>AO165</f>
        <v>338</v>
      </c>
      <c r="CF165" s="72">
        <f>AS165</f>
        <v>372</v>
      </c>
      <c r="CG165" s="71">
        <f>AW165</f>
        <v>401</v>
      </c>
      <c r="CH165" s="70">
        <f>G165</f>
        <v>146</v>
      </c>
      <c r="CI165" s="71" t="str">
        <f>K165</f>
        <v>-</v>
      </c>
      <c r="CJ165" s="72">
        <f>O165</f>
        <v>180</v>
      </c>
      <c r="CK165" s="72" t="str">
        <f>S165</f>
        <v>-</v>
      </c>
      <c r="CL165" s="72">
        <f>W165</f>
        <v>220</v>
      </c>
      <c r="CM165" s="72">
        <f>AA165</f>
        <v>228</v>
      </c>
      <c r="CN165" s="72">
        <f>AE165</f>
        <v>254</v>
      </c>
      <c r="CO165" s="72" t="str">
        <f>AI165</f>
        <v>-</v>
      </c>
      <c r="CP165" s="72">
        <f>AM165</f>
        <v>303</v>
      </c>
      <c r="CQ165" s="72">
        <f>AQ165</f>
        <v>368</v>
      </c>
      <c r="CR165" s="72">
        <f>AU165</f>
        <v>397</v>
      </c>
      <c r="CS165" s="72">
        <f>AY165</f>
        <v>412</v>
      </c>
      <c r="CT165" s="23" t="e">
        <f>M165-K165</f>
        <v>#VALUE!</v>
      </c>
    </row>
    <row r="166" spans="1:1030" x14ac:dyDescent="0.2">
      <c r="A166" s="3" t="str">
        <f>CONCATENATE(B166,"_",C166)</f>
        <v>cnr1_human_5XRA</v>
      </c>
      <c r="B166" s="3" t="s">
        <v>182</v>
      </c>
      <c r="C166" s="3" t="s">
        <v>1425</v>
      </c>
      <c r="D166" s="3" t="str">
        <f>IFERROR(MID(VLOOKUP($B166,Seqs!$A:$B,2,0),E166,1),"")</f>
        <v>N</v>
      </c>
      <c r="E166" s="3">
        <v>112</v>
      </c>
      <c r="F166" s="3" t="str">
        <f>IFERROR(MID(VLOOKUP($B166,Seqs!$A:$B,2,0),G166,1),"")</f>
        <v>S</v>
      </c>
      <c r="G166" s="3">
        <v>146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Y</v>
      </c>
      <c r="M166" s="3">
        <v>153</v>
      </c>
      <c r="N166" s="3" t="str">
        <f>IFERROR(MID(VLOOKUP($B166,Seqs!$A:$B,2,0),O166,1),"")</f>
        <v>F</v>
      </c>
      <c r="O166" s="3">
        <v>180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S</v>
      </c>
      <c r="U166" s="3">
        <v>185</v>
      </c>
      <c r="V166" s="3" t="str">
        <f>IFERROR(MID(VLOOKUP($B166,Seqs!$A:$B,2,0),W166,1),"")</f>
        <v>R</v>
      </c>
      <c r="W166" s="3">
        <v>220</v>
      </c>
      <c r="X166" s="3" t="str">
        <f>IFERROR(MID(VLOOKUP($B166,Seqs!$A:$B,2,0),Y166,1),"")</f>
        <v>P</v>
      </c>
      <c r="Y166" s="3">
        <v>221</v>
      </c>
      <c r="Z166" s="3" t="str">
        <f>IFERROR(MID(VLOOKUP($B166,Seqs!$A:$B,2,0),AA166,1),"")</f>
        <v>V</v>
      </c>
      <c r="AA166" s="3">
        <v>228</v>
      </c>
      <c r="AB166" s="3" t="str">
        <f>IFERROR(MID(VLOOKUP($B166,Seqs!$A:$B,2,0),AC166,1),"")</f>
        <v>T</v>
      </c>
      <c r="AC166" s="3">
        <v>229</v>
      </c>
      <c r="AD166" s="3" t="str">
        <f>IFERROR(MID(VLOOKUP($B166,Seqs!$A:$B,2,0),AE166,1),"")</f>
        <v>G</v>
      </c>
      <c r="AE166" s="3">
        <v>254</v>
      </c>
      <c r="AF166" s="3" t="str">
        <f>IFERROR(MID(VLOOKUP($B166,Seqs!$A:$B,2,0),AG166,1),"")</f>
        <v/>
      </c>
      <c r="AG166" s="3" t="s">
        <v>23</v>
      </c>
      <c r="AH166" s="3" t="str">
        <f>IFERROR(MID(VLOOKUP($B166,Seqs!$A:$B,2,0),AI166,1),"")</f>
        <v/>
      </c>
      <c r="AI166" s="3" t="s">
        <v>23</v>
      </c>
      <c r="AJ166" s="3" t="str">
        <f>IFERROR(MID(VLOOKUP($B166,Seqs!$A:$B,2,0),AK166,1),"")</f>
        <v>D</v>
      </c>
      <c r="AK166" s="3">
        <v>272</v>
      </c>
      <c r="AL166" s="3" t="str">
        <f>IFERROR(MID(VLOOKUP($B166,Seqs!$A:$B,2,0),AM166,1),"")</f>
        <v>A</v>
      </c>
      <c r="AM166" s="3">
        <v>305</v>
      </c>
      <c r="AN166" s="3" t="str">
        <f>IFERROR(MID(VLOOKUP($B166,Seqs!$A:$B,2,0),AO166,1),"")</f>
        <v>D</v>
      </c>
      <c r="AO166" s="3">
        <v>338</v>
      </c>
      <c r="AP166" s="3" t="str">
        <f>IFERROR(MID(VLOOKUP($B166,Seqs!$A:$B,2,0),AQ166,1),"")</f>
        <v>G</v>
      </c>
      <c r="AQ166" s="3">
        <v>369</v>
      </c>
      <c r="AR166" s="3" t="str">
        <f>IFERROR(MID(VLOOKUP($B166,Seqs!$A:$B,2,0),AS166,1),"")</f>
        <v>N</v>
      </c>
      <c r="AS166" s="3">
        <v>372</v>
      </c>
      <c r="AT166" s="3" t="str">
        <f>IFERROR(MID(VLOOKUP($B166,Seqs!$A:$B,2,0),AU166,1),"")</f>
        <v>Y</v>
      </c>
      <c r="AU166" s="3">
        <v>397</v>
      </c>
      <c r="AV166" s="3" t="str">
        <f>IFERROR(MID(VLOOKUP($B166,Seqs!$A:$B,2,0),AW166,1),"")</f>
        <v>S</v>
      </c>
      <c r="AW166" s="3">
        <v>401</v>
      </c>
      <c r="AX166" s="3" t="str">
        <f>IFERROR(MID(VLOOKUP($B166,Seqs!$A:$B,2,0),AY166,1),"")</f>
        <v>F</v>
      </c>
      <c r="AY166" s="3">
        <v>412</v>
      </c>
      <c r="AZ166" s="77" t="str">
        <f>VLOOKUP(B166,Classification!A:D,2,0)</f>
        <v>A</v>
      </c>
      <c r="BA166" s="94" t="str">
        <f>VLOOKUP(B166,Classification!A:D,4,0)</f>
        <v>Cannabinoid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240</v>
      </c>
      <c r="BD166" s="2" t="s">
        <v>23</v>
      </c>
      <c r="BE166" s="3" t="s">
        <v>1291</v>
      </c>
      <c r="BF166" s="119">
        <v>2.8</v>
      </c>
      <c r="BG166" s="49" t="s">
        <v>1</v>
      </c>
      <c r="BH166" s="49" t="s">
        <v>1</v>
      </c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>E166</f>
        <v>112</v>
      </c>
      <c r="BW166" s="71" t="str">
        <f>I166</f>
        <v>-</v>
      </c>
      <c r="BX166" s="72">
        <f>M166</f>
        <v>153</v>
      </c>
      <c r="BY166" s="71" t="str">
        <f>Q166</f>
        <v>-</v>
      </c>
      <c r="BZ166" s="72">
        <f>U166</f>
        <v>185</v>
      </c>
      <c r="CA166" s="71">
        <f>Y166</f>
        <v>221</v>
      </c>
      <c r="CB166" s="72">
        <f>AC166</f>
        <v>229</v>
      </c>
      <c r="CC166" s="71" t="str">
        <f>AG166</f>
        <v>-</v>
      </c>
      <c r="CD166" s="72">
        <f>AK166</f>
        <v>272</v>
      </c>
      <c r="CE166" s="71">
        <f>AO166</f>
        <v>338</v>
      </c>
      <c r="CF166" s="72">
        <f>AS166</f>
        <v>372</v>
      </c>
      <c r="CG166" s="71">
        <f>AW166</f>
        <v>401</v>
      </c>
      <c r="CH166" s="70">
        <f>G166</f>
        <v>146</v>
      </c>
      <c r="CI166" s="71" t="str">
        <f>K166</f>
        <v>-</v>
      </c>
      <c r="CJ166" s="72">
        <f>O166</f>
        <v>180</v>
      </c>
      <c r="CK166" s="72" t="str">
        <f>S166</f>
        <v>-</v>
      </c>
      <c r="CL166" s="72">
        <f>W166</f>
        <v>220</v>
      </c>
      <c r="CM166" s="72">
        <f>AA166</f>
        <v>228</v>
      </c>
      <c r="CN166" s="72">
        <f>AE166</f>
        <v>254</v>
      </c>
      <c r="CO166" s="72" t="str">
        <f>AI166</f>
        <v>-</v>
      </c>
      <c r="CP166" s="72">
        <f>AM166</f>
        <v>305</v>
      </c>
      <c r="CQ166" s="72">
        <f>AQ166</f>
        <v>369</v>
      </c>
      <c r="CR166" s="72">
        <f>AU166</f>
        <v>397</v>
      </c>
      <c r="CS166" s="72">
        <f>AY166</f>
        <v>412</v>
      </c>
      <c r="CT166" s="23" t="e">
        <f>M166-K166</f>
        <v>#VALUE!</v>
      </c>
    </row>
    <row r="167" spans="1:1030" s="12" customFormat="1" x14ac:dyDescent="0.2">
      <c r="A167" s="9" t="str">
        <f>CONCATENATE(B167,"_",C167)</f>
        <v>cnr1_human_6N4B</v>
      </c>
      <c r="B167" s="9" t="s">
        <v>182</v>
      </c>
      <c r="C167" s="9" t="s">
        <v>1556</v>
      </c>
      <c r="D167" s="9" t="str">
        <f>IFERROR(MID(VLOOKUP($B167,Seqs!$A:$B,2,0),E167,1),"")</f>
        <v>N</v>
      </c>
      <c r="E167" s="9">
        <v>112</v>
      </c>
      <c r="F167" s="9" t="str">
        <f>IFERROR(MID(VLOOKUP($B167,Seqs!$A:$B,2,0),G167,1),"")</f>
        <v>H</v>
      </c>
      <c r="G167" s="9">
        <v>143</v>
      </c>
      <c r="H167" s="9" t="str">
        <f>IFERROR(MID(VLOOKUP($B167,Seqs!$A:$B,2,0),I167,1),"")</f>
        <v>R</v>
      </c>
      <c r="I167" s="109">
        <v>145</v>
      </c>
      <c r="J167" s="9" t="str">
        <f>IFERROR(MID(VLOOKUP($B167,Seqs!$A:$B,2,0),K167,1),"")</f>
        <v>R</v>
      </c>
      <c r="K167" s="109">
        <v>148</v>
      </c>
      <c r="L167" s="9" t="str">
        <f>IFERROR(MID(VLOOKUP($B167,Seqs!$A:$B,2,0),M167,1),"")</f>
        <v>Y</v>
      </c>
      <c r="M167" s="9">
        <v>153</v>
      </c>
      <c r="N167" s="9" t="str">
        <f>IFERROR(MID(VLOOKUP($B167,Seqs!$A:$B,2,0),O167,1),"")</f>
        <v>H</v>
      </c>
      <c r="O167" s="9">
        <v>178</v>
      </c>
      <c r="P167" s="9" t="str">
        <f>IFERROR(MID(VLOOKUP($B167,Seqs!$A:$B,2,0),Q167,1),"")</f>
        <v/>
      </c>
      <c r="Q167" s="9" t="s">
        <v>23</v>
      </c>
      <c r="R167" s="9" t="str">
        <f>IFERROR(MID(VLOOKUP($B167,Seqs!$A:$B,2,0),S167,1),"")</f>
        <v/>
      </c>
      <c r="S167" s="9" t="s">
        <v>23</v>
      </c>
      <c r="T167" s="9" t="str">
        <f>IFERROR(MID(VLOOKUP($B167,Seqs!$A:$B,2,0),U167,1),"")</f>
        <v>S</v>
      </c>
      <c r="U167" s="9">
        <v>185</v>
      </c>
      <c r="V167" s="9" t="str">
        <f>IFERROR(MID(VLOOKUP($B167,Seqs!$A:$B,2,0),W167,1),"")</f>
        <v>R</v>
      </c>
      <c r="W167" s="9">
        <v>220</v>
      </c>
      <c r="X167" s="9" t="str">
        <f>IFERROR(MID(VLOOKUP($B167,Seqs!$A:$B,2,0),Y167,1),"")</f>
        <v>P</v>
      </c>
      <c r="Y167" s="9">
        <v>221</v>
      </c>
      <c r="Z167" s="9" t="str">
        <f>IFERROR(MID(VLOOKUP($B167,Seqs!$A:$B,2,0),AA167,1),"")</f>
        <v>V</v>
      </c>
      <c r="AA167" s="9">
        <v>228</v>
      </c>
      <c r="AB167" s="9" t="str">
        <f>IFERROR(MID(VLOOKUP($B167,Seqs!$A:$B,2,0),AC167,1),"")</f>
        <v>T</v>
      </c>
      <c r="AC167" s="9">
        <v>229</v>
      </c>
      <c r="AD167" s="9" t="str">
        <f>IFERROR(MID(VLOOKUP($B167,Seqs!$A:$B,2,0),AE167,1),"")</f>
        <v>G</v>
      </c>
      <c r="AE167" s="9">
        <v>254</v>
      </c>
      <c r="AF167" s="9" t="str">
        <f>IFERROR(MID(VLOOKUP($B167,Seqs!$A:$B,2,0),AG167,1),"")</f>
        <v/>
      </c>
      <c r="AG167" s="9" t="s">
        <v>23</v>
      </c>
      <c r="AH167" s="9" t="str">
        <f>IFERROR(MID(VLOOKUP($B167,Seqs!$A:$B,2,0),AI167,1),"")</f>
        <v/>
      </c>
      <c r="AI167" s="9" t="s">
        <v>23</v>
      </c>
      <c r="AJ167" s="9" t="str">
        <f>IFERROR(MID(VLOOKUP($B167,Seqs!$A:$B,2,0),AK167,1),"")</f>
        <v>D</v>
      </c>
      <c r="AK167" s="9">
        <v>272</v>
      </c>
      <c r="AL167" s="9" t="str">
        <f>IFERROR(MID(VLOOKUP($B167,Seqs!$A:$B,2,0),AM167,1),"")</f>
        <v>R</v>
      </c>
      <c r="AM167" s="9">
        <v>311</v>
      </c>
      <c r="AN167" s="9" t="str">
        <f>IFERROR(MID(VLOOKUP($B167,Seqs!$A:$B,2,0),AO167,1),"")</f>
        <v>A</v>
      </c>
      <c r="AO167" s="9">
        <v>335</v>
      </c>
      <c r="AP167" s="9" t="str">
        <f>IFERROR(MID(VLOOKUP($B167,Seqs!$A:$B,2,0),AQ167,1),"")</f>
        <v>M</v>
      </c>
      <c r="AQ167" s="9">
        <v>363</v>
      </c>
      <c r="AR167" s="9" t="str">
        <f>IFERROR(MID(VLOOKUP($B167,Seqs!$A:$B,2,0),AS167,1),"")</f>
        <v>L</v>
      </c>
      <c r="AS167" s="9">
        <v>374</v>
      </c>
      <c r="AT167" s="9" t="str">
        <f>IFERROR(MID(VLOOKUP($B167,Seqs!$A:$B,2,0),AU167,1),"")</f>
        <v>R</v>
      </c>
      <c r="AU167" s="9">
        <v>400</v>
      </c>
      <c r="AV167" s="9" t="str">
        <f>IFERROR(MID(VLOOKUP($B167,Seqs!$A:$B,2,0),AW167,1),"")</f>
        <v>S</v>
      </c>
      <c r="AW167" s="9">
        <v>401</v>
      </c>
      <c r="AX167" s="9" t="str">
        <f>IFERROR(MID(VLOOKUP($B167,Seqs!$A:$B,2,0),AY167,1),"")</f>
        <v>M</v>
      </c>
      <c r="AY167" s="9">
        <v>411</v>
      </c>
      <c r="AZ167" s="110" t="str">
        <f>VLOOKUP(B167,Classification!A:D,2,0)</f>
        <v>A</v>
      </c>
      <c r="BA167" s="98" t="str">
        <f>VLOOKUP(B167,Classification!A:D,4,0)</f>
        <v>Cannabinoid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241</v>
      </c>
      <c r="BD167" s="40" t="s">
        <v>1375</v>
      </c>
      <c r="BE167" s="9" t="s">
        <v>1291</v>
      </c>
      <c r="BF167" s="120">
        <v>3</v>
      </c>
      <c r="BG167" s="51" t="s">
        <v>1422</v>
      </c>
      <c r="BH167" s="51" t="s">
        <v>1422</v>
      </c>
      <c r="BI167" s="9"/>
      <c r="BJ167" s="111" t="s">
        <v>1287</v>
      </c>
      <c r="BK167" s="112" t="s">
        <v>1287</v>
      </c>
      <c r="BL167" s="112" t="s">
        <v>1287</v>
      </c>
      <c r="BM167" s="112" t="s">
        <v>1287</v>
      </c>
      <c r="BN167" s="112" t="s">
        <v>1287</v>
      </c>
      <c r="BO167" s="112" t="s">
        <v>1287</v>
      </c>
      <c r="BP167" s="112" t="s">
        <v>1287</v>
      </c>
      <c r="BQ167" s="112" t="s">
        <v>1287</v>
      </c>
      <c r="BR167" s="112" t="s">
        <v>1287</v>
      </c>
      <c r="BS167" s="112" t="s">
        <v>1287</v>
      </c>
      <c r="BT167" s="112" t="s">
        <v>1287</v>
      </c>
      <c r="BU167" s="112" t="s">
        <v>1287</v>
      </c>
      <c r="BV167" s="111">
        <f>E167</f>
        <v>112</v>
      </c>
      <c r="BW167" s="113">
        <f>I167</f>
        <v>145</v>
      </c>
      <c r="BX167" s="114">
        <f>M167</f>
        <v>153</v>
      </c>
      <c r="BY167" s="113" t="str">
        <f>Q167</f>
        <v>-</v>
      </c>
      <c r="BZ167" s="114">
        <f>U167</f>
        <v>185</v>
      </c>
      <c r="CA167" s="113">
        <f>Y167</f>
        <v>221</v>
      </c>
      <c r="CB167" s="114">
        <f>AC167</f>
        <v>229</v>
      </c>
      <c r="CC167" s="113" t="str">
        <f>AG167</f>
        <v>-</v>
      </c>
      <c r="CD167" s="114">
        <f>AK167</f>
        <v>272</v>
      </c>
      <c r="CE167" s="113">
        <f>AO167</f>
        <v>335</v>
      </c>
      <c r="CF167" s="114">
        <f>AS167</f>
        <v>374</v>
      </c>
      <c r="CG167" s="113">
        <f>AW167</f>
        <v>401</v>
      </c>
      <c r="CH167" s="111">
        <f>G167</f>
        <v>143</v>
      </c>
      <c r="CI167" s="113">
        <f>K167</f>
        <v>148</v>
      </c>
      <c r="CJ167" s="114">
        <f>O167</f>
        <v>178</v>
      </c>
      <c r="CK167" s="114" t="str">
        <f>S167</f>
        <v>-</v>
      </c>
      <c r="CL167" s="114">
        <f>W167</f>
        <v>220</v>
      </c>
      <c r="CM167" s="114">
        <f>AA167</f>
        <v>228</v>
      </c>
      <c r="CN167" s="114">
        <f>AE167</f>
        <v>254</v>
      </c>
      <c r="CO167" s="114" t="str">
        <f>AI167</f>
        <v>-</v>
      </c>
      <c r="CP167" s="114">
        <f>AM167</f>
        <v>311</v>
      </c>
      <c r="CQ167" s="114">
        <f>AQ167</f>
        <v>363</v>
      </c>
      <c r="CR167" s="114">
        <f>AU167</f>
        <v>400</v>
      </c>
      <c r="CS167" s="114">
        <f>AY167</f>
        <v>411</v>
      </c>
      <c r="CT167" s="109">
        <f>M167-K167</f>
        <v>5</v>
      </c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</row>
    <row r="168" spans="1:1030" s="12" customFormat="1" x14ac:dyDescent="0.2">
      <c r="A168" s="9" t="str">
        <f>CONCATENATE(B168,"_",C168)</f>
        <v>cnr2_human__wt</v>
      </c>
      <c r="B168" s="9" t="s">
        <v>183</v>
      </c>
      <c r="C168" s="9" t="s">
        <v>100</v>
      </c>
      <c r="D168" s="9" t="str">
        <f>IFERROR(MID(VLOOKUP($B168,Seqs!$A:$B,2,0),E168,1),"")</f>
        <v>S</v>
      </c>
      <c r="E168" s="9">
        <v>29</v>
      </c>
      <c r="F168" s="9" t="str">
        <f>IFERROR(MID(VLOOKUP($B168,Seqs!$A:$B,2,0),G168,1),"")</f>
        <v>S</v>
      </c>
      <c r="G168" s="9">
        <v>61</v>
      </c>
      <c r="H168" s="9" t="str">
        <f>IFERROR(MID(VLOOKUP($B168,Seqs!$A:$B,2,0),I168,1),"")</f>
        <v>H</v>
      </c>
      <c r="I168" s="109">
        <v>62</v>
      </c>
      <c r="J168" s="9" t="str">
        <f>IFERROR(MID(VLOOKUP($B168,Seqs!$A:$B,2,0),K168,1),"")</f>
        <v>R</v>
      </c>
      <c r="K168" s="109">
        <v>65</v>
      </c>
      <c r="L168" s="9" t="str">
        <f>IFERROR(MID(VLOOKUP($B168,Seqs!$A:$B,2,0),M168,1),"")</f>
        <v>K</v>
      </c>
      <c r="M168" s="9">
        <v>67</v>
      </c>
      <c r="N168" s="9" t="str">
        <f>IFERROR(MID(VLOOKUP($B168,Seqs!$A:$B,2,0),O168,1),"")</f>
        <v>V</v>
      </c>
      <c r="O168" s="9">
        <v>96</v>
      </c>
      <c r="P168" s="9" t="str">
        <f>IFERROR(MID(VLOOKUP($B168,Seqs!$A:$B,2,0),Q168,1),"")</f>
        <v/>
      </c>
      <c r="Q168" s="9" t="s">
        <v>23</v>
      </c>
      <c r="R168" s="9" t="str">
        <f>IFERROR(MID(VLOOKUP($B168,Seqs!$A:$B,2,0),S168,1),"")</f>
        <v/>
      </c>
      <c r="S168" s="9" t="s">
        <v>23</v>
      </c>
      <c r="T168" s="9" t="str">
        <f>IFERROR(MID(VLOOKUP($B168,Seqs!$A:$B,2,0),U168,1),"")</f>
        <v>S</v>
      </c>
      <c r="U168" s="9">
        <v>102</v>
      </c>
      <c r="V168" s="9" t="str">
        <f>IFERROR(MID(VLOOKUP($B168,Seqs!$A:$B,2,0),W168,1),"")</f>
        <v>Y</v>
      </c>
      <c r="W168" s="9">
        <v>137</v>
      </c>
      <c r="X168" s="9" t="str">
        <f>IFERROR(MID(VLOOKUP($B168,Seqs!$A:$B,2,0),Y168,1),"")</f>
        <v>P</v>
      </c>
      <c r="Y168" s="9">
        <v>138</v>
      </c>
      <c r="Z168" s="9" t="str">
        <f>IFERROR(MID(VLOOKUP($B168,Seqs!$A:$B,2,0),AA168,1),"")</f>
        <v>L</v>
      </c>
      <c r="AA168" s="9">
        <v>145</v>
      </c>
      <c r="AB168" s="9" t="str">
        <f>IFERROR(MID(VLOOKUP($B168,Seqs!$A:$B,2,0),AC168,1),"")</f>
        <v>T</v>
      </c>
      <c r="AC168" s="9">
        <v>146</v>
      </c>
      <c r="AD168" s="9" t="str">
        <f>IFERROR(MID(VLOOKUP($B168,Seqs!$A:$B,2,0),AE168,1),"")</f>
        <v>G</v>
      </c>
      <c r="AE168" s="9">
        <v>171</v>
      </c>
      <c r="AF168" s="9" t="str">
        <f>IFERROR(MID(VLOOKUP($B168,Seqs!$A:$B,2,0),AG168,1),"")</f>
        <v/>
      </c>
      <c r="AG168" s="9" t="s">
        <v>23</v>
      </c>
      <c r="AH168" s="9" t="str">
        <f>IFERROR(MID(VLOOKUP($B168,Seqs!$A:$B,2,0),AI168,1),"")</f>
        <v/>
      </c>
      <c r="AI168" s="9" t="s">
        <v>23</v>
      </c>
      <c r="AJ168" s="9" t="str">
        <f>IFERROR(MID(VLOOKUP($B168,Seqs!$A:$B,2,0),AK168,1),"")</f>
        <v>P</v>
      </c>
      <c r="AK168" s="9">
        <v>187</v>
      </c>
      <c r="AL168" s="9" t="str">
        <f>IFERROR(MID(VLOOKUP($B168,Seqs!$A:$B,2,0),AM168,1),"")</f>
        <v>G</v>
      </c>
      <c r="AM168" s="9">
        <v>225</v>
      </c>
      <c r="AN168" s="9" t="str">
        <f>IFERROR(MID(VLOOKUP($B168,Seqs!$A:$B,2,0),AO168,1),"")</f>
        <v>V</v>
      </c>
      <c r="AO168" s="9">
        <v>231</v>
      </c>
      <c r="AP168" s="9" t="str">
        <f>IFERROR(MID(VLOOKUP($B168,Seqs!$A:$B,2,0),AQ168,1),"")</f>
        <v>T</v>
      </c>
      <c r="AQ168" s="9">
        <v>271</v>
      </c>
      <c r="AR168" s="9" t="str">
        <f>IFERROR(MID(VLOOKUP($B168,Seqs!$A:$B,2,0),AS168,1),"")</f>
        <v>S</v>
      </c>
      <c r="AS168" s="9">
        <v>274</v>
      </c>
      <c r="AT168" s="9" t="str">
        <f>IFERROR(MID(VLOOKUP($B168,Seqs!$A:$B,2,0),AU168,1),"")</f>
        <v>R</v>
      </c>
      <c r="AU168" s="9">
        <v>302</v>
      </c>
      <c r="AV168" s="9" t="str">
        <f>IFERROR(MID(VLOOKUP($B168,Seqs!$A:$B,2,0),AW168,1),"")</f>
        <v>S</v>
      </c>
      <c r="AW168" s="9">
        <v>303</v>
      </c>
      <c r="AX168" s="9" t="str">
        <f>IFERROR(MID(VLOOKUP($B168,Seqs!$A:$B,2,0),AY168,1),"")</f>
        <v>K</v>
      </c>
      <c r="AY168" s="9">
        <v>319</v>
      </c>
      <c r="AZ168" s="110" t="str">
        <f>VLOOKUP(B168,Classification!A:D,2,0)</f>
        <v>A</v>
      </c>
      <c r="BA168" s="98" t="str">
        <f>VLOOKUP(B168,Classification!A:D,4,0)</f>
        <v>Cannabinoid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265</v>
      </c>
      <c r="BD168" s="40" t="s">
        <v>23</v>
      </c>
      <c r="BE168" s="9" t="s">
        <v>23</v>
      </c>
      <c r="BF168" s="120" t="s">
        <v>23</v>
      </c>
      <c r="BG168" s="51" t="s">
        <v>23</v>
      </c>
      <c r="BH168" s="51" t="s">
        <v>23</v>
      </c>
      <c r="BI168" s="9"/>
      <c r="BJ168" s="111" t="s">
        <v>1287</v>
      </c>
      <c r="BK168" s="112" t="s">
        <v>1287</v>
      </c>
      <c r="BL168" s="112" t="s">
        <v>1287</v>
      </c>
      <c r="BM168" s="112" t="s">
        <v>1287</v>
      </c>
      <c r="BN168" s="112" t="s">
        <v>1287</v>
      </c>
      <c r="BO168" s="112" t="s">
        <v>1287</v>
      </c>
      <c r="BP168" s="112" t="s">
        <v>1287</v>
      </c>
      <c r="BQ168" s="112" t="s">
        <v>1287</v>
      </c>
      <c r="BR168" s="112" t="s">
        <v>1287</v>
      </c>
      <c r="BS168" s="112" t="s">
        <v>1287</v>
      </c>
      <c r="BT168" s="112" t="s">
        <v>1287</v>
      </c>
      <c r="BU168" s="112" t="s">
        <v>1287</v>
      </c>
      <c r="BV168" s="111">
        <f>E168</f>
        <v>29</v>
      </c>
      <c r="BW168" s="113">
        <f>I168</f>
        <v>62</v>
      </c>
      <c r="BX168" s="114">
        <f>M168</f>
        <v>67</v>
      </c>
      <c r="BY168" s="113" t="str">
        <f>Q168</f>
        <v>-</v>
      </c>
      <c r="BZ168" s="114">
        <f>U168</f>
        <v>102</v>
      </c>
      <c r="CA168" s="113">
        <f>Y168</f>
        <v>138</v>
      </c>
      <c r="CB168" s="114">
        <f>AC168</f>
        <v>146</v>
      </c>
      <c r="CC168" s="113" t="str">
        <f>AG168</f>
        <v>-</v>
      </c>
      <c r="CD168" s="114">
        <f>AK168</f>
        <v>187</v>
      </c>
      <c r="CE168" s="113">
        <f>AO168</f>
        <v>231</v>
      </c>
      <c r="CF168" s="114">
        <f>AS168</f>
        <v>274</v>
      </c>
      <c r="CG168" s="113">
        <f>AW168</f>
        <v>303</v>
      </c>
      <c r="CH168" s="111">
        <f>G168</f>
        <v>61</v>
      </c>
      <c r="CI168" s="113">
        <f>K168</f>
        <v>65</v>
      </c>
      <c r="CJ168" s="114">
        <f>O168</f>
        <v>96</v>
      </c>
      <c r="CK168" s="114" t="str">
        <f>S168</f>
        <v>-</v>
      </c>
      <c r="CL168" s="114">
        <f>W168</f>
        <v>137</v>
      </c>
      <c r="CM168" s="114">
        <f>AA168</f>
        <v>145</v>
      </c>
      <c r="CN168" s="114">
        <f>AE168</f>
        <v>171</v>
      </c>
      <c r="CO168" s="114" t="str">
        <f>AI168</f>
        <v>-</v>
      </c>
      <c r="CP168" s="114">
        <f>AM168</f>
        <v>225</v>
      </c>
      <c r="CQ168" s="114">
        <f>AQ168</f>
        <v>271</v>
      </c>
      <c r="CR168" s="114">
        <f>AU168</f>
        <v>302</v>
      </c>
      <c r="CS168" s="114">
        <f>AY168</f>
        <v>319</v>
      </c>
      <c r="CT168" s="109">
        <f>M168-K168</f>
        <v>2</v>
      </c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</row>
    <row r="169" spans="1:1030" s="12" customFormat="1" x14ac:dyDescent="0.2">
      <c r="A169" s="9" t="str">
        <f>CONCATENATE(B169,"_",C169)</f>
        <v>cnr2_human_5ZTY</v>
      </c>
      <c r="B169" s="9" t="s">
        <v>183</v>
      </c>
      <c r="C169" s="9" t="s">
        <v>1557</v>
      </c>
      <c r="D169" s="9" t="str">
        <f>IFERROR(MID(VLOOKUP($B169,Seqs!$A:$B,2,0),E169,1),"")</f>
        <v>S</v>
      </c>
      <c r="E169" s="9">
        <v>29</v>
      </c>
      <c r="F169" s="9" t="str">
        <f>IFERROR(MID(VLOOKUP($B169,Seqs!$A:$B,2,0),G169,1),"")</f>
        <v>S</v>
      </c>
      <c r="G169" s="9">
        <v>61</v>
      </c>
      <c r="H169" s="9" t="str">
        <f>IFERROR(MID(VLOOKUP($B169,Seqs!$A:$B,2,0),I169,1),"")</f>
        <v>H</v>
      </c>
      <c r="I169" s="109">
        <v>62</v>
      </c>
      <c r="J169" s="9" t="str">
        <f>IFERROR(MID(VLOOKUP($B169,Seqs!$A:$B,2,0),K169,1),"")</f>
        <v>R</v>
      </c>
      <c r="K169" s="109">
        <v>65</v>
      </c>
      <c r="L169" s="9" t="str">
        <f>IFERROR(MID(VLOOKUP($B169,Seqs!$A:$B,2,0),M169,1),"")</f>
        <v>K</v>
      </c>
      <c r="M169" s="9">
        <v>67</v>
      </c>
      <c r="N169" s="9" t="str">
        <f>IFERROR(MID(VLOOKUP($B169,Seqs!$A:$B,2,0),O169,1),"")</f>
        <v>V</v>
      </c>
      <c r="O169" s="9">
        <v>96</v>
      </c>
      <c r="P169" s="9" t="str">
        <f>IFERROR(MID(VLOOKUP($B169,Seqs!$A:$B,2,0),Q169,1),"")</f>
        <v/>
      </c>
      <c r="Q169" s="9" t="s">
        <v>23</v>
      </c>
      <c r="R169" s="9" t="str">
        <f>IFERROR(MID(VLOOKUP($B169,Seqs!$A:$B,2,0),S169,1),"")</f>
        <v/>
      </c>
      <c r="S169" s="9" t="s">
        <v>23</v>
      </c>
      <c r="T169" s="9" t="str">
        <f>IFERROR(MID(VLOOKUP($B169,Seqs!$A:$B,2,0),U169,1),"")</f>
        <v>S</v>
      </c>
      <c r="U169" s="9">
        <v>102</v>
      </c>
      <c r="V169" s="9" t="str">
        <f>IFERROR(MID(VLOOKUP($B169,Seqs!$A:$B,2,0),W169,1),"")</f>
        <v>Y</v>
      </c>
      <c r="W169" s="9">
        <v>137</v>
      </c>
      <c r="X169" s="9" t="str">
        <f>IFERROR(MID(VLOOKUP($B169,Seqs!$A:$B,2,0),Y169,1),"")</f>
        <v>P</v>
      </c>
      <c r="Y169" s="9">
        <v>138</v>
      </c>
      <c r="Z169" s="9" t="str">
        <f>IFERROR(MID(VLOOKUP($B169,Seqs!$A:$B,2,0),AA169,1),"")</f>
        <v>L</v>
      </c>
      <c r="AA169" s="9">
        <v>145</v>
      </c>
      <c r="AB169" s="9" t="str">
        <f>IFERROR(MID(VLOOKUP($B169,Seqs!$A:$B,2,0),AC169,1),"")</f>
        <v>T</v>
      </c>
      <c r="AC169" s="9">
        <v>146</v>
      </c>
      <c r="AD169" s="9" t="str">
        <f>IFERROR(MID(VLOOKUP($B169,Seqs!$A:$B,2,0),AE169,1),"")</f>
        <v>G</v>
      </c>
      <c r="AE169" s="9">
        <v>171</v>
      </c>
      <c r="AF169" s="9" t="str">
        <f>IFERROR(MID(VLOOKUP($B169,Seqs!$A:$B,2,0),AG169,1),"")</f>
        <v/>
      </c>
      <c r="AG169" s="9" t="s">
        <v>23</v>
      </c>
      <c r="AH169" s="9" t="str">
        <f>IFERROR(MID(VLOOKUP($B169,Seqs!$A:$B,2,0),AI169,1),"")</f>
        <v/>
      </c>
      <c r="AI169" s="9" t="s">
        <v>23</v>
      </c>
      <c r="AJ169" s="9" t="str">
        <f>IFERROR(MID(VLOOKUP($B169,Seqs!$A:$B,2,0),AK169,1),"")</f>
        <v>P</v>
      </c>
      <c r="AK169" s="9">
        <v>187</v>
      </c>
      <c r="AL169" s="9" t="str">
        <f>IFERROR(MID(VLOOKUP($B169,Seqs!$A:$B,2,0),AM169,1),"")</f>
        <v>V</v>
      </c>
      <c r="AM169" s="9">
        <v>220</v>
      </c>
      <c r="AN169" s="9" t="str">
        <f>IFERROR(MID(VLOOKUP($B169,Seqs!$A:$B,2,0),AO169,1),"")</f>
        <v>M</v>
      </c>
      <c r="AO169" s="9">
        <v>237</v>
      </c>
      <c r="AP169" s="9" t="str">
        <f>IFERROR(MID(VLOOKUP($B169,Seqs!$A:$B,2,0),AQ169,1),"")</f>
        <v>T</v>
      </c>
      <c r="AQ169" s="9">
        <v>271</v>
      </c>
      <c r="AR169" s="9" t="str">
        <f>IFERROR(MID(VLOOKUP($B169,Seqs!$A:$B,2,0),AS169,1),"")</f>
        <v>S</v>
      </c>
      <c r="AS169" s="9">
        <v>274</v>
      </c>
      <c r="AT169" s="9" t="str">
        <f>IFERROR(MID(VLOOKUP($B169,Seqs!$A:$B,2,0),AU169,1),"")</f>
        <v>R</v>
      </c>
      <c r="AU169" s="9">
        <v>302</v>
      </c>
      <c r="AV169" s="9" t="str">
        <f>IFERROR(MID(VLOOKUP($B169,Seqs!$A:$B,2,0),AW169,1),"")</f>
        <v>S</v>
      </c>
      <c r="AW169" s="9">
        <v>303</v>
      </c>
      <c r="AX169" s="9" t="str">
        <f>IFERROR(MID(VLOOKUP($B169,Seqs!$A:$B,2,0),AY169,1),"")</f>
        <v>K</v>
      </c>
      <c r="AY169" s="9">
        <v>319</v>
      </c>
      <c r="AZ169" s="110" t="str">
        <f>VLOOKUP(B169,Classification!A:D,2,0)</f>
        <v>A</v>
      </c>
      <c r="BA169" s="98" t="str">
        <f>VLOOKUP(B169,Classification!A:D,4,0)</f>
        <v>Cannabinoid</v>
      </c>
      <c r="BB169" s="36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09">
        <f>_xlfn.AGGREGATE(9,6,CH169:CS169)-_xlfn.AGGREGATE(9,6,BV169:CG169)+12</f>
        <v>254</v>
      </c>
      <c r="BD169" s="40" t="s">
        <v>1376</v>
      </c>
      <c r="BE169" s="9" t="s">
        <v>1374</v>
      </c>
      <c r="BF169" s="120">
        <v>2.8</v>
      </c>
      <c r="BG169" s="51" t="s">
        <v>1</v>
      </c>
      <c r="BH169" s="51" t="s">
        <v>1</v>
      </c>
      <c r="BI169" s="9"/>
      <c r="BJ169" s="111" t="s">
        <v>1287</v>
      </c>
      <c r="BK169" s="112" t="s">
        <v>1287</v>
      </c>
      <c r="BL169" s="112" t="s">
        <v>1287</v>
      </c>
      <c r="BM169" s="112" t="s">
        <v>1287</v>
      </c>
      <c r="BN169" s="112" t="s">
        <v>1287</v>
      </c>
      <c r="BO169" s="112" t="s">
        <v>1287</v>
      </c>
      <c r="BP169" s="112" t="s">
        <v>1287</v>
      </c>
      <c r="BQ169" s="112" t="s">
        <v>1287</v>
      </c>
      <c r="BR169" s="112" t="s">
        <v>1287</v>
      </c>
      <c r="BS169" s="112" t="s">
        <v>1287</v>
      </c>
      <c r="BT169" s="112" t="s">
        <v>1287</v>
      </c>
      <c r="BU169" s="112" t="s">
        <v>1287</v>
      </c>
      <c r="BV169" s="111">
        <f>E169</f>
        <v>29</v>
      </c>
      <c r="BW169" s="113">
        <f>I169</f>
        <v>62</v>
      </c>
      <c r="BX169" s="114">
        <f>M169</f>
        <v>67</v>
      </c>
      <c r="BY169" s="113" t="str">
        <f>Q169</f>
        <v>-</v>
      </c>
      <c r="BZ169" s="114">
        <f>U169</f>
        <v>102</v>
      </c>
      <c r="CA169" s="113">
        <f>Y169</f>
        <v>138</v>
      </c>
      <c r="CB169" s="114">
        <f>AC169</f>
        <v>146</v>
      </c>
      <c r="CC169" s="113" t="str">
        <f>AG169</f>
        <v>-</v>
      </c>
      <c r="CD169" s="114">
        <f>AK169</f>
        <v>187</v>
      </c>
      <c r="CE169" s="113">
        <f>AO169</f>
        <v>237</v>
      </c>
      <c r="CF169" s="114">
        <f>AS169</f>
        <v>274</v>
      </c>
      <c r="CG169" s="113">
        <f>AW169</f>
        <v>303</v>
      </c>
      <c r="CH169" s="111">
        <f>G169</f>
        <v>61</v>
      </c>
      <c r="CI169" s="113">
        <f>K169</f>
        <v>65</v>
      </c>
      <c r="CJ169" s="114">
        <f>O169</f>
        <v>96</v>
      </c>
      <c r="CK169" s="114" t="str">
        <f>S169</f>
        <v>-</v>
      </c>
      <c r="CL169" s="114">
        <f>W169</f>
        <v>137</v>
      </c>
      <c r="CM169" s="114">
        <f>AA169</f>
        <v>145</v>
      </c>
      <c r="CN169" s="114">
        <f>AE169</f>
        <v>171</v>
      </c>
      <c r="CO169" s="114" t="str">
        <f>AI169</f>
        <v>-</v>
      </c>
      <c r="CP169" s="114">
        <f>AM169</f>
        <v>220</v>
      </c>
      <c r="CQ169" s="114">
        <f>AQ169</f>
        <v>271</v>
      </c>
      <c r="CR169" s="114">
        <f>AU169</f>
        <v>302</v>
      </c>
      <c r="CS169" s="114">
        <f>AY169</f>
        <v>319</v>
      </c>
      <c r="CT169" s="109">
        <f>M169-K169</f>
        <v>2</v>
      </c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  <c r="AML169" s="9"/>
      <c r="AMM169" s="9"/>
      <c r="AMN169" s="9"/>
      <c r="AMO169" s="9"/>
    </row>
    <row r="170" spans="1:1030" x14ac:dyDescent="0.2">
      <c r="A170" s="3" t="str">
        <f t="shared" si="867"/>
        <v>cxcr4_human__wt</v>
      </c>
      <c r="B170" s="3" t="s">
        <v>1171</v>
      </c>
      <c r="C170" s="3" t="s">
        <v>100</v>
      </c>
      <c r="D170" s="3" t="str">
        <f>IFERROR(MID(VLOOKUP($B170,Seqs!$A:$B,2,0),E170,1),"")</f>
        <v>R</v>
      </c>
      <c r="E170" s="3">
        <v>30</v>
      </c>
      <c r="F170" s="3" t="str">
        <f>IFERROR(MID(VLOOKUP($B170,Seqs!$A:$B,2,0),G170,1),"")</f>
        <v>Q</v>
      </c>
      <c r="G170" s="3">
        <v>66</v>
      </c>
      <c r="H170" s="3" t="str">
        <f>IFERROR(MID(VLOOKUP($B170,Seqs!$A:$B,2,0),I170,1),"")</f>
        <v>K</v>
      </c>
      <c r="I170" s="23">
        <v>67</v>
      </c>
      <c r="J170" s="3" t="str">
        <f>IFERROR(MID(VLOOKUP($B170,Seqs!$A:$B,2,0),K170,1),"")</f>
        <v>R</v>
      </c>
      <c r="K170" s="23">
        <v>70</v>
      </c>
      <c r="L170" s="3" t="str">
        <f>IFERROR(MID(VLOOKUP($B170,Seqs!$A:$B,2,0),M170,1),"")</f>
        <v>S</v>
      </c>
      <c r="M170" s="3">
        <v>71</v>
      </c>
      <c r="N170" s="3" t="str">
        <f>IFERROR(MID(VLOOKUP($B170,Seqs!$A:$B,2,0),O170,1),"")</f>
        <v>A</v>
      </c>
      <c r="O170" s="3">
        <v>100</v>
      </c>
      <c r="P170" s="3" t="str">
        <f>IFERROR(MID(VLOOKUP($B170,Seqs!$A:$B,2,0),Q170,1),"")</f>
        <v>N</v>
      </c>
      <c r="Q170" s="3">
        <v>101</v>
      </c>
      <c r="R170" s="3" t="str">
        <f>IFERROR(MID(VLOOKUP($B170,Seqs!$A:$B,2,0),S170,1),"")</f>
        <v>F</v>
      </c>
      <c r="S170" s="3">
        <v>104</v>
      </c>
      <c r="T170" s="3" t="str">
        <f>IFERROR(MID(VLOOKUP($B170,Seqs!$A:$B,2,0),U170,1),"")</f>
        <v>G</v>
      </c>
      <c r="U170" s="3">
        <v>105</v>
      </c>
      <c r="V170" s="3" t="str">
        <f>IFERROR(MID(VLOOKUP($B170,Seqs!$A:$B,2,0),W170,1),"")</f>
        <v>H</v>
      </c>
      <c r="W170" s="3">
        <v>140</v>
      </c>
      <c r="X170" s="3" t="str">
        <f>IFERROR(MID(VLOOKUP($B170,Seqs!$A:$B,2,0),Y170,1),"")</f>
        <v>A</v>
      </c>
      <c r="Y170" s="3">
        <v>141</v>
      </c>
      <c r="Z170" s="3" t="str">
        <f>IFERROR(MID(VLOOKUP($B170,Seqs!$A:$B,2,0),AA170,1),"")</f>
        <v>R</v>
      </c>
      <c r="AA170" s="3">
        <v>148</v>
      </c>
      <c r="AB170" s="3" t="str">
        <f>IFERROR(MID(VLOOKUP($B170,Seqs!$A:$B,2,0),AC170,1),"")</f>
        <v>K</v>
      </c>
      <c r="AC170" s="9">
        <v>149</v>
      </c>
      <c r="AD170" s="3" t="str">
        <f>IFERROR(MID(VLOOKUP($B170,Seqs!$A:$B,2,0),AE170,1),"")</f>
        <v>A</v>
      </c>
      <c r="AE170" s="3">
        <v>175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R</v>
      </c>
      <c r="AI170" s="3">
        <v>188</v>
      </c>
      <c r="AJ170" s="3" t="str">
        <f>IFERROR(MID(VLOOKUP($B170,Seqs!$A:$B,2,0),AK170,1),"")</f>
        <v>D</v>
      </c>
      <c r="AK170" s="3">
        <v>193</v>
      </c>
      <c r="AL170" s="3" t="str">
        <f>IFERROR(MID(VLOOKUP($B170,Seqs!$A:$B,2,0),AM170,1),"")</f>
        <v>S</v>
      </c>
      <c r="AM170" s="3">
        <v>229</v>
      </c>
      <c r="AN170" s="3" t="str">
        <f>IFERROR(MID(VLOOKUP($B170,Seqs!$A:$B,2,0),AO170,1),"")</f>
        <v>K</v>
      </c>
      <c r="AO170" s="3">
        <v>234</v>
      </c>
      <c r="AP170" s="3" t="str">
        <f>IFERROR(MID(VLOOKUP($B170,Seqs!$A:$B,2,0),AQ170,1),"")</f>
        <v>E</v>
      </c>
      <c r="AQ170" s="3">
        <v>268</v>
      </c>
      <c r="AR170" s="3" t="str">
        <f>IFERROR(MID(VLOOKUP($B170,Seqs!$A:$B,2,0),AS170,1),"")</f>
        <v>G</v>
      </c>
      <c r="AS170" s="3">
        <v>273</v>
      </c>
      <c r="AT170" s="3" t="str">
        <f>IFERROR(MID(VLOOKUP($B170,Seqs!$A:$B,2,0),AU170,1),"")</f>
        <v>L</v>
      </c>
      <c r="AU170" s="3">
        <v>305</v>
      </c>
      <c r="AV170" s="3" t="str">
        <f>IFERROR(MID(VLOOKUP($B170,Seqs!$A:$B,2,0),AW170,1),"")</f>
        <v>G</v>
      </c>
      <c r="AW170" s="3">
        <v>306</v>
      </c>
      <c r="AX170" s="3" t="str">
        <f>IFERROR(MID(VLOOKUP($B170,Seqs!$A:$B,2,0),AY170,1),"")</f>
        <v>T</v>
      </c>
      <c r="AY170" s="3">
        <v>318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868"/>
        <v>1</v>
      </c>
      <c r="BC170" s="23">
        <f t="shared" ref="BC170:BC177" si="1009">_xlfn.AGGREGATE(9,6,CH170:CS170)-_xlfn.AGGREGATE(9,6,BV170:CG170)+12</f>
        <v>267</v>
      </c>
      <c r="BD170" s="34" t="s">
        <v>23</v>
      </c>
      <c r="BE170" s="3" t="s">
        <v>23</v>
      </c>
      <c r="BF170" s="119" t="s">
        <v>23</v>
      </c>
      <c r="BG170" s="49" t="s">
        <v>1372</v>
      </c>
      <c r="BH170" s="49" t="s">
        <v>1377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 t="shared" ref="BV170:BV177" si="1010">E170</f>
        <v>30</v>
      </c>
      <c r="BW170" s="71">
        <f t="shared" ref="BW170:BW177" si="1011">I170</f>
        <v>67</v>
      </c>
      <c r="BX170" s="72">
        <f t="shared" ref="BX170:BX177" si="1012">M170</f>
        <v>71</v>
      </c>
      <c r="BY170" s="71">
        <f t="shared" ref="BY170:BY177" si="1013">Q170</f>
        <v>101</v>
      </c>
      <c r="BZ170" s="72">
        <f t="shared" ref="BZ170:BZ177" si="1014">U170</f>
        <v>105</v>
      </c>
      <c r="CA170" s="71">
        <f t="shared" ref="CA170:CA177" si="1015">Y170</f>
        <v>141</v>
      </c>
      <c r="CB170" s="72">
        <f t="shared" ref="CB170:CB177" si="1016">AC170</f>
        <v>149</v>
      </c>
      <c r="CC170" s="71">
        <f t="shared" ref="CC170:CC177" si="1017">AG170</f>
        <v>186</v>
      </c>
      <c r="CD170" s="72">
        <f t="shared" ref="CD170:CD177" si="1018">AK170</f>
        <v>193</v>
      </c>
      <c r="CE170" s="71">
        <f t="shared" ref="CE170:CE177" si="1019">AO170</f>
        <v>234</v>
      </c>
      <c r="CF170" s="72">
        <f t="shared" ref="CF170:CF177" si="1020">AS170</f>
        <v>273</v>
      </c>
      <c r="CG170" s="71">
        <f t="shared" ref="CG170:CG177" si="1021">AW170</f>
        <v>306</v>
      </c>
      <c r="CH170" s="70">
        <f t="shared" ref="CH170:CH177" si="1022">G170</f>
        <v>66</v>
      </c>
      <c r="CI170" s="71">
        <f t="shared" ref="CI170:CI177" si="1023">K170</f>
        <v>70</v>
      </c>
      <c r="CJ170" s="72">
        <f t="shared" ref="CJ170:CJ177" si="1024">O170</f>
        <v>100</v>
      </c>
      <c r="CK170" s="72">
        <f t="shared" ref="CK170:CK177" si="1025">S170</f>
        <v>104</v>
      </c>
      <c r="CL170" s="72">
        <f t="shared" ref="CL170:CL177" si="1026">W170</f>
        <v>140</v>
      </c>
      <c r="CM170" s="72">
        <f t="shared" ref="CM170:CM177" si="1027">AA170</f>
        <v>148</v>
      </c>
      <c r="CN170" s="72">
        <f t="shared" ref="CN170:CN177" si="1028">AE170</f>
        <v>175</v>
      </c>
      <c r="CO170" s="72">
        <f t="shared" ref="CO170:CO177" si="1029">AI170</f>
        <v>188</v>
      </c>
      <c r="CP170" s="72">
        <f t="shared" ref="CP170:CP177" si="1030">AM170</f>
        <v>229</v>
      </c>
      <c r="CQ170" s="72">
        <f t="shared" ref="CQ170:CQ177" si="1031">AQ170</f>
        <v>268</v>
      </c>
      <c r="CR170" s="72">
        <f t="shared" ref="CR170:CR177" si="1032">AU170</f>
        <v>305</v>
      </c>
      <c r="CS170" s="72">
        <f t="shared" ref="CS170:CS177" si="1033">AY170</f>
        <v>318</v>
      </c>
      <c r="CT170" s="23">
        <f t="shared" ref="CT170:CT177" si="1034"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67"/>
        <v>cxcr4_human_3ODU</v>
      </c>
      <c r="B171" s="3" t="s">
        <v>1171</v>
      </c>
      <c r="C171" s="3" t="s">
        <v>63</v>
      </c>
      <c r="D171" s="3" t="str">
        <f>IFERROR(MID(VLOOKUP($B171,Seqs!$A:$B,2,0),E171,1),"")</f>
        <v>A</v>
      </c>
      <c r="E171" s="3">
        <v>34</v>
      </c>
      <c r="F171" s="3" t="str">
        <f>IFERROR(MID(VLOOKUP($B171,Seqs!$A:$B,2,0),G171,1),"")</f>
        <v>Q</v>
      </c>
      <c r="G171" s="3">
        <v>66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71</v>
      </c>
      <c r="N171" s="3" t="str">
        <f>IFERROR(MID(VLOOKUP($B171,Seqs!$A:$B,2,0),O171,1),"")</f>
        <v>A</v>
      </c>
      <c r="O171" s="3">
        <v>100</v>
      </c>
      <c r="P171" s="3" t="str">
        <f>IFERROR(MID(VLOOKUP($B171,Seqs!$A:$B,2,0),Q171,1),"")</f>
        <v>N</v>
      </c>
      <c r="Q171" s="3">
        <v>101</v>
      </c>
      <c r="R171" s="3" t="str">
        <f>IFERROR(MID(VLOOKUP($B171,Seqs!$A:$B,2,0),S171,1),"")</f>
        <v>F</v>
      </c>
      <c r="S171" s="3">
        <v>104</v>
      </c>
      <c r="T171" s="3" t="str">
        <f>IFERROR(MID(VLOOKUP($B171,Seqs!$A:$B,2,0),U171,1),"")</f>
        <v>G</v>
      </c>
      <c r="U171" s="3">
        <v>105</v>
      </c>
      <c r="V171" s="3" t="str">
        <f>IFERROR(MID(VLOOKUP($B171,Seqs!$A:$B,2,0),W171,1),"")</f>
        <v>H</v>
      </c>
      <c r="W171" s="3">
        <v>140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S</v>
      </c>
      <c r="AC171" s="9">
        <v>144</v>
      </c>
      <c r="AD171" s="3" t="str">
        <f>IFERROR(MID(VLOOKUP($B171,Seqs!$A:$B,2,0),AE171,1),"")</f>
        <v>A</v>
      </c>
      <c r="AE171" s="3">
        <v>175</v>
      </c>
      <c r="AF171" s="3" t="str">
        <f>IFERROR(MID(VLOOKUP($B171,Seqs!$A:$B,2,0),AG171,1),"")</f>
        <v>C</v>
      </c>
      <c r="AG171" s="3">
        <v>186</v>
      </c>
      <c r="AH171" s="3" t="str">
        <f>IFERROR(MID(VLOOKUP($B171,Seqs!$A:$B,2,0),AI171,1),"")</f>
        <v>R</v>
      </c>
      <c r="AI171" s="3">
        <v>188</v>
      </c>
      <c r="AJ171" s="3" t="str">
        <f>IFERROR(MID(VLOOKUP($B171,Seqs!$A:$B,2,0),AK171,1),"")</f>
        <v>D</v>
      </c>
      <c r="AK171" s="3">
        <v>193</v>
      </c>
      <c r="AL171" s="3" t="str">
        <f>IFERROR(MID(VLOOKUP($B171,Seqs!$A:$B,2,0),AM171,1),"")</f>
        <v>K</v>
      </c>
      <c r="AM171" s="3">
        <v>225</v>
      </c>
      <c r="AN171" s="3" t="str">
        <f>IFERROR(MID(VLOOKUP($B171,Seqs!$A:$B,2,0),AO171,1),"")</f>
        <v>G</v>
      </c>
      <c r="AO171" s="3">
        <v>231</v>
      </c>
      <c r="AP171" s="3" t="str">
        <f>IFERROR(MID(VLOOKUP($B171,Seqs!$A:$B,2,0),AQ171,1),"")</f>
        <v>E</v>
      </c>
      <c r="AQ171" s="3">
        <v>268</v>
      </c>
      <c r="AR171" s="3" t="str">
        <f>IFERROR(MID(VLOOKUP($B171,Seqs!$A:$B,2,0),AS171,1),"")</f>
        <v>G</v>
      </c>
      <c r="AS171" s="3">
        <v>273</v>
      </c>
      <c r="AT171" s="3" t="str">
        <f>IFERROR(MID(VLOOKUP($B171,Seqs!$A:$B,2,0),AU171,1),"")</f>
        <v>I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si="868"/>
        <v>1</v>
      </c>
      <c r="BC171" s="23">
        <f t="shared" si="1009"/>
        <v>240</v>
      </c>
      <c r="BD171" s="2" t="s">
        <v>1376</v>
      </c>
      <c r="BE171" s="3" t="s">
        <v>1374</v>
      </c>
      <c r="BF171" s="119">
        <v>2.5</v>
      </c>
      <c r="BG171" s="49" t="s">
        <v>1377</v>
      </c>
      <c r="BH171" s="49" t="s">
        <v>1377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 t="shared" si="1010"/>
        <v>34</v>
      </c>
      <c r="BW171" s="71" t="str">
        <f t="shared" si="1011"/>
        <v>-</v>
      </c>
      <c r="BX171" s="72">
        <f t="shared" si="1012"/>
        <v>71</v>
      </c>
      <c r="BY171" s="71">
        <f t="shared" si="1013"/>
        <v>101</v>
      </c>
      <c r="BZ171" s="72">
        <f t="shared" si="1014"/>
        <v>105</v>
      </c>
      <c r="CA171" s="71" t="str">
        <f t="shared" si="1015"/>
        <v>-</v>
      </c>
      <c r="CB171" s="72">
        <f t="shared" si="1016"/>
        <v>144</v>
      </c>
      <c r="CC171" s="71">
        <f t="shared" si="1017"/>
        <v>186</v>
      </c>
      <c r="CD171" s="72">
        <f t="shared" si="1018"/>
        <v>193</v>
      </c>
      <c r="CE171" s="71">
        <f t="shared" si="1019"/>
        <v>231</v>
      </c>
      <c r="CF171" s="72">
        <f t="shared" si="1020"/>
        <v>273</v>
      </c>
      <c r="CG171" s="71" t="str">
        <f t="shared" si="1021"/>
        <v>-</v>
      </c>
      <c r="CH171" s="70">
        <f t="shared" si="1022"/>
        <v>66</v>
      </c>
      <c r="CI171" s="71" t="str">
        <f t="shared" si="1023"/>
        <v>-</v>
      </c>
      <c r="CJ171" s="72">
        <f t="shared" si="1024"/>
        <v>100</v>
      </c>
      <c r="CK171" s="72">
        <f t="shared" si="1025"/>
        <v>104</v>
      </c>
      <c r="CL171" s="72">
        <f t="shared" si="1026"/>
        <v>140</v>
      </c>
      <c r="CM171" s="72" t="str">
        <f t="shared" si="1027"/>
        <v>-</v>
      </c>
      <c r="CN171" s="72">
        <f t="shared" si="1028"/>
        <v>175</v>
      </c>
      <c r="CO171" s="72">
        <f t="shared" si="1029"/>
        <v>188</v>
      </c>
      <c r="CP171" s="72">
        <f t="shared" si="1030"/>
        <v>225</v>
      </c>
      <c r="CQ171" s="72">
        <f t="shared" si="1031"/>
        <v>268</v>
      </c>
      <c r="CR171" s="72">
        <f t="shared" si="1032"/>
        <v>300</v>
      </c>
      <c r="CS171" s="72" t="str">
        <f t="shared" si="1033"/>
        <v>-</v>
      </c>
      <c r="CT171" s="23" t="e">
        <f t="shared" si="1034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67"/>
        <v>cxcr4_human_3OE0</v>
      </c>
      <c r="B172" s="3" t="s">
        <v>1171</v>
      </c>
      <c r="C172" s="3" t="s">
        <v>1031</v>
      </c>
      <c r="D172" s="3" t="str">
        <f>IFERROR(MID(VLOOKUP($B172,Seqs!$A:$B,2,0),E172,1),"")</f>
        <v>A</v>
      </c>
      <c r="E172" s="3">
        <v>34</v>
      </c>
      <c r="F172" s="3" t="str">
        <f>IFERROR(MID(VLOOKUP($B172,Seqs!$A:$B,2,0),G172,1),"")</f>
        <v>Q</v>
      </c>
      <c r="G172" s="3">
        <v>66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71</v>
      </c>
      <c r="N172" s="3" t="str">
        <f>IFERROR(MID(VLOOKUP($B172,Seqs!$A:$B,2,0),O172,1),"")</f>
        <v>A</v>
      </c>
      <c r="O172" s="3">
        <v>100</v>
      </c>
      <c r="P172" s="3" t="str">
        <f>IFERROR(MID(VLOOKUP($B172,Seqs!$A:$B,2,0),Q172,1),"")</f>
        <v>N</v>
      </c>
      <c r="Q172" s="3">
        <v>101</v>
      </c>
      <c r="R172" s="3" t="str">
        <f>IFERROR(MID(VLOOKUP($B172,Seqs!$A:$B,2,0),S172,1),"")</f>
        <v>F</v>
      </c>
      <c r="S172" s="3">
        <v>104</v>
      </c>
      <c r="T172" s="3" t="str">
        <f>IFERROR(MID(VLOOKUP($B172,Seqs!$A:$B,2,0),U172,1),"")</f>
        <v>G</v>
      </c>
      <c r="U172" s="3">
        <v>105</v>
      </c>
      <c r="V172" s="3" t="str">
        <f>IFERROR(MID(VLOOKUP($B172,Seqs!$A:$B,2,0),W172,1),"")</f>
        <v>H</v>
      </c>
      <c r="W172" s="3">
        <v>140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S</v>
      </c>
      <c r="AC172" s="9">
        <v>144</v>
      </c>
      <c r="AD172" s="3" t="str">
        <f>IFERROR(MID(VLOOKUP($B172,Seqs!$A:$B,2,0),AE172,1),"")</f>
        <v>A</v>
      </c>
      <c r="AE172" s="3">
        <v>175</v>
      </c>
      <c r="AF172" s="3" t="str">
        <f>IFERROR(MID(VLOOKUP($B172,Seqs!$A:$B,2,0),AG172,1),"")</f>
        <v>C</v>
      </c>
      <c r="AG172" s="3">
        <v>186</v>
      </c>
      <c r="AH172" s="3" t="str">
        <f>IFERROR(MID(VLOOKUP($B172,Seqs!$A:$B,2,0),AI172,1),"")</f>
        <v>R</v>
      </c>
      <c r="AI172" s="3">
        <v>188</v>
      </c>
      <c r="AJ172" s="3" t="str">
        <f>IFERROR(MID(VLOOKUP($B172,Seqs!$A:$B,2,0),AK172,1),"")</f>
        <v>D</v>
      </c>
      <c r="AK172" s="3">
        <v>193</v>
      </c>
      <c r="AL172" s="3" t="str">
        <f>IFERROR(MID(VLOOKUP($B172,Seqs!$A:$B,2,0),AM172,1),"")</f>
        <v>H</v>
      </c>
      <c r="AM172" s="3">
        <v>228</v>
      </c>
      <c r="AN172" s="3" t="str">
        <f>IFERROR(MID(VLOOKUP($B172,Seqs!$A:$B,2,0),AO172,1),"")</f>
        <v>K</v>
      </c>
      <c r="AO172" s="3">
        <v>239</v>
      </c>
      <c r="AP172" s="3" t="str">
        <f>IFERROR(MID(VLOOKUP($B172,Seqs!$A:$B,2,0),AQ172,1),"")</f>
        <v>E</v>
      </c>
      <c r="AQ172" s="3">
        <v>268</v>
      </c>
      <c r="AR172" s="3" t="str">
        <f>IFERROR(MID(VLOOKUP($B172,Seqs!$A:$B,2,0),AS172,1),"")</f>
        <v>G</v>
      </c>
      <c r="AS172" s="3">
        <v>273</v>
      </c>
      <c r="AT172" s="3" t="str">
        <f>IFERROR(MID(VLOOKUP($B172,Seqs!$A:$B,2,0),AU172,1),"")</f>
        <v>I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si="868"/>
        <v>1</v>
      </c>
      <c r="BC172" s="23">
        <f t="shared" si="1009"/>
        <v>235</v>
      </c>
      <c r="BD172" s="4" t="s">
        <v>23</v>
      </c>
      <c r="BE172" s="3" t="s">
        <v>1374</v>
      </c>
      <c r="BF172" s="119">
        <v>2.9</v>
      </c>
      <c r="BG172" s="49" t="s">
        <v>1377</v>
      </c>
      <c r="BH172" s="49" t="s">
        <v>1377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 t="shared" si="1010"/>
        <v>34</v>
      </c>
      <c r="BW172" s="71" t="str">
        <f t="shared" si="1011"/>
        <v>-</v>
      </c>
      <c r="BX172" s="72">
        <f t="shared" si="1012"/>
        <v>71</v>
      </c>
      <c r="BY172" s="71">
        <f t="shared" si="1013"/>
        <v>101</v>
      </c>
      <c r="BZ172" s="72">
        <f t="shared" si="1014"/>
        <v>105</v>
      </c>
      <c r="CA172" s="71" t="str">
        <f t="shared" si="1015"/>
        <v>-</v>
      </c>
      <c r="CB172" s="72">
        <f t="shared" si="1016"/>
        <v>144</v>
      </c>
      <c r="CC172" s="71">
        <f t="shared" si="1017"/>
        <v>186</v>
      </c>
      <c r="CD172" s="72">
        <f t="shared" si="1018"/>
        <v>193</v>
      </c>
      <c r="CE172" s="71">
        <f t="shared" si="1019"/>
        <v>239</v>
      </c>
      <c r="CF172" s="72">
        <f t="shared" si="1020"/>
        <v>273</v>
      </c>
      <c r="CG172" s="71" t="str">
        <f t="shared" si="1021"/>
        <v>-</v>
      </c>
      <c r="CH172" s="70">
        <f t="shared" si="1022"/>
        <v>66</v>
      </c>
      <c r="CI172" s="71" t="str">
        <f t="shared" si="1023"/>
        <v>-</v>
      </c>
      <c r="CJ172" s="72">
        <f t="shared" si="1024"/>
        <v>100</v>
      </c>
      <c r="CK172" s="72">
        <f t="shared" si="1025"/>
        <v>104</v>
      </c>
      <c r="CL172" s="72">
        <f t="shared" si="1026"/>
        <v>140</v>
      </c>
      <c r="CM172" s="72" t="str">
        <f t="shared" si="1027"/>
        <v>-</v>
      </c>
      <c r="CN172" s="72">
        <f t="shared" si="1028"/>
        <v>175</v>
      </c>
      <c r="CO172" s="72">
        <f t="shared" si="1029"/>
        <v>188</v>
      </c>
      <c r="CP172" s="72">
        <f t="shared" si="1030"/>
        <v>228</v>
      </c>
      <c r="CQ172" s="72">
        <f t="shared" si="1031"/>
        <v>268</v>
      </c>
      <c r="CR172" s="72">
        <f t="shared" si="1032"/>
        <v>300</v>
      </c>
      <c r="CS172" s="72" t="str">
        <f t="shared" si="1033"/>
        <v>-</v>
      </c>
      <c r="CT172" s="23" t="e">
        <f t="shared" si="1034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867"/>
        <v>cxcr4_human_4RWS</v>
      </c>
      <c r="B173" s="3" t="s">
        <v>1171</v>
      </c>
      <c r="C173" s="3" t="s">
        <v>1052</v>
      </c>
      <c r="D173" s="3" t="str">
        <f>IFERROR(MID(VLOOKUP($B173,Seqs!$A:$B,2,0),E173,1),"")</f>
        <v>R</v>
      </c>
      <c r="E173" s="3">
        <v>30</v>
      </c>
      <c r="F173" s="3" t="str">
        <f>IFERROR(MID(VLOOKUP($B173,Seqs!$A:$B,2,0),G173,1),"")</f>
        <v>Q</v>
      </c>
      <c r="G173" s="3">
        <v>66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71</v>
      </c>
      <c r="N173" s="3" t="str">
        <f>IFERROR(MID(VLOOKUP($B173,Seqs!$A:$B,2,0),O173,1),"")</f>
        <v>A</v>
      </c>
      <c r="O173" s="3">
        <v>100</v>
      </c>
      <c r="P173" s="3" t="str">
        <f>IFERROR(MID(VLOOKUP($B173,Seqs!$A:$B,2,0),Q173,1),"")</f>
        <v>N</v>
      </c>
      <c r="Q173" s="3">
        <v>101</v>
      </c>
      <c r="R173" s="3" t="str">
        <f>IFERROR(MID(VLOOKUP($B173,Seqs!$A:$B,2,0),S173,1),"")</f>
        <v>F</v>
      </c>
      <c r="S173" s="3">
        <v>104</v>
      </c>
      <c r="T173" s="3" t="str">
        <f>IFERROR(MID(VLOOKUP($B173,Seqs!$A:$B,2,0),U173,1),"")</f>
        <v>G</v>
      </c>
      <c r="U173" s="3">
        <v>105</v>
      </c>
      <c r="V173" s="3" t="str">
        <f>IFERROR(MID(VLOOKUP($B173,Seqs!$A:$B,2,0),W173,1),"")</f>
        <v>H</v>
      </c>
      <c r="W173" s="3">
        <v>140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S</v>
      </c>
      <c r="AC173" s="9">
        <v>144</v>
      </c>
      <c r="AD173" s="3" t="str">
        <f>IFERROR(MID(VLOOKUP($B173,Seqs!$A:$B,2,0),AE173,1),"")</f>
        <v>A</v>
      </c>
      <c r="AE173" s="3">
        <v>175</v>
      </c>
      <c r="AF173" s="3" t="str">
        <f>IFERROR(MID(VLOOKUP($B173,Seqs!$A:$B,2,0),AG173,1),"")</f>
        <v>C</v>
      </c>
      <c r="AG173" s="3">
        <v>186</v>
      </c>
      <c r="AH173" s="3" t="str">
        <f>IFERROR(MID(VLOOKUP($B173,Seqs!$A:$B,2,0),AI173,1),"")</f>
        <v>R</v>
      </c>
      <c r="AI173" s="3">
        <v>188</v>
      </c>
      <c r="AJ173" s="3" t="str">
        <f>IFERROR(MID(VLOOKUP($B173,Seqs!$A:$B,2,0),AK173,1),"")</f>
        <v>D</v>
      </c>
      <c r="AK173" s="3">
        <v>193</v>
      </c>
      <c r="AL173" s="3" t="str">
        <f>IFERROR(MID(VLOOKUP($B173,Seqs!$A:$B,2,0),AM173,1),"")</f>
        <v>S</v>
      </c>
      <c r="AM173" s="3">
        <v>227</v>
      </c>
      <c r="AN173" s="3" t="str">
        <f>IFERROR(MID(VLOOKUP($B173,Seqs!$A:$B,2,0),AO173,1),"")</f>
        <v>K</v>
      </c>
      <c r="AO173" s="3">
        <v>239</v>
      </c>
      <c r="AP173" s="3" t="str">
        <f>IFERROR(MID(VLOOKUP($B173,Seqs!$A:$B,2,0),AQ173,1),"")</f>
        <v>E</v>
      </c>
      <c r="AQ173" s="3">
        <v>268</v>
      </c>
      <c r="AR173" s="3" t="str">
        <f>IFERROR(MID(VLOOKUP($B173,Seqs!$A:$B,2,0),AS173,1),"")</f>
        <v>G</v>
      </c>
      <c r="AS173" s="3">
        <v>273</v>
      </c>
      <c r="AT173" s="3" t="str">
        <f>IFERROR(MID(VLOOKUP($B173,Seqs!$A:$B,2,0),AU173,1),"")</f>
        <v>I</v>
      </c>
      <c r="AU173" s="3">
        <v>300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868"/>
        <v>1</v>
      </c>
      <c r="BC173" s="23">
        <f t="shared" si="1009"/>
        <v>238</v>
      </c>
      <c r="BD173" s="5" t="s">
        <v>23</v>
      </c>
      <c r="BE173" s="3" t="s">
        <v>1374</v>
      </c>
      <c r="BF173" s="119">
        <v>3.1</v>
      </c>
      <c r="BG173" s="49" t="s">
        <v>1377</v>
      </c>
      <c r="BH173" s="49" t="s">
        <v>1377</v>
      </c>
      <c r="BI173" s="1"/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 t="shared" si="1010"/>
        <v>30</v>
      </c>
      <c r="BW173" s="71" t="str">
        <f t="shared" si="1011"/>
        <v>-</v>
      </c>
      <c r="BX173" s="72">
        <f t="shared" si="1012"/>
        <v>71</v>
      </c>
      <c r="BY173" s="71">
        <f t="shared" si="1013"/>
        <v>101</v>
      </c>
      <c r="BZ173" s="72">
        <f t="shared" si="1014"/>
        <v>105</v>
      </c>
      <c r="CA173" s="71" t="str">
        <f t="shared" si="1015"/>
        <v>-</v>
      </c>
      <c r="CB173" s="72">
        <f t="shared" si="1016"/>
        <v>144</v>
      </c>
      <c r="CC173" s="71">
        <f t="shared" si="1017"/>
        <v>186</v>
      </c>
      <c r="CD173" s="72">
        <f t="shared" si="1018"/>
        <v>193</v>
      </c>
      <c r="CE173" s="71">
        <f t="shared" si="1019"/>
        <v>239</v>
      </c>
      <c r="CF173" s="72">
        <f t="shared" si="1020"/>
        <v>273</v>
      </c>
      <c r="CG173" s="71" t="str">
        <f t="shared" si="1021"/>
        <v>-</v>
      </c>
      <c r="CH173" s="70">
        <f t="shared" si="1022"/>
        <v>66</v>
      </c>
      <c r="CI173" s="71" t="str">
        <f t="shared" si="1023"/>
        <v>-</v>
      </c>
      <c r="CJ173" s="72">
        <f t="shared" si="1024"/>
        <v>100</v>
      </c>
      <c r="CK173" s="72">
        <f t="shared" si="1025"/>
        <v>104</v>
      </c>
      <c r="CL173" s="72">
        <f t="shared" si="1026"/>
        <v>140</v>
      </c>
      <c r="CM173" s="72" t="str">
        <f t="shared" si="1027"/>
        <v>-</v>
      </c>
      <c r="CN173" s="72">
        <f t="shared" si="1028"/>
        <v>175</v>
      </c>
      <c r="CO173" s="72">
        <f t="shared" si="1029"/>
        <v>188</v>
      </c>
      <c r="CP173" s="72">
        <f t="shared" si="1030"/>
        <v>227</v>
      </c>
      <c r="CQ173" s="72">
        <f t="shared" si="1031"/>
        <v>268</v>
      </c>
      <c r="CR173" s="72">
        <f t="shared" si="1032"/>
        <v>300</v>
      </c>
      <c r="CS173" s="72" t="str">
        <f t="shared" si="1033"/>
        <v>-</v>
      </c>
      <c r="CT173" s="23" t="e">
        <f t="shared" si="1034"/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>CONCATENATE(B174,"_",C174)</f>
        <v>drd2_human__wt</v>
      </c>
      <c r="B174" s="3" t="s">
        <v>191</v>
      </c>
      <c r="C174" s="3" t="s">
        <v>100</v>
      </c>
      <c r="D174" s="3" t="str">
        <f>IFERROR(MID(VLOOKUP($B174,Seqs!$A:$B,2,0),E174,1),"")</f>
        <v>R</v>
      </c>
      <c r="E174" s="3">
        <v>31</v>
      </c>
      <c r="F174" s="3" t="str">
        <f>IFERROR(MID(VLOOKUP($B174,Seqs!$A:$B,2,0),G174,1),"")</f>
        <v>E</v>
      </c>
      <c r="G174" s="3">
        <v>62</v>
      </c>
      <c r="H174" s="3" t="str">
        <f>IFERROR(MID(VLOOKUP($B174,Seqs!$A:$B,2,0),I174,1),"")</f>
        <v>K</v>
      </c>
      <c r="I174" s="23">
        <v>63</v>
      </c>
      <c r="J174" s="3" t="str">
        <f>IFERROR(MID(VLOOKUP($B174,Seqs!$A:$B,2,0),K174,1),"")</f>
        <v>Q</v>
      </c>
      <c r="K174" s="23">
        <v>66</v>
      </c>
      <c r="L174" s="3" t="str">
        <f>IFERROR(MID(VLOOKUP($B174,Seqs!$A:$B,2,0),M174,1),"")</f>
        <v>T</v>
      </c>
      <c r="M174" s="3">
        <v>67</v>
      </c>
      <c r="N174" s="3" t="str">
        <f>IFERROR(MID(VLOOKUP($B174,Seqs!$A:$B,2,0),O174,1),"")</f>
        <v>G</v>
      </c>
      <c r="O174" s="3">
        <v>98</v>
      </c>
      <c r="P174" s="3" t="str">
        <f>IFERROR(MID(VLOOKUP($B174,Seqs!$A:$B,2,0),Q174,1),"")</f>
        <v>E</v>
      </c>
      <c r="Q174" s="3">
        <v>99</v>
      </c>
      <c r="R174" s="3" t="str">
        <f>IFERROR(MID(VLOOKUP($B174,Seqs!$A:$B,2,0),S174,1),"")</f>
        <v>F</v>
      </c>
      <c r="S174" s="3">
        <v>102</v>
      </c>
      <c r="T174" s="3" t="str">
        <f>IFERROR(MID(VLOOKUP($B174,Seqs!$A:$B,2,0),U174,1),"")</f>
        <v>S</v>
      </c>
      <c r="U174" s="3">
        <v>103</v>
      </c>
      <c r="V174" s="3" t="str">
        <f>IFERROR(MID(VLOOKUP($B174,Seqs!$A:$B,2,0),W174,1),"")</f>
        <v>M</v>
      </c>
      <c r="W174" s="3">
        <v>138</v>
      </c>
      <c r="X174" s="3" t="str">
        <f>IFERROR(MID(VLOOKUP($B174,Seqs!$A:$B,2,0),Y174,1),"")</f>
        <v>P</v>
      </c>
      <c r="Y174" s="3">
        <v>139</v>
      </c>
      <c r="Z174" s="3" t="str">
        <f>IFERROR(MID(VLOOKUP($B174,Seqs!$A:$B,2,0),AA174,1),"")</f>
        <v>S</v>
      </c>
      <c r="AA174" s="3">
        <v>147</v>
      </c>
      <c r="AB174" s="3" t="str">
        <f>IFERROR(MID(VLOOKUP($B174,Seqs!$A:$B,2,0),AC174,1),"")</f>
        <v>S</v>
      </c>
      <c r="AC174" s="3">
        <v>148</v>
      </c>
      <c r="AD174" s="3" t="str">
        <f>IFERROR(MID(VLOOKUP($B174,Seqs!$A:$B,2,0),AE174,1),"")</f>
        <v>F</v>
      </c>
      <c r="AE174" s="3">
        <v>172</v>
      </c>
      <c r="AF174" s="3" t="str">
        <f>IFERROR(MID(VLOOKUP($B174,Seqs!$A:$B,2,0),AG174,1),"")</f>
        <v>C</v>
      </c>
      <c r="AG174" s="3">
        <v>182</v>
      </c>
      <c r="AH174" s="3" t="str">
        <f>IFERROR(MID(VLOOKUP($B174,Seqs!$A:$B,2,0),AI174,1),"")</f>
        <v>I</v>
      </c>
      <c r="AI174" s="3">
        <v>184</v>
      </c>
      <c r="AJ174" s="3" t="str">
        <f>IFERROR(MID(VLOOKUP($B174,Seqs!$A:$B,2,0),AK174,1),"")</f>
        <v>N</v>
      </c>
      <c r="AK174" s="3">
        <v>186</v>
      </c>
      <c r="AL174" s="3" t="str">
        <f>IFERROR(MID(VLOOKUP($B174,Seqs!$A:$B,2,0),AM174,1),"")</f>
        <v>K</v>
      </c>
      <c r="AM174" s="3">
        <v>226</v>
      </c>
      <c r="AN174" s="3" t="str">
        <f>IFERROR(MID(VLOOKUP($B174,Seqs!$A:$B,2,0),AO174,1),"")</f>
        <v>K</v>
      </c>
      <c r="AO174" s="3">
        <v>362</v>
      </c>
      <c r="AP174" s="3" t="str">
        <f>IFERROR(MID(VLOOKUP($B174,Seqs!$A:$B,2,0),AQ174,1),"")</f>
        <v>C</v>
      </c>
      <c r="AQ174" s="3">
        <v>399</v>
      </c>
      <c r="AR174" s="3" t="str">
        <f>IFERROR(MID(VLOOKUP($B174,Seqs!$A:$B,2,0),AS174,1),"")</f>
        <v>P</v>
      </c>
      <c r="AS174" s="3">
        <v>404</v>
      </c>
      <c r="AT174" s="3" t="str">
        <f>IFERROR(MID(VLOOKUP($B174,Seqs!$A:$B,2,0),AU174,1),"")</f>
        <v>F</v>
      </c>
      <c r="AU174" s="3">
        <v>429</v>
      </c>
      <c r="AV174" s="3" t="str">
        <f>IFERROR(MID(VLOOKUP($B174,Seqs!$A:$B,2,0),AW174,1),"")</f>
        <v>N</v>
      </c>
      <c r="AW174" s="3">
        <v>430</v>
      </c>
      <c r="AX174" s="3" t="str">
        <f>IFERROR(MID(VLOOKUP($B174,Seqs!$A:$B,2,0),AY174,1),"")</f>
        <v>H</v>
      </c>
      <c r="AY174" s="3">
        <v>442</v>
      </c>
      <c r="AZ174" s="77" t="str">
        <f>VLOOKUP(B174,Classification!A:D,2,0)</f>
        <v>A</v>
      </c>
      <c r="BA174" s="94" t="str">
        <f>VLOOKUP(B174,Classification!A:D,4,0)</f>
        <v>Dopamine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263</v>
      </c>
      <c r="BD174" s="56" t="s">
        <v>23</v>
      </c>
      <c r="BE174" s="3" t="s">
        <v>23</v>
      </c>
      <c r="BF174" s="119" t="s">
        <v>23</v>
      </c>
      <c r="BG174" s="49" t="s">
        <v>1372</v>
      </c>
      <c r="BH174" s="49" t="s">
        <v>1377</v>
      </c>
      <c r="BI174" s="1"/>
      <c r="BJ174" s="70" t="s">
        <v>1287</v>
      </c>
      <c r="BK174" s="57" t="s">
        <v>1287</v>
      </c>
      <c r="BL174" s="57" t="s">
        <v>1287</v>
      </c>
      <c r="BM174" s="57" t="s">
        <v>1287</v>
      </c>
      <c r="BN174" s="57" t="s">
        <v>1287</v>
      </c>
      <c r="BO174" s="57" t="s">
        <v>1287</v>
      </c>
      <c r="BP174" s="57" t="s">
        <v>1287</v>
      </c>
      <c r="BQ174" s="57" t="s">
        <v>1287</v>
      </c>
      <c r="BR174" s="57" t="s">
        <v>1287</v>
      </c>
      <c r="BS174" s="57" t="s">
        <v>1287</v>
      </c>
      <c r="BT174" s="57" t="s">
        <v>1287</v>
      </c>
      <c r="BU174" s="57" t="s">
        <v>1287</v>
      </c>
      <c r="BV174" s="70">
        <f>E174</f>
        <v>31</v>
      </c>
      <c r="BW174" s="71">
        <f>I174</f>
        <v>63</v>
      </c>
      <c r="BX174" s="72">
        <f>M174</f>
        <v>67</v>
      </c>
      <c r="BY174" s="71">
        <f>Q174</f>
        <v>99</v>
      </c>
      <c r="BZ174" s="72">
        <f>U174</f>
        <v>103</v>
      </c>
      <c r="CA174" s="71">
        <f>Y174</f>
        <v>139</v>
      </c>
      <c r="CB174" s="72">
        <f>AC174</f>
        <v>148</v>
      </c>
      <c r="CC174" s="71">
        <f>AG174</f>
        <v>182</v>
      </c>
      <c r="CD174" s="72">
        <f>AK174</f>
        <v>186</v>
      </c>
      <c r="CE174" s="71">
        <f>AO174</f>
        <v>362</v>
      </c>
      <c r="CF174" s="72">
        <f>AS174</f>
        <v>404</v>
      </c>
      <c r="CG174" s="71">
        <f>AW174</f>
        <v>430</v>
      </c>
      <c r="CH174" s="70">
        <f>G174</f>
        <v>62</v>
      </c>
      <c r="CI174" s="71">
        <f>K174</f>
        <v>66</v>
      </c>
      <c r="CJ174" s="72">
        <f>O174</f>
        <v>98</v>
      </c>
      <c r="CK174" s="72">
        <f>S174</f>
        <v>102</v>
      </c>
      <c r="CL174" s="72">
        <f>W174</f>
        <v>138</v>
      </c>
      <c r="CM174" s="72">
        <f>AA174</f>
        <v>147</v>
      </c>
      <c r="CN174" s="72">
        <f>AE174</f>
        <v>172</v>
      </c>
      <c r="CO174" s="72">
        <f>AI174</f>
        <v>184</v>
      </c>
      <c r="CP174" s="72">
        <f>AM174</f>
        <v>226</v>
      </c>
      <c r="CQ174" s="72">
        <f>AQ174</f>
        <v>399</v>
      </c>
      <c r="CR174" s="72">
        <f>AU174</f>
        <v>429</v>
      </c>
      <c r="CS174" s="72">
        <f>AY174</f>
        <v>442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>CONCATENATE(B175,"_",C175)</f>
        <v>drd2_human_6CM4</v>
      </c>
      <c r="B175" s="3" t="s">
        <v>191</v>
      </c>
      <c r="C175" s="3" t="s">
        <v>1476</v>
      </c>
      <c r="D175" s="3" t="str">
        <f>IFERROR(MID(VLOOKUP($B175,Seqs!$A:$B,2,0),E175,1),"")</f>
        <v>N</v>
      </c>
      <c r="E175" s="3">
        <v>35</v>
      </c>
      <c r="F175" s="3" t="str">
        <f>IFERROR(MID(VLOOKUP($B175,Seqs!$A:$B,2,0),G175,1),"")</f>
        <v>E</v>
      </c>
      <c r="G175" s="3">
        <v>62</v>
      </c>
      <c r="H175" s="3" t="str">
        <f>IFERROR(MID(VLOOKUP($B175,Seqs!$A:$B,2,0),I175,1),"")</f>
        <v>K</v>
      </c>
      <c r="I175" s="23">
        <v>63</v>
      </c>
      <c r="J175" s="3" t="str">
        <f>IFERROR(MID(VLOOKUP($B175,Seqs!$A:$B,2,0),K175,1),"")</f>
        <v>Q</v>
      </c>
      <c r="K175" s="23">
        <v>66</v>
      </c>
      <c r="L175" s="3" t="str">
        <f>IFERROR(MID(VLOOKUP($B175,Seqs!$A:$B,2,0),M175,1),"")</f>
        <v>T</v>
      </c>
      <c r="M175" s="3">
        <v>67</v>
      </c>
      <c r="N175" s="3" t="str">
        <f>IFERROR(MID(VLOOKUP($B175,Seqs!$A:$B,2,0),O175,1),"")</f>
        <v>G</v>
      </c>
      <c r="O175" s="3">
        <v>98</v>
      </c>
      <c r="P175" s="3" t="str">
        <f>IFERROR(MID(VLOOKUP($B175,Seqs!$A:$B,2,0),Q175,1),"")</f>
        <v>E</v>
      </c>
      <c r="Q175" s="3">
        <v>99</v>
      </c>
      <c r="R175" s="3" t="str">
        <f>IFERROR(MID(VLOOKUP($B175,Seqs!$A:$B,2,0),S175,1),"")</f>
        <v>F</v>
      </c>
      <c r="S175" s="3">
        <v>102</v>
      </c>
      <c r="T175" s="3" t="str">
        <f>IFERROR(MID(VLOOKUP($B175,Seqs!$A:$B,2,0),U175,1),"")</f>
        <v>S</v>
      </c>
      <c r="U175" s="3">
        <v>103</v>
      </c>
      <c r="V175" s="3" t="str">
        <f>IFERROR(MID(VLOOKUP($B175,Seqs!$A:$B,2,0),W175,1),"")</f>
        <v>M</v>
      </c>
      <c r="W175" s="3">
        <v>138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Y</v>
      </c>
      <c r="AC175" s="3">
        <v>146</v>
      </c>
      <c r="AD175" s="3" t="str">
        <f>IFERROR(MID(VLOOKUP($B175,Seqs!$A:$B,2,0),AE175,1),"")</f>
        <v>F</v>
      </c>
      <c r="AE175" s="3">
        <v>172</v>
      </c>
      <c r="AF175" s="3" t="str">
        <f>IFERROR(MID(VLOOKUP($B175,Seqs!$A:$B,2,0),AG175,1),"")</f>
        <v>C</v>
      </c>
      <c r="AG175" s="3">
        <v>182</v>
      </c>
      <c r="AH175" s="3" t="str">
        <f>IFERROR(MID(VLOOKUP($B175,Seqs!$A:$B,2,0),AI175,1),"")</f>
        <v>I</v>
      </c>
      <c r="AI175" s="3">
        <v>184</v>
      </c>
      <c r="AJ175" s="3" t="str">
        <f>IFERROR(MID(VLOOKUP($B175,Seqs!$A:$B,2,0),AK175,1),"")</f>
        <v>A</v>
      </c>
      <c r="AK175" s="3">
        <v>188</v>
      </c>
      <c r="AL175" s="3" t="str">
        <f>IFERROR(MID(VLOOKUP($B175,Seqs!$A:$B,2,0),AM175,1),"")</f>
        <v>R</v>
      </c>
      <c r="AM175" s="3">
        <v>222</v>
      </c>
      <c r="AN175" s="3" t="str">
        <f>IFERROR(MID(VLOOKUP($B175,Seqs!$A:$B,2,0),AO175,1),"")</f>
        <v>E</v>
      </c>
      <c r="AO175" s="3">
        <v>368</v>
      </c>
      <c r="AP175" s="3" t="str">
        <f>IFERROR(MID(VLOOKUP($B175,Seqs!$A:$B,2,0),AQ175,1),"")</f>
        <v>C</v>
      </c>
      <c r="AQ175" s="3">
        <v>399</v>
      </c>
      <c r="AR175" s="3" t="str">
        <f>IFERROR(MID(VLOOKUP($B175,Seqs!$A:$B,2,0),AS175,1),"")</f>
        <v>P</v>
      </c>
      <c r="AS175" s="3">
        <v>404</v>
      </c>
      <c r="AT175" s="3" t="str">
        <f>IFERROR(MID(VLOOKUP($B175,Seqs!$A:$B,2,0),AU175,1),"")</f>
        <v>F</v>
      </c>
      <c r="AU175" s="3">
        <v>429</v>
      </c>
      <c r="AV175" s="3" t="str">
        <f>IFERROR(MID(VLOOKUP($B175,Seqs!$A:$B,2,0),AW175,1),"")</f>
        <v>N</v>
      </c>
      <c r="AW175" s="3">
        <v>430</v>
      </c>
      <c r="AX175" s="3" t="str">
        <f>IFERROR(MID(VLOOKUP($B175,Seqs!$A:$B,2,0),AY175,1),"")</f>
        <v>H</v>
      </c>
      <c r="AY175" s="3">
        <v>442</v>
      </c>
      <c r="AZ175" s="77" t="str">
        <f>VLOOKUP(B175,Classification!A:D,2,0)</f>
        <v>A</v>
      </c>
      <c r="BA175" s="94" t="str">
        <f>VLOOKUP(B175,Classification!A:D,4,0)</f>
        <v>Dopamine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241</v>
      </c>
      <c r="BD175" s="56" t="s">
        <v>1376</v>
      </c>
      <c r="BE175" s="3" t="s">
        <v>1374</v>
      </c>
      <c r="BF175" s="119">
        <v>2.87</v>
      </c>
      <c r="BG175" s="49" t="s">
        <v>1</v>
      </c>
      <c r="BH175" s="49" t="s">
        <v>1</v>
      </c>
      <c r="BI175" s="1"/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>E175</f>
        <v>35</v>
      </c>
      <c r="BW175" s="71">
        <f>I175</f>
        <v>63</v>
      </c>
      <c r="BX175" s="72">
        <f>M175</f>
        <v>67</v>
      </c>
      <c r="BY175" s="71">
        <f>Q175</f>
        <v>99</v>
      </c>
      <c r="BZ175" s="72">
        <f>U175</f>
        <v>103</v>
      </c>
      <c r="CA175" s="71" t="str">
        <f>Y175</f>
        <v>-</v>
      </c>
      <c r="CB175" s="72">
        <f>AC175</f>
        <v>146</v>
      </c>
      <c r="CC175" s="71">
        <f>AG175</f>
        <v>182</v>
      </c>
      <c r="CD175" s="72">
        <f>AK175</f>
        <v>188</v>
      </c>
      <c r="CE175" s="71">
        <f>AO175</f>
        <v>368</v>
      </c>
      <c r="CF175" s="72">
        <f>AS175</f>
        <v>404</v>
      </c>
      <c r="CG175" s="71">
        <f>AW175</f>
        <v>430</v>
      </c>
      <c r="CH175" s="70">
        <f>G175</f>
        <v>62</v>
      </c>
      <c r="CI175" s="71">
        <f>K175</f>
        <v>66</v>
      </c>
      <c r="CJ175" s="72">
        <f>O175</f>
        <v>98</v>
      </c>
      <c r="CK175" s="72">
        <f>S175</f>
        <v>102</v>
      </c>
      <c r="CL175" s="72">
        <f>W175</f>
        <v>138</v>
      </c>
      <c r="CM175" s="72" t="str">
        <f>AA175</f>
        <v>-</v>
      </c>
      <c r="CN175" s="72">
        <f>AE175</f>
        <v>172</v>
      </c>
      <c r="CO175" s="72">
        <f>AI175</f>
        <v>184</v>
      </c>
      <c r="CP175" s="72">
        <f>AM175</f>
        <v>222</v>
      </c>
      <c r="CQ175" s="72">
        <f>AQ175</f>
        <v>399</v>
      </c>
      <c r="CR175" s="72">
        <f>AU175</f>
        <v>429</v>
      </c>
      <c r="CS175" s="72">
        <f>AY175</f>
        <v>442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67"/>
        <v>drd3_human__wt</v>
      </c>
      <c r="B176" s="3" t="s">
        <v>192</v>
      </c>
      <c r="C176" s="3" t="s">
        <v>100</v>
      </c>
      <c r="D176" s="3" t="str">
        <f>IFERROR(MID(VLOOKUP($B176,Seqs!$A:$B,2,0),E176,1),"")</f>
        <v>A</v>
      </c>
      <c r="E176" s="3">
        <v>26</v>
      </c>
      <c r="F176" s="3" t="str">
        <f>IFERROR(MID(VLOOKUP($B176,Seqs!$A:$B,2,0),G176,1),"")</f>
        <v>E</v>
      </c>
      <c r="G176" s="3">
        <v>57</v>
      </c>
      <c r="H176" s="3" t="str">
        <f>IFERROR(MID(VLOOKUP($B176,Seqs!$A:$B,2,0),I176,1),"")</f>
        <v>R</v>
      </c>
      <c r="I176" s="23">
        <v>58</v>
      </c>
      <c r="J176" s="3" t="str">
        <f>IFERROR(MID(VLOOKUP($B176,Seqs!$A:$B,2,0),K176,1),"")</f>
        <v>Q</v>
      </c>
      <c r="K176" s="23">
        <v>61</v>
      </c>
      <c r="L176" s="3" t="str">
        <f>IFERROR(MID(VLOOKUP($B176,Seqs!$A:$B,2,0),M176,1),"")</f>
        <v>T</v>
      </c>
      <c r="M176" s="3">
        <v>62</v>
      </c>
      <c r="N176" s="3" t="str">
        <f>IFERROR(MID(VLOOKUP($B176,Seqs!$A:$B,2,0),O176,1),"")</f>
        <v>T</v>
      </c>
      <c r="O176" s="3">
        <v>92</v>
      </c>
      <c r="P176" s="3" t="str">
        <f>IFERROR(MID(VLOOKUP($B176,Seqs!$A:$B,2,0),Q176,1),"")</f>
        <v>V</v>
      </c>
      <c r="Q176" s="3">
        <v>95</v>
      </c>
      <c r="R176" s="3" t="str">
        <f>IFERROR(MID(VLOOKUP($B176,Seqs!$A:$B,2,0),S176,1),"")</f>
        <v>F</v>
      </c>
      <c r="S176" s="3">
        <v>98</v>
      </c>
      <c r="T176" s="3" t="str">
        <f>IFERROR(MID(VLOOKUP($B176,Seqs!$A:$B,2,0),U176,1),"")</f>
        <v>S</v>
      </c>
      <c r="U176" s="3">
        <v>99</v>
      </c>
      <c r="V176" s="3" t="str">
        <f>IFERROR(MID(VLOOKUP($B176,Seqs!$A:$B,2,0),W176,1),"")</f>
        <v>M</v>
      </c>
      <c r="W176" s="3">
        <v>134</v>
      </c>
      <c r="X176" s="3" t="str">
        <f>IFERROR(MID(VLOOKUP($B176,Seqs!$A:$B,2,0),Y176,1),"")</f>
        <v>P</v>
      </c>
      <c r="Y176" s="3">
        <v>135</v>
      </c>
      <c r="Z176" s="3" t="str">
        <f>IFERROR(MID(VLOOKUP($B176,Seqs!$A:$B,2,0),AA176,1),"")</f>
        <v>G</v>
      </c>
      <c r="AA176" s="3">
        <v>143</v>
      </c>
      <c r="AB176" s="3" t="str">
        <f>IFERROR(MID(VLOOKUP($B176,Seqs!$A:$B,2,0),AC176,1),"")</f>
        <v>S</v>
      </c>
      <c r="AC176" s="3">
        <v>146</v>
      </c>
      <c r="AD176" s="3" t="str">
        <f>IFERROR(MID(VLOOKUP($B176,Seqs!$A:$B,2,0),AE176,1),"")</f>
        <v>G</v>
      </c>
      <c r="AE176" s="3">
        <v>171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I</v>
      </c>
      <c r="AI176" s="3">
        <v>183</v>
      </c>
      <c r="AJ176" s="3" t="str">
        <f>IFERROR(MID(VLOOKUP($B176,Seqs!$A:$B,2,0),AK176,1),"")</f>
        <v>N</v>
      </c>
      <c r="AK176" s="3">
        <v>185</v>
      </c>
      <c r="AL176" s="3" t="str">
        <f>IFERROR(MID(VLOOKUP($B176,Seqs!$A:$B,2,0),AM176,1),"")</f>
        <v>R</v>
      </c>
      <c r="AM176" s="3">
        <v>226</v>
      </c>
      <c r="AN176" s="3" t="str">
        <f>IFERROR(MID(VLOOKUP($B176,Seqs!$A:$B,2,0),AO176,1),"")</f>
        <v>R</v>
      </c>
      <c r="AO176" s="3">
        <v>318</v>
      </c>
      <c r="AP176" s="3" t="str">
        <f>IFERROR(MID(VLOOKUP($B176,Seqs!$A:$B,2,0),AQ176,1),"")</f>
        <v>H</v>
      </c>
      <c r="AQ176" s="3">
        <v>354</v>
      </c>
      <c r="AR176" s="3" t="str">
        <f>IFERROR(MID(VLOOKUP($B176,Seqs!$A:$B,2,0),AS176,1),"")</f>
        <v>S</v>
      </c>
      <c r="AS176" s="3">
        <v>361</v>
      </c>
      <c r="AT176" s="3" t="str">
        <f>IFERROR(MID(VLOOKUP($B176,Seqs!$A:$B,2,0),AU176,1),"")</f>
        <v>F</v>
      </c>
      <c r="AU176" s="3">
        <v>386</v>
      </c>
      <c r="AV176" s="3" t="str">
        <f>IFERROR(MID(VLOOKUP($B176,Seqs!$A:$B,2,0),AW176,1),"")</f>
        <v>N</v>
      </c>
      <c r="AW176" s="3">
        <v>387</v>
      </c>
      <c r="AX176" s="3" t="str">
        <f>IFERROR(MID(VLOOKUP($B176,Seqs!$A:$B,2,0),AY176,1),"")</f>
        <v>S</v>
      </c>
      <c r="AY176" s="3">
        <v>399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 t="shared" si="868"/>
        <v>1</v>
      </c>
      <c r="BC176" s="23">
        <f t="shared" si="1009"/>
        <v>263</v>
      </c>
      <c r="BD176" s="56" t="s">
        <v>23</v>
      </c>
      <c r="BE176" s="3" t="s">
        <v>23</v>
      </c>
      <c r="BF176" s="119" t="s">
        <v>23</v>
      </c>
      <c r="BG176" s="49" t="s">
        <v>1372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 t="shared" si="1010"/>
        <v>26</v>
      </c>
      <c r="BW176" s="71">
        <f t="shared" si="1011"/>
        <v>58</v>
      </c>
      <c r="BX176" s="72">
        <f t="shared" si="1012"/>
        <v>62</v>
      </c>
      <c r="BY176" s="71">
        <f t="shared" si="1013"/>
        <v>95</v>
      </c>
      <c r="BZ176" s="72">
        <f t="shared" si="1014"/>
        <v>99</v>
      </c>
      <c r="CA176" s="71">
        <f t="shared" si="1015"/>
        <v>135</v>
      </c>
      <c r="CB176" s="72">
        <f t="shared" si="1016"/>
        <v>146</v>
      </c>
      <c r="CC176" s="71">
        <f t="shared" si="1017"/>
        <v>181</v>
      </c>
      <c r="CD176" s="72">
        <f t="shared" si="1018"/>
        <v>185</v>
      </c>
      <c r="CE176" s="71">
        <f t="shared" si="1019"/>
        <v>318</v>
      </c>
      <c r="CF176" s="72">
        <f t="shared" si="1020"/>
        <v>361</v>
      </c>
      <c r="CG176" s="71">
        <f t="shared" si="1021"/>
        <v>387</v>
      </c>
      <c r="CH176" s="70">
        <f t="shared" si="1022"/>
        <v>57</v>
      </c>
      <c r="CI176" s="71">
        <f t="shared" si="1023"/>
        <v>61</v>
      </c>
      <c r="CJ176" s="72">
        <f t="shared" si="1024"/>
        <v>92</v>
      </c>
      <c r="CK176" s="72">
        <f t="shared" si="1025"/>
        <v>98</v>
      </c>
      <c r="CL176" s="72">
        <f t="shared" si="1026"/>
        <v>134</v>
      </c>
      <c r="CM176" s="72">
        <f t="shared" si="1027"/>
        <v>143</v>
      </c>
      <c r="CN176" s="72">
        <f t="shared" si="1028"/>
        <v>171</v>
      </c>
      <c r="CO176" s="72">
        <f t="shared" si="1029"/>
        <v>183</v>
      </c>
      <c r="CP176" s="72">
        <f t="shared" si="1030"/>
        <v>226</v>
      </c>
      <c r="CQ176" s="72">
        <f t="shared" si="1031"/>
        <v>354</v>
      </c>
      <c r="CR176" s="72">
        <f t="shared" si="1032"/>
        <v>386</v>
      </c>
      <c r="CS176" s="72">
        <f t="shared" si="1033"/>
        <v>399</v>
      </c>
      <c r="CT176" s="23">
        <f t="shared" si="103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si="867"/>
        <v>drd3_human_3PBL</v>
      </c>
      <c r="B177" s="3" t="s">
        <v>192</v>
      </c>
      <c r="C177" s="3" t="s">
        <v>72</v>
      </c>
      <c r="D177" s="3" t="str">
        <f>IFERROR(MID(VLOOKUP($B177,Seqs!$A:$B,2,0),E177,1),"")</f>
        <v>Y</v>
      </c>
      <c r="E177" s="3">
        <v>32</v>
      </c>
      <c r="F177" s="3" t="str">
        <f>IFERROR(MID(VLOOKUP($B177,Seqs!$A:$B,2,0),G177,1),"")</f>
        <v>E</v>
      </c>
      <c r="G177" s="3">
        <v>57</v>
      </c>
      <c r="H177" s="3" t="str">
        <f>IFERROR(MID(VLOOKUP($B177,Seqs!$A:$B,2,0),I177,1),"")</f>
        <v>R</v>
      </c>
      <c r="I177" s="23">
        <v>58</v>
      </c>
      <c r="J177" s="3" t="str">
        <f>IFERROR(MID(VLOOKUP($B177,Seqs!$A:$B,2,0),K177,1),"")</f>
        <v>Q</v>
      </c>
      <c r="K177" s="23">
        <v>61</v>
      </c>
      <c r="L177" s="3" t="str">
        <f>IFERROR(MID(VLOOKUP($B177,Seqs!$A:$B,2,0),M177,1),"")</f>
        <v>T</v>
      </c>
      <c r="M177" s="3">
        <v>62</v>
      </c>
      <c r="N177" s="3" t="str">
        <f>IFERROR(MID(VLOOKUP($B177,Seqs!$A:$B,2,0),O177,1),"")</f>
        <v>T</v>
      </c>
      <c r="O177" s="3">
        <v>92</v>
      </c>
      <c r="P177" s="3" t="str">
        <f>IFERROR(MID(VLOOKUP($B177,Seqs!$A:$B,2,0),Q177,1),"")</f>
        <v>V</v>
      </c>
      <c r="Q177" s="3">
        <v>95</v>
      </c>
      <c r="R177" s="3" t="str">
        <f>IFERROR(MID(VLOOKUP($B177,Seqs!$A:$B,2,0),S177,1),"")</f>
        <v>F</v>
      </c>
      <c r="S177" s="3">
        <v>98</v>
      </c>
      <c r="T177" s="3" t="str">
        <f>IFERROR(MID(VLOOKUP($B177,Seqs!$A:$B,2,0),U177,1),"")</f>
        <v>S</v>
      </c>
      <c r="U177" s="3">
        <v>99</v>
      </c>
      <c r="V177" s="3" t="str">
        <f>IFERROR(MID(VLOOKUP($B177,Seqs!$A:$B,2,0),W177,1),"")</f>
        <v>M</v>
      </c>
      <c r="W177" s="3">
        <v>134</v>
      </c>
      <c r="X177" s="3" t="str">
        <f>IFERROR(MID(VLOOKUP($B177,Seqs!$A:$B,2,0),Y177,1),"")</f>
        <v>P</v>
      </c>
      <c r="Y177" s="3">
        <v>135</v>
      </c>
      <c r="Z177" s="3" t="str">
        <f>IFERROR(MID(VLOOKUP($B177,Seqs!$A:$B,2,0),AA177,1),"")</f>
        <v>G</v>
      </c>
      <c r="AA177" s="3">
        <v>143</v>
      </c>
      <c r="AB177" s="3" t="str">
        <f>IFERROR(MID(VLOOKUP($B177,Seqs!$A:$B,2,0),AC177,1),"")</f>
        <v>S</v>
      </c>
      <c r="AC177" s="3">
        <v>146</v>
      </c>
      <c r="AD177" s="3" t="str">
        <f>IFERROR(MID(VLOOKUP($B177,Seqs!$A:$B,2,0),AE177,1),"")</f>
        <v>G</v>
      </c>
      <c r="AE177" s="3">
        <v>171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I</v>
      </c>
      <c r="AI177" s="3">
        <v>183</v>
      </c>
      <c r="AJ177" s="3" t="str">
        <f>IFERROR(MID(VLOOKUP($B177,Seqs!$A:$B,2,0),AK177,1),"")</f>
        <v>N</v>
      </c>
      <c r="AK177" s="3">
        <v>185</v>
      </c>
      <c r="AL177" s="3" t="str">
        <f>IFERROR(MID(VLOOKUP($B177,Seqs!$A:$B,2,0),AM177,1),"")</f>
        <v>K</v>
      </c>
      <c r="AM177" s="3">
        <v>216</v>
      </c>
      <c r="AN177" s="3" t="str">
        <f>IFERROR(MID(VLOOKUP($B177,Seqs!$A:$B,2,0),AO177,1),"")</f>
        <v>R</v>
      </c>
      <c r="AO177" s="3">
        <v>323</v>
      </c>
      <c r="AP177" s="3" t="str">
        <f>IFERROR(MID(VLOOKUP($B177,Seqs!$A:$B,2,0),AQ177,1),"")</f>
        <v>H</v>
      </c>
      <c r="AQ177" s="3">
        <v>354</v>
      </c>
      <c r="AR177" s="3" t="str">
        <f>IFERROR(MID(VLOOKUP($B177,Seqs!$A:$B,2,0),AS177,1),"")</f>
        <v>S</v>
      </c>
      <c r="AS177" s="3">
        <v>361</v>
      </c>
      <c r="AT177" s="3" t="str">
        <f>IFERROR(MID(VLOOKUP($B177,Seqs!$A:$B,2,0),AU177,1),"")</f>
        <v>F</v>
      </c>
      <c r="AU177" s="3">
        <v>386</v>
      </c>
      <c r="AV177" s="3" t="str">
        <f>IFERROR(MID(VLOOKUP($B177,Seqs!$A:$B,2,0),AW177,1),"")</f>
        <v>N</v>
      </c>
      <c r="AW177" s="3">
        <v>387</v>
      </c>
      <c r="AX177" s="3" t="str">
        <f>IFERROR(MID(VLOOKUP($B177,Seqs!$A:$B,2,0),AY177,1),"")</f>
        <v>S</v>
      </c>
      <c r="AY177" s="3">
        <v>399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 t="shared" si="868"/>
        <v>1</v>
      </c>
      <c r="BC177" s="23">
        <f t="shared" si="1009"/>
        <v>242</v>
      </c>
      <c r="BD177" s="2" t="s">
        <v>1376</v>
      </c>
      <c r="BE177" s="3" t="s">
        <v>1374</v>
      </c>
      <c r="BF177" s="119">
        <v>2.89</v>
      </c>
      <c r="BG177" s="49" t="s">
        <v>1377</v>
      </c>
      <c r="BH177" s="49" t="s">
        <v>1377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 t="shared" si="1010"/>
        <v>32</v>
      </c>
      <c r="BW177" s="71">
        <f t="shared" si="1011"/>
        <v>58</v>
      </c>
      <c r="BX177" s="72">
        <f t="shared" si="1012"/>
        <v>62</v>
      </c>
      <c r="BY177" s="71">
        <f t="shared" si="1013"/>
        <v>95</v>
      </c>
      <c r="BZ177" s="72">
        <f t="shared" si="1014"/>
        <v>99</v>
      </c>
      <c r="CA177" s="71">
        <f t="shared" si="1015"/>
        <v>135</v>
      </c>
      <c r="CB177" s="72">
        <f t="shared" si="1016"/>
        <v>146</v>
      </c>
      <c r="CC177" s="71">
        <f t="shared" si="1017"/>
        <v>181</v>
      </c>
      <c r="CD177" s="72">
        <f t="shared" si="1018"/>
        <v>185</v>
      </c>
      <c r="CE177" s="71">
        <f t="shared" si="1019"/>
        <v>323</v>
      </c>
      <c r="CF177" s="72">
        <f t="shared" si="1020"/>
        <v>361</v>
      </c>
      <c r="CG177" s="71">
        <f t="shared" si="1021"/>
        <v>387</v>
      </c>
      <c r="CH177" s="70">
        <f t="shared" si="1022"/>
        <v>57</v>
      </c>
      <c r="CI177" s="71">
        <f t="shared" si="1023"/>
        <v>61</v>
      </c>
      <c r="CJ177" s="72">
        <f t="shared" si="1024"/>
        <v>92</v>
      </c>
      <c r="CK177" s="72">
        <f t="shared" si="1025"/>
        <v>98</v>
      </c>
      <c r="CL177" s="72">
        <f t="shared" si="1026"/>
        <v>134</v>
      </c>
      <c r="CM177" s="72">
        <f t="shared" si="1027"/>
        <v>143</v>
      </c>
      <c r="CN177" s="72">
        <f t="shared" si="1028"/>
        <v>171</v>
      </c>
      <c r="CO177" s="72">
        <f t="shared" si="1029"/>
        <v>183</v>
      </c>
      <c r="CP177" s="72">
        <f t="shared" si="1030"/>
        <v>216</v>
      </c>
      <c r="CQ177" s="72">
        <f t="shared" si="1031"/>
        <v>354</v>
      </c>
      <c r="CR177" s="72">
        <f t="shared" si="1032"/>
        <v>386</v>
      </c>
      <c r="CS177" s="72">
        <f t="shared" si="1033"/>
        <v>399</v>
      </c>
      <c r="CT177" s="23">
        <f t="shared" si="103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drd4_human__wt</v>
      </c>
      <c r="B178" s="3" t="s">
        <v>193</v>
      </c>
      <c r="C178" s="3" t="s">
        <v>100</v>
      </c>
      <c r="D178" s="3" t="str">
        <f>IFERROR(MID(VLOOKUP($B178,Seqs!$A:$B,2,0),E178,1),"")</f>
        <v>A</v>
      </c>
      <c r="E178" s="3">
        <v>31</v>
      </c>
      <c r="F178" s="3" t="str">
        <f>IFERROR(MID(VLOOKUP($B178,Seqs!$A:$B,2,0),G178,1),"")</f>
        <v>E</v>
      </c>
      <c r="G178" s="3">
        <v>62</v>
      </c>
      <c r="H178" s="3" t="str">
        <f>IFERROR(MID(VLOOKUP($B178,Seqs!$A:$B,2,0),I178,1),"")</f>
        <v>R</v>
      </c>
      <c r="I178" s="23">
        <v>63</v>
      </c>
      <c r="J178" s="3" t="str">
        <f>IFERROR(MID(VLOOKUP($B178,Seqs!$A:$B,2,0),K178,1),"")</f>
        <v>Q</v>
      </c>
      <c r="K178" s="23">
        <v>66</v>
      </c>
      <c r="L178" s="3" t="str">
        <f>IFERROR(MID(VLOOKUP($B178,Seqs!$A:$B,2,0),M178,1),"")</f>
        <v>T</v>
      </c>
      <c r="M178" s="3">
        <v>67</v>
      </c>
      <c r="N178" s="3" t="str">
        <f>IFERROR(MID(VLOOKUP($B178,Seqs!$A:$B,2,0),O178,1),"")</f>
        <v>Q</v>
      </c>
      <c r="O178" s="3">
        <v>97</v>
      </c>
      <c r="P178" s="3" t="str">
        <f>IFERROR(MID(VLOOKUP($B178,Seqs!$A:$B,2,0),Q178,1),"")</f>
        <v>A</v>
      </c>
      <c r="Q178" s="3">
        <v>100</v>
      </c>
      <c r="R178" s="3" t="str">
        <f>IFERROR(MID(VLOOKUP($B178,Seqs!$A:$B,2,0),S178,1),"")</f>
        <v>L</v>
      </c>
      <c r="S178" s="3">
        <v>103</v>
      </c>
      <c r="T178" s="3" t="str">
        <f>IFERROR(MID(VLOOKUP($B178,Seqs!$A:$B,2,0),U178,1),"")</f>
        <v>S</v>
      </c>
      <c r="U178" s="3">
        <v>104</v>
      </c>
      <c r="V178" s="3" t="str">
        <f>IFERROR(MID(VLOOKUP($B178,Seqs!$A:$B,2,0),W178,1),"")</f>
        <v>V</v>
      </c>
      <c r="W178" s="3">
        <v>139</v>
      </c>
      <c r="X178" s="3" t="str">
        <f>IFERROR(MID(VLOOKUP($B178,Seqs!$A:$B,2,0),Y178,1),"")</f>
        <v>P</v>
      </c>
      <c r="Y178" s="3">
        <v>140</v>
      </c>
      <c r="Z178" s="3" t="str">
        <f>IFERROR(MID(VLOOKUP($B178,Seqs!$A:$B,2,0),AA178,1),"")</f>
        <v>G</v>
      </c>
      <c r="AA178" s="3">
        <v>147</v>
      </c>
      <c r="AB178" s="3" t="str">
        <f>IFERROR(MID(VLOOKUP($B178,Seqs!$A:$B,2,0),AC178,1),"")</f>
        <v>G</v>
      </c>
      <c r="AC178" s="3">
        <v>148</v>
      </c>
      <c r="AD178" s="3" t="str">
        <f>IFERROR(MID(VLOOKUP($B178,Seqs!$A:$B,2,0),AE178,1),"")</f>
        <v>G</v>
      </c>
      <c r="AE178" s="3">
        <v>173</v>
      </c>
      <c r="AF178" s="3" t="str">
        <f>IFERROR(MID(VLOOKUP($B178,Seqs!$A:$B,2,0),AG178,1),"")</f>
        <v>C</v>
      </c>
      <c r="AG178" s="3">
        <v>185</v>
      </c>
      <c r="AH178" s="3" t="str">
        <f>IFERROR(MID(VLOOKUP($B178,Seqs!$A:$B,2,0),AI178,1),"")</f>
        <v>L</v>
      </c>
      <c r="AI178" s="3">
        <v>187</v>
      </c>
      <c r="AJ178" s="3" t="str">
        <f>IFERROR(MID(VLOOKUP($B178,Seqs!$A:$B,2,0),AK178,1),"")</f>
        <v>D</v>
      </c>
      <c r="AK178" s="3">
        <v>189</v>
      </c>
      <c r="AL178" s="3" t="str">
        <f>IFERROR(MID(VLOOKUP($B178,Seqs!$A:$B,2,0),AM178,1),"")</f>
        <v>K</v>
      </c>
      <c r="AM178" s="3">
        <v>229</v>
      </c>
      <c r="AN178" s="3" t="str">
        <f>IFERROR(MID(VLOOKUP($B178,Seqs!$A:$B,2,0),AO178,1),"")</f>
        <v>A</v>
      </c>
      <c r="AO178" s="3">
        <v>383</v>
      </c>
      <c r="AP178" s="3" t="str">
        <f>IFERROR(MID(VLOOKUP($B178,Seqs!$A:$B,2,0),AQ178,1),"")</f>
        <v>C</v>
      </c>
      <c r="AQ178" s="3">
        <v>420</v>
      </c>
      <c r="AR178" s="3" t="str">
        <f>IFERROR(MID(VLOOKUP($B178,Seqs!$A:$B,2,0),AS178,1),"")</f>
        <v>P</v>
      </c>
      <c r="AS178" s="3">
        <v>426</v>
      </c>
      <c r="AT178" s="3" t="str">
        <f>IFERROR(MID(VLOOKUP($B178,Seqs!$A:$B,2,0),AU178,1),"")</f>
        <v>F</v>
      </c>
      <c r="AU178" s="3">
        <v>451</v>
      </c>
      <c r="AV178" s="3" t="str">
        <f>IFERROR(MID(VLOOKUP($B178,Seqs!$A:$B,2,0),AW178,1),"")</f>
        <v>N</v>
      </c>
      <c r="AW178" s="3">
        <v>452</v>
      </c>
      <c r="AX178" s="3" t="str">
        <f>IFERROR(MID(VLOOKUP($B178,Seqs!$A:$B,2,0),AY178,1),"")</f>
        <v>R</v>
      </c>
      <c r="AY178" s="3">
        <v>464</v>
      </c>
      <c r="AZ178" s="77" t="str">
        <f>VLOOKUP(B178,Classification!A:D,2,0)</f>
        <v>A</v>
      </c>
      <c r="BA178" s="94" t="str">
        <f>VLOOKUP(B178,Classification!A:D,4,0)</f>
        <v>Dopamine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262</v>
      </c>
      <c r="BD178" s="2" t="s">
        <v>23</v>
      </c>
      <c r="BE178" s="3" t="s">
        <v>1374</v>
      </c>
      <c r="BF178" s="119" t="s">
        <v>23</v>
      </c>
      <c r="BG178" s="49" t="s">
        <v>1377</v>
      </c>
      <c r="BH178" s="49" t="s">
        <v>1377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>E178</f>
        <v>31</v>
      </c>
      <c r="BW178" s="71">
        <f>I178</f>
        <v>63</v>
      </c>
      <c r="BX178" s="72">
        <f>M178</f>
        <v>67</v>
      </c>
      <c r="BY178" s="71">
        <f>Q178</f>
        <v>100</v>
      </c>
      <c r="BZ178" s="72">
        <f>U178</f>
        <v>104</v>
      </c>
      <c r="CA178" s="71">
        <f>Y178</f>
        <v>140</v>
      </c>
      <c r="CB178" s="72">
        <f>AC178</f>
        <v>148</v>
      </c>
      <c r="CC178" s="71">
        <f>AG178</f>
        <v>185</v>
      </c>
      <c r="CD178" s="72">
        <f>AK178</f>
        <v>189</v>
      </c>
      <c r="CE178" s="71">
        <f>AO178</f>
        <v>383</v>
      </c>
      <c r="CF178" s="72">
        <f>AS178</f>
        <v>426</v>
      </c>
      <c r="CG178" s="71">
        <f>AW178</f>
        <v>452</v>
      </c>
      <c r="CH178" s="70">
        <f>G178</f>
        <v>62</v>
      </c>
      <c r="CI178" s="71">
        <f>K178</f>
        <v>66</v>
      </c>
      <c r="CJ178" s="72">
        <f>O178</f>
        <v>97</v>
      </c>
      <c r="CK178" s="72">
        <f>S178</f>
        <v>103</v>
      </c>
      <c r="CL178" s="72">
        <f>W178</f>
        <v>139</v>
      </c>
      <c r="CM178" s="72">
        <f>AA178</f>
        <v>147</v>
      </c>
      <c r="CN178" s="72">
        <f>AE178</f>
        <v>173</v>
      </c>
      <c r="CO178" s="72">
        <f>AI178</f>
        <v>187</v>
      </c>
      <c r="CP178" s="72">
        <f>AM178</f>
        <v>229</v>
      </c>
      <c r="CQ178" s="72">
        <f>AQ178</f>
        <v>420</v>
      </c>
      <c r="CR178" s="72">
        <f>AU178</f>
        <v>451</v>
      </c>
      <c r="CS178" s="72">
        <f>AY178</f>
        <v>464</v>
      </c>
      <c r="CT178" s="23">
        <f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drd4_human_5WIU</v>
      </c>
      <c r="B179" s="3" t="s">
        <v>193</v>
      </c>
      <c r="C179" s="3" t="s">
        <v>1444</v>
      </c>
      <c r="D179" s="3" t="str">
        <f>IFERROR(MID(VLOOKUP($B179,Seqs!$A:$B,2,0),E179,1),"")</f>
        <v>G</v>
      </c>
      <c r="E179" s="3">
        <v>34</v>
      </c>
      <c r="F179" s="3" t="str">
        <f>IFERROR(MID(VLOOKUP($B179,Seqs!$A:$B,2,0),G179,1),"")</f>
        <v>E</v>
      </c>
      <c r="G179" s="3">
        <v>62</v>
      </c>
      <c r="H179" s="3" t="str">
        <f>IFERROR(MID(VLOOKUP($B179,Seqs!$A:$B,2,0),I179,1),"")</f>
        <v>R</v>
      </c>
      <c r="I179" s="23">
        <v>63</v>
      </c>
      <c r="J179" s="3" t="str">
        <f>IFERROR(MID(VLOOKUP($B179,Seqs!$A:$B,2,0),K179,1),"")</f>
        <v>Q</v>
      </c>
      <c r="K179" s="23">
        <v>66</v>
      </c>
      <c r="L179" s="3" t="str">
        <f>IFERROR(MID(VLOOKUP($B179,Seqs!$A:$B,2,0),M179,1),"")</f>
        <v>T</v>
      </c>
      <c r="M179" s="3">
        <v>67</v>
      </c>
      <c r="N179" s="3" t="str">
        <f>IFERROR(MID(VLOOKUP($B179,Seqs!$A:$B,2,0),O179,1),"")</f>
        <v>Q</v>
      </c>
      <c r="O179" s="3">
        <v>97</v>
      </c>
      <c r="P179" s="3" t="str">
        <f>IFERROR(MID(VLOOKUP($B179,Seqs!$A:$B,2,0),Q179,1),"")</f>
        <v>A</v>
      </c>
      <c r="Q179" s="3">
        <v>100</v>
      </c>
      <c r="R179" s="3" t="str">
        <f>IFERROR(MID(VLOOKUP($B179,Seqs!$A:$B,2,0),S179,1),"")</f>
        <v>L</v>
      </c>
      <c r="S179" s="3">
        <v>103</v>
      </c>
      <c r="T179" s="3" t="str">
        <f>IFERROR(MID(VLOOKUP($B179,Seqs!$A:$B,2,0),U179,1),"")</f>
        <v>S</v>
      </c>
      <c r="U179" s="3">
        <v>104</v>
      </c>
      <c r="V179" s="3" t="str">
        <f>IFERROR(MID(VLOOKUP($B179,Seqs!$A:$B,2,0),W179,1),"")</f>
        <v>V</v>
      </c>
      <c r="W179" s="3">
        <v>139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R</v>
      </c>
      <c r="AC179" s="3">
        <v>150</v>
      </c>
      <c r="AD179" s="3" t="str">
        <f>IFERROR(MID(VLOOKUP($B179,Seqs!$A:$B,2,0),AE179,1),"")</f>
        <v>G</v>
      </c>
      <c r="AE179" s="3">
        <v>173</v>
      </c>
      <c r="AF179" s="3" t="str">
        <f>IFERROR(MID(VLOOKUP($B179,Seqs!$A:$B,2,0),AG179,1),"")</f>
        <v>C</v>
      </c>
      <c r="AG179" s="3">
        <v>185</v>
      </c>
      <c r="AH179" s="3" t="str">
        <f>IFERROR(MID(VLOOKUP($B179,Seqs!$A:$B,2,0),AI179,1),"")</f>
        <v>L</v>
      </c>
      <c r="AI179" s="3">
        <v>187</v>
      </c>
      <c r="AJ179" s="3" t="str">
        <f>IFERROR(MID(VLOOKUP($B179,Seqs!$A:$B,2,0),AK179,1),"")</f>
        <v>D</v>
      </c>
      <c r="AK179" s="3">
        <v>189</v>
      </c>
      <c r="AL179" s="3" t="str">
        <f>IFERROR(MID(VLOOKUP($B179,Seqs!$A:$B,2,0),AM179,1),"")</f>
        <v>W</v>
      </c>
      <c r="AM179" s="3">
        <v>222</v>
      </c>
      <c r="AN179" s="3" t="str">
        <f>IFERROR(MID(VLOOKUP($B179,Seqs!$A:$B,2,0),AO179,1),"")</f>
        <v>V</v>
      </c>
      <c r="AO179" s="3">
        <v>395</v>
      </c>
      <c r="AP179" s="3" t="str">
        <f>IFERROR(MID(VLOOKUP($B179,Seqs!$A:$B,2,0),AQ179,1),"")</f>
        <v>C</v>
      </c>
      <c r="AQ179" s="3">
        <v>420</v>
      </c>
      <c r="AR179" s="3" t="str">
        <f>IFERROR(MID(VLOOKUP($B179,Seqs!$A:$B,2,0),AS179,1),"")</f>
        <v>P</v>
      </c>
      <c r="AS179" s="3">
        <v>426</v>
      </c>
      <c r="AT179" s="3" t="str">
        <f>IFERROR(MID(VLOOKUP($B179,Seqs!$A:$B,2,0),AU179,1),"")</f>
        <v>F</v>
      </c>
      <c r="AU179" s="3">
        <v>451</v>
      </c>
      <c r="AV179" s="3" t="str">
        <f>IFERROR(MID(VLOOKUP($B179,Seqs!$A:$B,2,0),AW179,1),"")</f>
        <v>N</v>
      </c>
      <c r="AW179" s="3">
        <v>452</v>
      </c>
      <c r="AX179" s="3" t="str">
        <f>IFERROR(MID(VLOOKUP($B179,Seqs!$A:$B,2,0),AY179,1),"")</f>
        <v>R</v>
      </c>
      <c r="AY179" s="3">
        <v>460</v>
      </c>
      <c r="AZ179" s="77" t="str">
        <f>VLOOKUP(B179,Classification!A:D,2,0)</f>
        <v>A</v>
      </c>
      <c r="BA179" s="94" t="str">
        <f>VLOOKUP(B179,Classification!A:D,4,0)</f>
        <v>Dopamine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227</v>
      </c>
      <c r="BD179" s="2" t="s">
        <v>23</v>
      </c>
      <c r="BE179" s="3" t="s">
        <v>1374</v>
      </c>
      <c r="BF179" s="119">
        <v>1.96</v>
      </c>
      <c r="BG179" s="49" t="s">
        <v>1</v>
      </c>
      <c r="BH179" s="49" t="s">
        <v>1377</v>
      </c>
      <c r="BI179" s="1"/>
      <c r="BJ179" s="70" t="s">
        <v>1287</v>
      </c>
      <c r="BK179" s="57" t="s">
        <v>1287</v>
      </c>
      <c r="BL179" s="57" t="s">
        <v>1287</v>
      </c>
      <c r="BM179" s="57" t="s">
        <v>1287</v>
      </c>
      <c r="BN179" s="57" t="s">
        <v>1287</v>
      </c>
      <c r="BO179" s="57" t="s">
        <v>1287</v>
      </c>
      <c r="BP179" s="57" t="s">
        <v>1287</v>
      </c>
      <c r="BQ179" s="57" t="s">
        <v>1287</v>
      </c>
      <c r="BR179" s="57" t="s">
        <v>1287</v>
      </c>
      <c r="BS179" s="57" t="s">
        <v>1287</v>
      </c>
      <c r="BT179" s="57" t="s">
        <v>1287</v>
      </c>
      <c r="BU179" s="57" t="s">
        <v>1287</v>
      </c>
      <c r="BV179" s="70">
        <f>E179</f>
        <v>34</v>
      </c>
      <c r="BW179" s="71">
        <f>I179</f>
        <v>63</v>
      </c>
      <c r="BX179" s="72">
        <f>M179</f>
        <v>67</v>
      </c>
      <c r="BY179" s="71">
        <f>Q179</f>
        <v>100</v>
      </c>
      <c r="BZ179" s="72">
        <f>U179</f>
        <v>104</v>
      </c>
      <c r="CA179" s="71" t="str">
        <f>Y179</f>
        <v>-</v>
      </c>
      <c r="CB179" s="72">
        <f>AC179</f>
        <v>150</v>
      </c>
      <c r="CC179" s="71">
        <f>AG179</f>
        <v>185</v>
      </c>
      <c r="CD179" s="72">
        <f>AK179</f>
        <v>189</v>
      </c>
      <c r="CE179" s="71">
        <f>AO179</f>
        <v>395</v>
      </c>
      <c r="CF179" s="72">
        <f>AS179</f>
        <v>426</v>
      </c>
      <c r="CG179" s="71">
        <f>AW179</f>
        <v>452</v>
      </c>
      <c r="CH179" s="70">
        <f>G179</f>
        <v>62</v>
      </c>
      <c r="CI179" s="71">
        <f>K179</f>
        <v>66</v>
      </c>
      <c r="CJ179" s="72">
        <f>O179</f>
        <v>97</v>
      </c>
      <c r="CK179" s="72">
        <f>S179</f>
        <v>103</v>
      </c>
      <c r="CL179" s="72">
        <f>W179</f>
        <v>139</v>
      </c>
      <c r="CM179" s="72" t="str">
        <f>AA179</f>
        <v>-</v>
      </c>
      <c r="CN179" s="72">
        <f>AE179</f>
        <v>173</v>
      </c>
      <c r="CO179" s="72">
        <f>AI179</f>
        <v>187</v>
      </c>
      <c r="CP179" s="72">
        <f>AM179</f>
        <v>222</v>
      </c>
      <c r="CQ179" s="72">
        <f>AQ179</f>
        <v>420</v>
      </c>
      <c r="CR179" s="72">
        <f>AU179</f>
        <v>451</v>
      </c>
      <c r="CS179" s="72">
        <f>AY179</f>
        <v>460</v>
      </c>
      <c r="CT179" s="23">
        <f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>CONCATENATE(B180,"_",C180)</f>
        <v>drd4_human_5WIV</v>
      </c>
      <c r="B180" s="3" t="s">
        <v>193</v>
      </c>
      <c r="C180" s="3" t="s">
        <v>1446</v>
      </c>
      <c r="D180" s="3" t="str">
        <f>IFERROR(MID(VLOOKUP($B180,Seqs!$A:$B,2,0),E180,1),"")</f>
        <v>G</v>
      </c>
      <c r="E180" s="3">
        <v>32</v>
      </c>
      <c r="F180" s="3" t="str">
        <f>IFERROR(MID(VLOOKUP($B180,Seqs!$A:$B,2,0),G180,1),"")</f>
        <v>E</v>
      </c>
      <c r="G180" s="3">
        <v>62</v>
      </c>
      <c r="H180" s="3" t="str">
        <f>IFERROR(MID(VLOOKUP($B180,Seqs!$A:$B,2,0),I180,1),"")</f>
        <v>R</v>
      </c>
      <c r="I180" s="23">
        <v>63</v>
      </c>
      <c r="J180" s="3" t="str">
        <f>IFERROR(MID(VLOOKUP($B180,Seqs!$A:$B,2,0),K180,1),"")</f>
        <v>Q</v>
      </c>
      <c r="K180" s="23">
        <v>66</v>
      </c>
      <c r="L180" s="3" t="str">
        <f>IFERROR(MID(VLOOKUP($B180,Seqs!$A:$B,2,0),M180,1),"")</f>
        <v>T</v>
      </c>
      <c r="M180" s="3">
        <v>67</v>
      </c>
      <c r="N180" s="3" t="str">
        <f>IFERROR(MID(VLOOKUP($B180,Seqs!$A:$B,2,0),O180,1),"")</f>
        <v>Q</v>
      </c>
      <c r="O180" s="3">
        <v>97</v>
      </c>
      <c r="P180" s="3" t="str">
        <f>IFERROR(MID(VLOOKUP($B180,Seqs!$A:$B,2,0),Q180,1),"")</f>
        <v>A</v>
      </c>
      <c r="Q180" s="3">
        <v>100</v>
      </c>
      <c r="R180" s="3" t="str">
        <f>IFERROR(MID(VLOOKUP($B180,Seqs!$A:$B,2,0),S180,1),"")</f>
        <v>L</v>
      </c>
      <c r="S180" s="3">
        <v>103</v>
      </c>
      <c r="T180" s="3" t="str">
        <f>IFERROR(MID(VLOOKUP($B180,Seqs!$A:$B,2,0),U180,1),"")</f>
        <v>S</v>
      </c>
      <c r="U180" s="3">
        <v>104</v>
      </c>
      <c r="V180" s="3" t="str">
        <f>IFERROR(MID(VLOOKUP($B180,Seqs!$A:$B,2,0),W180,1),"")</f>
        <v>V</v>
      </c>
      <c r="W180" s="3">
        <v>139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R</v>
      </c>
      <c r="AC180" s="3">
        <v>150</v>
      </c>
      <c r="AD180" s="3" t="str">
        <f>IFERROR(MID(VLOOKUP($B180,Seqs!$A:$B,2,0),AE180,1),"")</f>
        <v>G</v>
      </c>
      <c r="AE180" s="3">
        <v>173</v>
      </c>
      <c r="AF180" s="3" t="str">
        <f>IFERROR(MID(VLOOKUP($B180,Seqs!$A:$B,2,0),AG180,1),"")</f>
        <v>C</v>
      </c>
      <c r="AG180" s="3">
        <v>185</v>
      </c>
      <c r="AH180" s="3" t="str">
        <f>IFERROR(MID(VLOOKUP($B180,Seqs!$A:$B,2,0),AI180,1),"")</f>
        <v>L</v>
      </c>
      <c r="AI180" s="3">
        <v>187</v>
      </c>
      <c r="AJ180" s="3" t="str">
        <f>IFERROR(MID(VLOOKUP($B180,Seqs!$A:$B,2,0),AK180,1),"")</f>
        <v>D</v>
      </c>
      <c r="AK180" s="3">
        <v>189</v>
      </c>
      <c r="AL180" s="3" t="str">
        <f>IFERROR(MID(VLOOKUP($B180,Seqs!$A:$B,2,0),AM180,1),"")</f>
        <v>W</v>
      </c>
      <c r="AM180" s="3">
        <v>222</v>
      </c>
      <c r="AN180" s="3" t="str">
        <f>IFERROR(MID(VLOOKUP($B180,Seqs!$A:$B,2,0),AO180,1),"")</f>
        <v>V</v>
      </c>
      <c r="AO180" s="3">
        <v>395</v>
      </c>
      <c r="AP180" s="3" t="str">
        <f>IFERROR(MID(VLOOKUP($B180,Seqs!$A:$B,2,0),AQ180,1),"")</f>
        <v>C</v>
      </c>
      <c r="AQ180" s="3">
        <v>420</v>
      </c>
      <c r="AR180" s="3" t="str">
        <f>IFERROR(MID(VLOOKUP($B180,Seqs!$A:$B,2,0),AS180,1),"")</f>
        <v>P</v>
      </c>
      <c r="AS180" s="3">
        <v>426</v>
      </c>
      <c r="AT180" s="3" t="str">
        <f>IFERROR(MID(VLOOKUP($B180,Seqs!$A:$B,2,0),AU180,1),"")</f>
        <v>F</v>
      </c>
      <c r="AU180" s="3">
        <v>451</v>
      </c>
      <c r="AV180" s="3" t="str">
        <f>IFERROR(MID(VLOOKUP($B180,Seqs!$A:$B,2,0),AW180,1),"")</f>
        <v>N</v>
      </c>
      <c r="AW180" s="3">
        <v>452</v>
      </c>
      <c r="AX180" s="3" t="str">
        <f>IFERROR(MID(VLOOKUP($B180,Seqs!$A:$B,2,0),AY180,1),"")</f>
        <v>A</v>
      </c>
      <c r="AY180" s="3">
        <v>462</v>
      </c>
      <c r="AZ180" s="77" t="str">
        <f>VLOOKUP(B180,Classification!A:D,2,0)</f>
        <v>A</v>
      </c>
      <c r="BA180" s="94" t="str">
        <f>VLOOKUP(B180,Classification!A:D,4,0)</f>
        <v>Dopamine</v>
      </c>
      <c r="BB180" s="27" t="b">
        <f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>_xlfn.AGGREGATE(9,6,CH180:CS180)-_xlfn.AGGREGATE(9,6,BV180:CG180)+12</f>
        <v>231</v>
      </c>
      <c r="BD180" s="2" t="s">
        <v>1376</v>
      </c>
      <c r="BE180" s="3" t="s">
        <v>1374</v>
      </c>
      <c r="BF180" s="119">
        <v>2.14</v>
      </c>
      <c r="BG180" s="49" t="s">
        <v>1</v>
      </c>
      <c r="BH180" s="49" t="s">
        <v>1377</v>
      </c>
      <c r="BI180" s="1"/>
      <c r="BJ180" s="70" t="s">
        <v>1287</v>
      </c>
      <c r="BK180" s="57" t="s">
        <v>1287</v>
      </c>
      <c r="BL180" s="57" t="s">
        <v>1287</v>
      </c>
      <c r="BM180" s="57" t="s">
        <v>1287</v>
      </c>
      <c r="BN180" s="57" t="s">
        <v>1287</v>
      </c>
      <c r="BO180" s="57" t="s">
        <v>1287</v>
      </c>
      <c r="BP180" s="57" t="s">
        <v>1287</v>
      </c>
      <c r="BQ180" s="57" t="s">
        <v>1287</v>
      </c>
      <c r="BR180" s="57" t="s">
        <v>1287</v>
      </c>
      <c r="BS180" s="57" t="s">
        <v>1287</v>
      </c>
      <c r="BT180" s="57" t="s">
        <v>1287</v>
      </c>
      <c r="BU180" s="57" t="s">
        <v>1287</v>
      </c>
      <c r="BV180" s="70">
        <f>E180</f>
        <v>32</v>
      </c>
      <c r="BW180" s="71">
        <f>I180</f>
        <v>63</v>
      </c>
      <c r="BX180" s="72">
        <f>M180</f>
        <v>67</v>
      </c>
      <c r="BY180" s="71">
        <f>Q180</f>
        <v>100</v>
      </c>
      <c r="BZ180" s="72">
        <f>U180</f>
        <v>104</v>
      </c>
      <c r="CA180" s="71" t="str">
        <f>Y180</f>
        <v>-</v>
      </c>
      <c r="CB180" s="72">
        <f>AC180</f>
        <v>150</v>
      </c>
      <c r="CC180" s="71">
        <f>AG180</f>
        <v>185</v>
      </c>
      <c r="CD180" s="72">
        <f>AK180</f>
        <v>189</v>
      </c>
      <c r="CE180" s="71">
        <f>AO180</f>
        <v>395</v>
      </c>
      <c r="CF180" s="72">
        <f>AS180</f>
        <v>426</v>
      </c>
      <c r="CG180" s="71">
        <f>AW180</f>
        <v>452</v>
      </c>
      <c r="CH180" s="70">
        <f>G180</f>
        <v>62</v>
      </c>
      <c r="CI180" s="71">
        <f>K180</f>
        <v>66</v>
      </c>
      <c r="CJ180" s="72">
        <f>O180</f>
        <v>97</v>
      </c>
      <c r="CK180" s="72">
        <f>S180</f>
        <v>103</v>
      </c>
      <c r="CL180" s="72">
        <f>W180</f>
        <v>139</v>
      </c>
      <c r="CM180" s="72" t="str">
        <f>AA180</f>
        <v>-</v>
      </c>
      <c r="CN180" s="72">
        <f>AE180</f>
        <v>173</v>
      </c>
      <c r="CO180" s="72">
        <f>AI180</f>
        <v>187</v>
      </c>
      <c r="CP180" s="72">
        <f>AM180</f>
        <v>222</v>
      </c>
      <c r="CQ180" s="72">
        <f>AQ180</f>
        <v>420</v>
      </c>
      <c r="CR180" s="72">
        <f>AU180</f>
        <v>451</v>
      </c>
      <c r="CS180" s="72">
        <f>AY180</f>
        <v>462</v>
      </c>
      <c r="CT180" s="23">
        <f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867"/>
        <v>ednrb_human__wt</v>
      </c>
      <c r="B181" s="2" t="s">
        <v>196</v>
      </c>
      <c r="C181" s="2" t="s">
        <v>100</v>
      </c>
      <c r="D181" s="3" t="str">
        <f>IFERROR(MID(VLOOKUP($B181,Seqs!$A:$B,2,0),E181,1),"")</f>
        <v>Q</v>
      </c>
      <c r="E181" s="2">
        <v>91</v>
      </c>
      <c r="F181" s="3" t="str">
        <f>IFERROR(MID(VLOOKUP($B181,Seqs!$A:$B,2,0),G181,1),"")</f>
        <v>N</v>
      </c>
      <c r="G181" s="2">
        <v>129</v>
      </c>
      <c r="H181" s="3" t="str">
        <f>IFERROR(MID(VLOOKUP($B181,Seqs!$A:$B,2,0),I181,1),"")</f>
        <v>K</v>
      </c>
      <c r="I181" s="56">
        <v>130</v>
      </c>
      <c r="J181" s="3" t="str">
        <f>IFERROR(MID(VLOOKUP($B181,Seqs!$A:$B,2,0),K181,1),"")</f>
        <v>N</v>
      </c>
      <c r="K181" s="56">
        <v>134</v>
      </c>
      <c r="L181" s="3" t="str">
        <f>IFERROR(MID(VLOOKUP($B181,Seqs!$A:$B,2,0),M181,1),"")</f>
        <v>G</v>
      </c>
      <c r="M181" s="2">
        <v>135</v>
      </c>
      <c r="N181" s="3" t="str">
        <f>IFERROR(MID(VLOOKUP($B181,Seqs!$A:$B,2,0),O181,1),"")</f>
        <v>A</v>
      </c>
      <c r="O181" s="2">
        <v>164</v>
      </c>
      <c r="P181" s="3" t="str">
        <f>IFERROR(MID(VLOOKUP($B181,Seqs!$A:$B,2,0),Q181,1),"")</f>
        <v>D</v>
      </c>
      <c r="Q181" s="2">
        <v>166</v>
      </c>
      <c r="R181" s="3" t="str">
        <f>IFERROR(MID(VLOOKUP($B181,Seqs!$A:$B,2,0),S181,1),"")</f>
        <v>F</v>
      </c>
      <c r="S181" s="2">
        <v>169</v>
      </c>
      <c r="T181" s="3" t="str">
        <f>IFERROR(MID(VLOOKUP($B181,Seqs!$A:$B,2,0),U181,1),"")</f>
        <v>G</v>
      </c>
      <c r="U181" s="4">
        <v>170</v>
      </c>
      <c r="V181" s="3" t="str">
        <f>IFERROR(MID(VLOOKUP($B181,Seqs!$A:$B,2,0),W181,1),"")</f>
        <v>S</v>
      </c>
      <c r="W181" s="2">
        <v>205</v>
      </c>
      <c r="X181" s="3" t="str">
        <f>IFERROR(MID(VLOOKUP($B181,Seqs!$A:$B,2,0),Y181,1),"")</f>
        <v>W</v>
      </c>
      <c r="Y181" s="2">
        <v>206</v>
      </c>
      <c r="Z181" s="3" t="str">
        <f>IFERROR(MID(VLOOKUP($B181,Seqs!$A:$B,2,0),AA181,1),"")</f>
        <v>G</v>
      </c>
      <c r="AA181" s="2">
        <v>213</v>
      </c>
      <c r="AB181" s="3" t="str">
        <f>IFERROR(MID(VLOOKUP($B181,Seqs!$A:$B,2,0),AC181,1),"")</f>
        <v>V</v>
      </c>
      <c r="AC181" s="40">
        <v>214</v>
      </c>
      <c r="AD181" s="3" t="str">
        <f>IFERROR(MID(VLOOKUP($B181,Seqs!$A:$B,2,0),AE181,1),"")</f>
        <v>F</v>
      </c>
      <c r="AE181" s="2">
        <v>240</v>
      </c>
      <c r="AF181" s="3" t="str">
        <f>IFERROR(MID(VLOOKUP($B181,Seqs!$A:$B,2,0),AG181,1),"")</f>
        <v>C</v>
      </c>
      <c r="AG181" s="2">
        <v>255</v>
      </c>
      <c r="AH181" s="3" t="str">
        <f>IFERROR(MID(VLOOKUP($B181,Seqs!$A:$B,2,0),AI181,1),"")</f>
        <v>L</v>
      </c>
      <c r="AI181" s="2">
        <v>257</v>
      </c>
      <c r="AJ181" s="3" t="str">
        <f>IFERROR(MID(VLOOKUP($B181,Seqs!$A:$B,2,0),AK181,1),"")</f>
        <v>T</v>
      </c>
      <c r="AK181" s="2">
        <v>263</v>
      </c>
      <c r="AL181" s="3" t="str">
        <f>IFERROR(MID(VLOOKUP($B181,Seqs!$A:$B,2,0),AM181,1),"")</f>
        <v>M</v>
      </c>
      <c r="AM181" s="2">
        <v>307</v>
      </c>
      <c r="AN181" s="3" t="str">
        <f>IFERROR(MID(VLOOKUP($B181,Seqs!$A:$B,2,0),AO181,1),"")</f>
        <v>N</v>
      </c>
      <c r="AO181" s="2">
        <v>312</v>
      </c>
      <c r="AP181" s="3" t="str">
        <f>IFERROR(MID(VLOOKUP($B181,Seqs!$A:$B,2,0),AQ181,1),"")</f>
        <v>Y</v>
      </c>
      <c r="AQ181" s="2">
        <v>350</v>
      </c>
      <c r="AR181" s="3" t="str">
        <f>IFERROR(MID(VLOOKUP($B181,Seqs!$A:$B,2,0),AS181,1),"")</f>
        <v>R</v>
      </c>
      <c r="AS181" s="2">
        <v>357</v>
      </c>
      <c r="AT181" s="3" t="str">
        <f>IFERROR(MID(VLOOKUP($B181,Seqs!$A:$B,2,0),AU181,1),"")</f>
        <v>V</v>
      </c>
      <c r="AU181" s="2">
        <v>389</v>
      </c>
      <c r="AV181" s="3" t="str">
        <f>IFERROR(MID(VLOOKUP($B181,Seqs!$A:$B,2,0),AW181,1),"")</f>
        <v>S</v>
      </c>
      <c r="AW181" s="2">
        <v>390</v>
      </c>
      <c r="AX181" s="3" t="str">
        <f>IFERROR(MID(VLOOKUP($B181,Seqs!$A:$B,2,0),AY181,1),"")</f>
        <v>C</v>
      </c>
      <c r="AY181" s="2">
        <v>403</v>
      </c>
      <c r="AZ181" s="77" t="str">
        <f>VLOOKUP(B181,Classification!A:D,2,0)</f>
        <v>A</v>
      </c>
      <c r="BA181" s="94" t="str">
        <f>VLOOKUP(B181,Classification!A:D,4,0)</f>
        <v>Endothelin</v>
      </c>
      <c r="BB181" s="27" t="b">
        <f t="shared" si="868"/>
        <v>1</v>
      </c>
      <c r="BC181" s="2"/>
      <c r="BD181" s="34" t="s">
        <v>23</v>
      </c>
      <c r="BE181" s="3" t="s">
        <v>23</v>
      </c>
      <c r="BF181" s="119" t="s">
        <v>23</v>
      </c>
      <c r="BG181" s="49" t="s">
        <v>1372</v>
      </c>
      <c r="BH181" s="49" t="s">
        <v>1377</v>
      </c>
      <c r="BI181" s="2"/>
      <c r="BJ181" s="70"/>
      <c r="BU181" s="57"/>
      <c r="BV181" s="70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70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  <c r="CT181" s="2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867"/>
        <v>ednrb_human_5GLH</v>
      </c>
      <c r="B182" s="2" t="s">
        <v>196</v>
      </c>
      <c r="C182" s="2" t="s">
        <v>1328</v>
      </c>
      <c r="D182" s="3" t="str">
        <f>IFERROR(MID(VLOOKUP($B182,Seqs!$A:$B,2,0),E182,1),"")</f>
        <v>K</v>
      </c>
      <c r="E182" s="2">
        <v>97</v>
      </c>
      <c r="F182" s="3" t="str">
        <f>IFERROR(MID(VLOOKUP($B182,Seqs!$A:$B,2,0),G182,1),"")</f>
        <v>N</v>
      </c>
      <c r="G182" s="2">
        <v>129</v>
      </c>
      <c r="H182" s="3" t="str">
        <f>IFERROR(MID(VLOOKUP($B182,Seqs!$A:$B,2,0),I182,1),"")</f>
        <v/>
      </c>
      <c r="I182" s="56" t="s">
        <v>23</v>
      </c>
      <c r="J182" s="3" t="str">
        <f>IFERROR(MID(VLOOKUP($B182,Seqs!$A:$B,2,0),K182,1),"")</f>
        <v/>
      </c>
      <c r="K182" s="56" t="s">
        <v>23</v>
      </c>
      <c r="L182" s="3" t="str">
        <f>IFERROR(MID(VLOOKUP($B182,Seqs!$A:$B,2,0),M182,1),"")</f>
        <v>P</v>
      </c>
      <c r="M182" s="2">
        <v>136</v>
      </c>
      <c r="N182" s="3" t="str">
        <f>IFERROR(MID(VLOOKUP($B182,Seqs!$A:$B,2,0),O182,1),"")</f>
        <v>A</v>
      </c>
      <c r="O182" s="2">
        <v>164</v>
      </c>
      <c r="P182" s="3" t="str">
        <f>IFERROR(MID(VLOOKUP($B182,Seqs!$A:$B,2,0),Q182,1),"")</f>
        <v>D</v>
      </c>
      <c r="Q182" s="2">
        <v>166</v>
      </c>
      <c r="R182" s="3" t="str">
        <f>IFERROR(MID(VLOOKUP($B182,Seqs!$A:$B,2,0),S182,1),"")</f>
        <v>F</v>
      </c>
      <c r="S182" s="2">
        <v>169</v>
      </c>
      <c r="T182" s="3" t="str">
        <f>IFERROR(MID(VLOOKUP($B182,Seqs!$A:$B,2,0),U182,1),"")</f>
        <v>G</v>
      </c>
      <c r="U182" s="4">
        <v>170</v>
      </c>
      <c r="V182" s="3" t="str">
        <f>IFERROR(MID(VLOOKUP($B182,Seqs!$A:$B,2,0),W182,1),"")</f>
        <v>S</v>
      </c>
      <c r="W182" s="2">
        <v>205</v>
      </c>
      <c r="X182" s="3" t="str">
        <f>IFERROR(MID(VLOOKUP($B182,Seqs!$A:$B,2,0),Y182,1),"")</f>
        <v/>
      </c>
      <c r="Y182" s="2" t="s">
        <v>23</v>
      </c>
      <c r="Z182" s="3" t="str">
        <f>IFERROR(MID(VLOOKUP($B182,Seqs!$A:$B,2,0),AA182,1),"")</f>
        <v/>
      </c>
      <c r="AA182" s="2" t="s">
        <v>23</v>
      </c>
      <c r="AB182" s="3" t="str">
        <f>IFERROR(MID(VLOOKUP($B182,Seqs!$A:$B,2,0),AC182,1),"")</f>
        <v>T</v>
      </c>
      <c r="AC182" s="40">
        <v>218</v>
      </c>
      <c r="AD182" s="3" t="str">
        <f>IFERROR(MID(VLOOKUP($B182,Seqs!$A:$B,2,0),AE182,1),"")</f>
        <v>F</v>
      </c>
      <c r="AE182" s="2">
        <v>240</v>
      </c>
      <c r="AF182" s="3" t="str">
        <f>IFERROR(MID(VLOOKUP($B182,Seqs!$A:$B,2,0),AG182,1),"")</f>
        <v>C</v>
      </c>
      <c r="AG182" s="2">
        <v>255</v>
      </c>
      <c r="AH182" s="3" t="str">
        <f>IFERROR(MID(VLOOKUP($B182,Seqs!$A:$B,2,0),AI182,1),"")</f>
        <v>L</v>
      </c>
      <c r="AI182" s="2">
        <v>257</v>
      </c>
      <c r="AJ182" s="3" t="str">
        <f>IFERROR(MID(VLOOKUP($B182,Seqs!$A:$B,2,0),AK182,1),"")</f>
        <v>T</v>
      </c>
      <c r="AK182" s="2">
        <v>263</v>
      </c>
      <c r="AL182" s="3" t="str">
        <f>IFERROR(MID(VLOOKUP($B182,Seqs!$A:$B,2,0),AM182,1),"")</f>
        <v>K</v>
      </c>
      <c r="AM182" s="2">
        <v>303</v>
      </c>
      <c r="AN182" s="3" t="str">
        <f>IFERROR(MID(VLOOKUP($B182,Seqs!$A:$B,2,0),AO182,1),"")</f>
        <v>N</v>
      </c>
      <c r="AO182" s="2">
        <v>312</v>
      </c>
      <c r="AP182" s="3" t="str">
        <f>IFERROR(MID(VLOOKUP($B182,Seqs!$A:$B,2,0),AQ182,1),"")</f>
        <v>Y</v>
      </c>
      <c r="AQ182" s="2">
        <v>350</v>
      </c>
      <c r="AR182" s="3" t="str">
        <f>IFERROR(MID(VLOOKUP($B182,Seqs!$A:$B,2,0),AS182,1),"")</f>
        <v>R</v>
      </c>
      <c r="AS182" s="2">
        <v>357</v>
      </c>
      <c r="AT182" s="3" t="str">
        <f>IFERROR(MID(VLOOKUP($B182,Seqs!$A:$B,2,0),AU182,1),"")</f>
        <v>V</v>
      </c>
      <c r="AU182" s="2">
        <v>389</v>
      </c>
      <c r="AV182" s="3" t="str">
        <f>IFERROR(MID(VLOOKUP($B182,Seqs!$A:$B,2,0),AW182,1),"")</f>
        <v>S</v>
      </c>
      <c r="AW182" s="2">
        <v>390</v>
      </c>
      <c r="AX182" s="3" t="str">
        <f>IFERROR(MID(VLOOKUP($B182,Seqs!$A:$B,2,0),AY182,1),"")</f>
        <v>L</v>
      </c>
      <c r="AY182" s="2">
        <v>401</v>
      </c>
      <c r="AZ182" s="77" t="str">
        <f>VLOOKUP(B182,Classification!A:D,2,0)</f>
        <v>A</v>
      </c>
      <c r="BA182" s="94" t="str">
        <f>VLOOKUP(B182,Classification!A:D,4,0)</f>
        <v>Endothelin</v>
      </c>
      <c r="BB182" s="27" t="b">
        <f t="shared" si="868"/>
        <v>1</v>
      </c>
      <c r="BC182" s="23">
        <f t="shared" ref="BC182:BC248" si="1035">_xlfn.AGGREGATE(9,6,CH182:CS182)-_xlfn.AGGREGATE(9,6,BV182:CG182)+12</f>
        <v>255</v>
      </c>
      <c r="BD182" s="2" t="s">
        <v>23</v>
      </c>
      <c r="BE182" s="3" t="s">
        <v>1374</v>
      </c>
      <c r="BF182" s="119">
        <v>2.8</v>
      </c>
      <c r="BG182" s="49" t="s">
        <v>1377</v>
      </c>
      <c r="BH182" s="49" t="s">
        <v>1377</v>
      </c>
      <c r="BI182" s="2"/>
      <c r="BJ182" s="70" t="s">
        <v>1287</v>
      </c>
      <c r="BK182" s="57" t="s">
        <v>1287</v>
      </c>
      <c r="BL182" s="57" t="s">
        <v>1287</v>
      </c>
      <c r="BM182" s="57" t="s">
        <v>1287</v>
      </c>
      <c r="BN182" s="57" t="s">
        <v>1287</v>
      </c>
      <c r="BO182" s="57" t="s">
        <v>1287</v>
      </c>
      <c r="BP182" s="57" t="s">
        <v>1287</v>
      </c>
      <c r="BQ182" s="57" t="s">
        <v>1287</v>
      </c>
      <c r="BR182" s="57" t="s">
        <v>1287</v>
      </c>
      <c r="BS182" s="57" t="s">
        <v>1287</v>
      </c>
      <c r="BT182" s="57" t="s">
        <v>1287</v>
      </c>
      <c r="BU182" s="57" t="s">
        <v>1287</v>
      </c>
      <c r="BV182" s="70">
        <f t="shared" ref="BV182:BV248" si="1036">E182</f>
        <v>97</v>
      </c>
      <c r="BW182" s="71" t="str">
        <f t="shared" ref="BW182:BW248" si="1037">I182</f>
        <v>-</v>
      </c>
      <c r="BX182" s="72">
        <f t="shared" ref="BX182:BX248" si="1038">M182</f>
        <v>136</v>
      </c>
      <c r="BY182" s="71">
        <f t="shared" ref="BY182:BY248" si="1039">Q182</f>
        <v>166</v>
      </c>
      <c r="BZ182" s="72">
        <f t="shared" ref="BZ182:BZ248" si="1040">U182</f>
        <v>170</v>
      </c>
      <c r="CA182" s="71" t="str">
        <f t="shared" ref="CA182:CA248" si="1041">Y182</f>
        <v>-</v>
      </c>
      <c r="CB182" s="72">
        <f t="shared" ref="CB182:CB248" si="1042">AC182</f>
        <v>218</v>
      </c>
      <c r="CC182" s="71">
        <f t="shared" ref="CC182:CC248" si="1043">AG182</f>
        <v>255</v>
      </c>
      <c r="CD182" s="72">
        <f t="shared" ref="CD182:CD248" si="1044">AK182</f>
        <v>263</v>
      </c>
      <c r="CE182" s="71">
        <f t="shared" ref="CE182:CE248" si="1045">AO182</f>
        <v>312</v>
      </c>
      <c r="CF182" s="72">
        <f t="shared" ref="CF182:CF248" si="1046">AS182</f>
        <v>357</v>
      </c>
      <c r="CG182" s="71">
        <f t="shared" ref="CG182:CG248" si="1047">AW182</f>
        <v>390</v>
      </c>
      <c r="CH182" s="70">
        <f t="shared" ref="CH182:CH248" si="1048">G182</f>
        <v>129</v>
      </c>
      <c r="CI182" s="71" t="str">
        <f t="shared" ref="CI182:CI248" si="1049">K182</f>
        <v>-</v>
      </c>
      <c r="CJ182" s="72">
        <f t="shared" ref="CJ182:CJ248" si="1050">O182</f>
        <v>164</v>
      </c>
      <c r="CK182" s="72">
        <f t="shared" ref="CK182:CK248" si="1051">S182</f>
        <v>169</v>
      </c>
      <c r="CL182" s="72">
        <f t="shared" ref="CL182:CL248" si="1052">W182</f>
        <v>205</v>
      </c>
      <c r="CM182" s="72" t="str">
        <f t="shared" ref="CM182:CM248" si="1053">AA182</f>
        <v>-</v>
      </c>
      <c r="CN182" s="72">
        <f t="shared" ref="CN182:CN248" si="1054">AE182</f>
        <v>240</v>
      </c>
      <c r="CO182" s="72">
        <f t="shared" ref="CO182:CO248" si="1055">AI182</f>
        <v>257</v>
      </c>
      <c r="CP182" s="72">
        <f t="shared" ref="CP182:CP248" si="1056">AM182</f>
        <v>303</v>
      </c>
      <c r="CQ182" s="72">
        <f t="shared" ref="CQ182:CQ248" si="1057">AQ182</f>
        <v>350</v>
      </c>
      <c r="CR182" s="72">
        <f t="shared" ref="CR182:CR248" si="1058">AU182</f>
        <v>389</v>
      </c>
      <c r="CS182" s="72">
        <f t="shared" ref="CS182:CS248" si="1059">AY182</f>
        <v>401</v>
      </c>
      <c r="CT182" s="23" t="e">
        <f t="shared" ref="CT182:CT248" si="1060">M182-K182</f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867"/>
        <v>ednrb_human_5GLI</v>
      </c>
      <c r="B183" s="2" t="s">
        <v>196</v>
      </c>
      <c r="C183" s="2" t="s">
        <v>1327</v>
      </c>
      <c r="D183" s="3" t="str">
        <f>IFERROR(MID(VLOOKUP($B183,Seqs!$A:$B,2,0),E183,1),"")</f>
        <v>Q</v>
      </c>
      <c r="E183" s="2">
        <v>91</v>
      </c>
      <c r="F183" s="3" t="str">
        <f>IFERROR(MID(VLOOKUP($B183,Seqs!$A:$B,2,0),G183,1),"")</f>
        <v>N</v>
      </c>
      <c r="G183" s="2">
        <v>129</v>
      </c>
      <c r="H183" s="3" t="str">
        <f>IFERROR(MID(VLOOKUP($B183,Seqs!$A:$B,2,0),I183,1),"")</f>
        <v>K</v>
      </c>
      <c r="I183" s="56">
        <v>130</v>
      </c>
      <c r="J183" s="3" t="str">
        <f>IFERROR(MID(VLOOKUP($B183,Seqs!$A:$B,2,0),K183,1),"")</f>
        <v>N</v>
      </c>
      <c r="K183" s="56">
        <v>134</v>
      </c>
      <c r="L183" s="3" t="str">
        <f>IFERROR(MID(VLOOKUP($B183,Seqs!$A:$B,2,0),M183,1),"")</f>
        <v>G</v>
      </c>
      <c r="M183" s="2">
        <v>135</v>
      </c>
      <c r="N183" s="3" t="str">
        <f>IFERROR(MID(VLOOKUP($B183,Seqs!$A:$B,2,0),O183,1),"")</f>
        <v>A</v>
      </c>
      <c r="O183" s="2">
        <v>164</v>
      </c>
      <c r="P183" s="3" t="str">
        <f>IFERROR(MID(VLOOKUP($B183,Seqs!$A:$B,2,0),Q183,1),"")</f>
        <v>D</v>
      </c>
      <c r="Q183" s="2">
        <v>166</v>
      </c>
      <c r="R183" s="3" t="str">
        <f>IFERROR(MID(VLOOKUP($B183,Seqs!$A:$B,2,0),S183,1),"")</f>
        <v>F</v>
      </c>
      <c r="S183" s="2">
        <v>169</v>
      </c>
      <c r="T183" s="3" t="str">
        <f>IFERROR(MID(VLOOKUP($B183,Seqs!$A:$B,2,0),U183,1),"")</f>
        <v>G</v>
      </c>
      <c r="U183" s="4">
        <v>170</v>
      </c>
      <c r="V183" s="3" t="str">
        <f>IFERROR(MID(VLOOKUP($B183,Seqs!$A:$B,2,0),W183,1),"")</f>
        <v>S</v>
      </c>
      <c r="W183" s="2">
        <v>205</v>
      </c>
      <c r="X183" s="3" t="str">
        <f>IFERROR(MID(VLOOKUP($B183,Seqs!$A:$B,2,0),Y183,1),"")</f>
        <v/>
      </c>
      <c r="Y183" s="2" t="s">
        <v>23</v>
      </c>
      <c r="Z183" s="3" t="str">
        <f>IFERROR(MID(VLOOKUP($B183,Seqs!$A:$B,2,0),AA183,1),"")</f>
        <v/>
      </c>
      <c r="AA183" s="2" t="s">
        <v>23</v>
      </c>
      <c r="AB183" s="3" t="str">
        <f>IFERROR(MID(VLOOKUP($B183,Seqs!$A:$B,2,0),AC183,1),"")</f>
        <v>K</v>
      </c>
      <c r="AC183" s="40">
        <v>216</v>
      </c>
      <c r="AD183" s="3" t="str">
        <f>IFERROR(MID(VLOOKUP($B183,Seqs!$A:$B,2,0),AE183,1),"")</f>
        <v>F</v>
      </c>
      <c r="AE183" s="2">
        <v>240</v>
      </c>
      <c r="AF183" s="3" t="str">
        <f>IFERROR(MID(VLOOKUP($B183,Seqs!$A:$B,2,0),AG183,1),"")</f>
        <v>C</v>
      </c>
      <c r="AG183" s="2">
        <v>255</v>
      </c>
      <c r="AH183" s="3" t="str">
        <f>IFERROR(MID(VLOOKUP($B183,Seqs!$A:$B,2,0),AI183,1),"")</f>
        <v>L</v>
      </c>
      <c r="AI183" s="2">
        <v>257</v>
      </c>
      <c r="AJ183" s="3" t="str">
        <f>IFERROR(MID(VLOOKUP($B183,Seqs!$A:$B,2,0),AK183,1),"")</f>
        <v>T</v>
      </c>
      <c r="AK183" s="2">
        <v>263</v>
      </c>
      <c r="AL183" s="3" t="str">
        <f>IFERROR(MID(VLOOKUP($B183,Seqs!$A:$B,2,0),AM183,1),"")</f>
        <v>K</v>
      </c>
      <c r="AM183" s="2">
        <v>303</v>
      </c>
      <c r="AN183" s="3" t="str">
        <f>IFERROR(MID(VLOOKUP($B183,Seqs!$A:$B,2,0),AO183,1),"")</f>
        <v>N</v>
      </c>
      <c r="AO183" s="2">
        <v>312</v>
      </c>
      <c r="AP183" s="3" t="str">
        <f>IFERROR(MID(VLOOKUP($B183,Seqs!$A:$B,2,0),AQ183,1),"")</f>
        <v>Y</v>
      </c>
      <c r="AQ183" s="2">
        <v>350</v>
      </c>
      <c r="AR183" s="3" t="str">
        <f>IFERROR(MID(VLOOKUP($B183,Seqs!$A:$B,2,0),AS183,1),"")</f>
        <v>R</v>
      </c>
      <c r="AS183" s="2">
        <v>357</v>
      </c>
      <c r="AT183" s="3" t="str">
        <f>IFERROR(MID(VLOOKUP($B183,Seqs!$A:$B,2,0),AU183,1),"")</f>
        <v>V</v>
      </c>
      <c r="AU183" s="2">
        <v>389</v>
      </c>
      <c r="AV183" s="3" t="str">
        <f>IFERROR(MID(VLOOKUP($B183,Seqs!$A:$B,2,0),AW183,1),"")</f>
        <v>S</v>
      </c>
      <c r="AW183" s="2">
        <v>390</v>
      </c>
      <c r="AX183" s="3" t="str">
        <f>IFERROR(MID(VLOOKUP($B183,Seqs!$A:$B,2,0),AY183,1),"")</f>
        <v>C</v>
      </c>
      <c r="AY183" s="2">
        <v>403</v>
      </c>
      <c r="AZ183" s="77" t="str">
        <f>VLOOKUP(B183,Classification!A:D,2,0)</f>
        <v>A</v>
      </c>
      <c r="BA183" s="94" t="str">
        <f>VLOOKUP(B183,Classification!A:D,4,0)</f>
        <v>Endothelin</v>
      </c>
      <c r="BB183" s="27" t="b">
        <f t="shared" si="868"/>
        <v>1</v>
      </c>
      <c r="BC183" s="23">
        <f t="shared" si="1035"/>
        <v>270</v>
      </c>
      <c r="BD183" s="2" t="s">
        <v>23</v>
      </c>
      <c r="BE183" s="3" t="s">
        <v>1374</v>
      </c>
      <c r="BF183" s="119">
        <v>2.5</v>
      </c>
      <c r="BG183" s="49" t="s">
        <v>1377</v>
      </c>
      <c r="BH183" s="49" t="s">
        <v>1377</v>
      </c>
      <c r="BI183" s="2"/>
      <c r="BJ183" s="70" t="s">
        <v>1287</v>
      </c>
      <c r="BK183" s="57" t="s">
        <v>1287</v>
      </c>
      <c r="BL183" s="57" t="s">
        <v>1287</v>
      </c>
      <c r="BM183" s="57" t="s">
        <v>1287</v>
      </c>
      <c r="BN183" s="57" t="s">
        <v>1287</v>
      </c>
      <c r="BO183" s="57" t="s">
        <v>1287</v>
      </c>
      <c r="BP183" s="57" t="s">
        <v>1287</v>
      </c>
      <c r="BQ183" s="57" t="s">
        <v>1287</v>
      </c>
      <c r="BR183" s="57" t="s">
        <v>1287</v>
      </c>
      <c r="BS183" s="57" t="s">
        <v>1287</v>
      </c>
      <c r="BT183" s="57" t="s">
        <v>1287</v>
      </c>
      <c r="BU183" s="57" t="s">
        <v>1287</v>
      </c>
      <c r="BV183" s="70">
        <f t="shared" si="1036"/>
        <v>91</v>
      </c>
      <c r="BW183" s="71">
        <f t="shared" si="1037"/>
        <v>130</v>
      </c>
      <c r="BX183" s="72">
        <f t="shared" si="1038"/>
        <v>135</v>
      </c>
      <c r="BY183" s="71">
        <f t="shared" si="1039"/>
        <v>166</v>
      </c>
      <c r="BZ183" s="72">
        <f t="shared" si="1040"/>
        <v>170</v>
      </c>
      <c r="CA183" s="71" t="str">
        <f t="shared" si="1041"/>
        <v>-</v>
      </c>
      <c r="CB183" s="72">
        <f t="shared" si="1042"/>
        <v>216</v>
      </c>
      <c r="CC183" s="71">
        <f t="shared" si="1043"/>
        <v>255</v>
      </c>
      <c r="CD183" s="72">
        <f t="shared" si="1044"/>
        <v>263</v>
      </c>
      <c r="CE183" s="71">
        <f t="shared" si="1045"/>
        <v>312</v>
      </c>
      <c r="CF183" s="72">
        <f t="shared" si="1046"/>
        <v>357</v>
      </c>
      <c r="CG183" s="71">
        <f t="shared" si="1047"/>
        <v>390</v>
      </c>
      <c r="CH183" s="70">
        <f t="shared" si="1048"/>
        <v>129</v>
      </c>
      <c r="CI183" s="71">
        <f t="shared" si="1049"/>
        <v>134</v>
      </c>
      <c r="CJ183" s="72">
        <f t="shared" si="1050"/>
        <v>164</v>
      </c>
      <c r="CK183" s="72">
        <f t="shared" si="1051"/>
        <v>169</v>
      </c>
      <c r="CL183" s="72">
        <f t="shared" si="1052"/>
        <v>205</v>
      </c>
      <c r="CM183" s="72" t="str">
        <f t="shared" si="1053"/>
        <v>-</v>
      </c>
      <c r="CN183" s="72">
        <f t="shared" si="1054"/>
        <v>240</v>
      </c>
      <c r="CO183" s="72">
        <f t="shared" si="1055"/>
        <v>257</v>
      </c>
      <c r="CP183" s="72">
        <f t="shared" si="1056"/>
        <v>303</v>
      </c>
      <c r="CQ183" s="72">
        <f t="shared" si="1057"/>
        <v>350</v>
      </c>
      <c r="CR183" s="72">
        <f t="shared" si="1058"/>
        <v>389</v>
      </c>
      <c r="CS183" s="72">
        <f t="shared" si="1059"/>
        <v>403</v>
      </c>
      <c r="CT183" s="23">
        <f t="shared" si="106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ednrb_human_5X93</v>
      </c>
      <c r="B184" s="2" t="s">
        <v>196</v>
      </c>
      <c r="C184" s="2" t="s">
        <v>1438</v>
      </c>
      <c r="D184" s="3" t="str">
        <f>IFERROR(MID(VLOOKUP($B184,Seqs!$A:$B,2,0),E184,1),"")</f>
        <v>Q</v>
      </c>
      <c r="E184" s="2">
        <v>91</v>
      </c>
      <c r="F184" s="3" t="str">
        <f>IFERROR(MID(VLOOKUP($B184,Seqs!$A:$B,2,0),G184,1),"")</f>
        <v>N</v>
      </c>
      <c r="G184" s="2">
        <v>129</v>
      </c>
      <c r="H184" s="3" t="str">
        <f>IFERROR(MID(VLOOKUP($B184,Seqs!$A:$B,2,0),I184,1),"")</f>
        <v>K</v>
      </c>
      <c r="I184" s="56">
        <v>130</v>
      </c>
      <c r="J184" s="3" t="str">
        <f>IFERROR(MID(VLOOKUP($B184,Seqs!$A:$B,2,0),K184,1),"")</f>
        <v>N</v>
      </c>
      <c r="K184" s="56">
        <v>134</v>
      </c>
      <c r="L184" s="3" t="str">
        <f>IFERROR(MID(VLOOKUP($B184,Seqs!$A:$B,2,0),M184,1),"")</f>
        <v>G</v>
      </c>
      <c r="M184" s="2">
        <v>135</v>
      </c>
      <c r="N184" s="3" t="str">
        <f>IFERROR(MID(VLOOKUP($B184,Seqs!$A:$B,2,0),O184,1),"")</f>
        <v>A</v>
      </c>
      <c r="O184" s="2">
        <v>164</v>
      </c>
      <c r="P184" s="3" t="str">
        <f>IFERROR(MID(VLOOKUP($B184,Seqs!$A:$B,2,0),Q184,1),"")</f>
        <v>D</v>
      </c>
      <c r="Q184" s="2">
        <v>166</v>
      </c>
      <c r="R184" s="3" t="str">
        <f>IFERROR(MID(VLOOKUP($B184,Seqs!$A:$B,2,0),S184,1),"")</f>
        <v>F</v>
      </c>
      <c r="S184" s="2">
        <v>169</v>
      </c>
      <c r="T184" s="3" t="str">
        <f>IFERROR(MID(VLOOKUP($B184,Seqs!$A:$B,2,0),U184,1),"")</f>
        <v>G</v>
      </c>
      <c r="U184" s="4">
        <v>170</v>
      </c>
      <c r="V184" s="3" t="str">
        <f>IFERROR(MID(VLOOKUP($B184,Seqs!$A:$B,2,0),W184,1),"")</f>
        <v>S</v>
      </c>
      <c r="W184" s="2">
        <v>205</v>
      </c>
      <c r="X184" s="3" t="str">
        <f>IFERROR(MID(VLOOKUP($B184,Seqs!$A:$B,2,0),Y184,1),"")</f>
        <v/>
      </c>
      <c r="Y184" s="2" t="s">
        <v>23</v>
      </c>
      <c r="Z184" s="3" t="str">
        <f>IFERROR(MID(VLOOKUP($B184,Seqs!$A:$B,2,0),AA184,1),"")</f>
        <v/>
      </c>
      <c r="AA184" s="2" t="s">
        <v>23</v>
      </c>
      <c r="AB184" s="3" t="str">
        <f>IFERROR(MID(VLOOKUP($B184,Seqs!$A:$B,2,0),AC184,1),"")</f>
        <v>K</v>
      </c>
      <c r="AC184" s="2">
        <v>216</v>
      </c>
      <c r="AD184" s="3" t="str">
        <f>IFERROR(MID(VLOOKUP($B184,Seqs!$A:$B,2,0),AE184,1),"")</f>
        <v>F</v>
      </c>
      <c r="AE184" s="2">
        <v>240</v>
      </c>
      <c r="AF184" s="3" t="str">
        <f>IFERROR(MID(VLOOKUP($B184,Seqs!$A:$B,2,0),AG184,1),"")</f>
        <v>C</v>
      </c>
      <c r="AG184" s="2">
        <v>255</v>
      </c>
      <c r="AH184" s="3" t="str">
        <f>IFERROR(MID(VLOOKUP($B184,Seqs!$A:$B,2,0),AI184,1),"")</f>
        <v>L</v>
      </c>
      <c r="AI184" s="2">
        <v>257</v>
      </c>
      <c r="AJ184" s="3" t="str">
        <f>IFERROR(MID(VLOOKUP($B184,Seqs!$A:$B,2,0),AK184,1),"")</f>
        <v>T</v>
      </c>
      <c r="AK184" s="2">
        <v>263</v>
      </c>
      <c r="AL184" s="3" t="str">
        <f>IFERROR(MID(VLOOKUP($B184,Seqs!$A:$B,2,0),AM184,1),"")</f>
        <v>K</v>
      </c>
      <c r="AM184" s="2">
        <v>303</v>
      </c>
      <c r="AN184" s="3" t="str">
        <f>IFERROR(MID(VLOOKUP($B184,Seqs!$A:$B,2,0),AO184,1),"")</f>
        <v>N</v>
      </c>
      <c r="AO184" s="2">
        <v>312</v>
      </c>
      <c r="AP184" s="3" t="str">
        <f>IFERROR(MID(VLOOKUP($B184,Seqs!$A:$B,2,0),AQ184,1),"")</f>
        <v>Y</v>
      </c>
      <c r="AQ184" s="2">
        <v>350</v>
      </c>
      <c r="AR184" s="3" t="str">
        <f>IFERROR(MID(VLOOKUP($B184,Seqs!$A:$B,2,0),AS184,1),"")</f>
        <v>R</v>
      </c>
      <c r="AS184" s="2">
        <v>357</v>
      </c>
      <c r="AT184" s="3" t="str">
        <f>IFERROR(MID(VLOOKUP($B184,Seqs!$A:$B,2,0),AU184,1),"")</f>
        <v>V</v>
      </c>
      <c r="AU184" s="2">
        <v>389</v>
      </c>
      <c r="AV184" s="3" t="str">
        <f>IFERROR(MID(VLOOKUP($B184,Seqs!$A:$B,2,0),AW184,1),"")</f>
        <v>S</v>
      </c>
      <c r="AW184" s="2">
        <v>390</v>
      </c>
      <c r="AX184" s="3" t="str">
        <f>IFERROR(MID(VLOOKUP($B184,Seqs!$A:$B,2,0),AY184,1),"")</f>
        <v>C</v>
      </c>
      <c r="AY184" s="2">
        <v>403</v>
      </c>
      <c r="AZ184" s="77" t="str">
        <f>VLOOKUP(B184,Classification!A:D,2,0)</f>
        <v>A</v>
      </c>
      <c r="BA184" s="94" t="str">
        <f>VLOOKUP(B184,Classification!A:D,4,0)</f>
        <v>Endothelin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270</v>
      </c>
      <c r="BD184" s="2" t="s">
        <v>1376</v>
      </c>
      <c r="BE184" s="3" t="s">
        <v>1374</v>
      </c>
      <c r="BF184" s="119">
        <v>2.2000000000000002</v>
      </c>
      <c r="BG184" s="49" t="s">
        <v>1</v>
      </c>
      <c r="BH184" s="49" t="s">
        <v>1</v>
      </c>
      <c r="BI184" s="2"/>
      <c r="BJ184" s="70" t="s">
        <v>1287</v>
      </c>
      <c r="BK184" s="57" t="s">
        <v>1287</v>
      </c>
      <c r="BL184" s="57" t="s">
        <v>1287</v>
      </c>
      <c r="BM184" s="57" t="s">
        <v>1287</v>
      </c>
      <c r="BN184" s="57" t="s">
        <v>1287</v>
      </c>
      <c r="BO184" s="57" t="s">
        <v>1287</v>
      </c>
      <c r="BP184" s="57" t="s">
        <v>1287</v>
      </c>
      <c r="BQ184" s="57" t="s">
        <v>1287</v>
      </c>
      <c r="BR184" s="57" t="s">
        <v>1287</v>
      </c>
      <c r="BS184" s="57" t="s">
        <v>1287</v>
      </c>
      <c r="BT184" s="57" t="s">
        <v>1287</v>
      </c>
      <c r="BU184" s="57" t="s">
        <v>1287</v>
      </c>
      <c r="BV184" s="70">
        <f>E184</f>
        <v>91</v>
      </c>
      <c r="BW184" s="71">
        <f>I184</f>
        <v>130</v>
      </c>
      <c r="BX184" s="72">
        <f>M184</f>
        <v>135</v>
      </c>
      <c r="BY184" s="71">
        <f>Q184</f>
        <v>166</v>
      </c>
      <c r="BZ184" s="72">
        <f>U184</f>
        <v>170</v>
      </c>
      <c r="CA184" s="71" t="str">
        <f>Y184</f>
        <v>-</v>
      </c>
      <c r="CB184" s="72">
        <f>AC184</f>
        <v>216</v>
      </c>
      <c r="CC184" s="71">
        <f>AG184</f>
        <v>255</v>
      </c>
      <c r="CD184" s="72">
        <f>AK184</f>
        <v>263</v>
      </c>
      <c r="CE184" s="71">
        <f>AO184</f>
        <v>312</v>
      </c>
      <c r="CF184" s="72">
        <f>AS184</f>
        <v>357</v>
      </c>
      <c r="CG184" s="71">
        <f>AW184</f>
        <v>390</v>
      </c>
      <c r="CH184" s="70">
        <f>G184</f>
        <v>129</v>
      </c>
      <c r="CI184" s="71">
        <f>K184</f>
        <v>134</v>
      </c>
      <c r="CJ184" s="72">
        <f>O184</f>
        <v>164</v>
      </c>
      <c r="CK184" s="72">
        <f>S184</f>
        <v>169</v>
      </c>
      <c r="CL184" s="72">
        <f>W184</f>
        <v>205</v>
      </c>
      <c r="CM184" s="72" t="str">
        <f>AA184</f>
        <v>-</v>
      </c>
      <c r="CN184" s="72">
        <f>AE184</f>
        <v>240</v>
      </c>
      <c r="CO184" s="72">
        <f>AI184</f>
        <v>257</v>
      </c>
      <c r="CP184" s="72">
        <f>AM184</f>
        <v>303</v>
      </c>
      <c r="CQ184" s="72">
        <f>AQ184</f>
        <v>350</v>
      </c>
      <c r="CR184" s="72">
        <f>AU184</f>
        <v>389</v>
      </c>
      <c r="CS184" s="72">
        <f>AY184</f>
        <v>403</v>
      </c>
      <c r="CT184" s="23">
        <f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>CONCATENATE(B185,"_",C185)</f>
        <v>ednrb_human_5XPR</v>
      </c>
      <c r="B185" s="2" t="s">
        <v>196</v>
      </c>
      <c r="C185" s="2" t="s">
        <v>1439</v>
      </c>
      <c r="D185" s="3" t="str">
        <f>IFERROR(MID(VLOOKUP($B185,Seqs!$A:$B,2,0),E185,1),"")</f>
        <v>G</v>
      </c>
      <c r="E185" s="2">
        <v>92</v>
      </c>
      <c r="F185" s="3" t="str">
        <f>IFERROR(MID(VLOOKUP($B185,Seqs!$A:$B,2,0),G185,1),"")</f>
        <v>N</v>
      </c>
      <c r="G185" s="2">
        <v>129</v>
      </c>
      <c r="H185" s="3" t="str">
        <f>IFERROR(MID(VLOOKUP($B185,Seqs!$A:$B,2,0),I185,1),"")</f>
        <v>K</v>
      </c>
      <c r="I185" s="56">
        <v>130</v>
      </c>
      <c r="J185" s="3" t="str">
        <f>IFERROR(MID(VLOOKUP($B185,Seqs!$A:$B,2,0),K185,1),"")</f>
        <v>N</v>
      </c>
      <c r="K185" s="56">
        <v>134</v>
      </c>
      <c r="L185" s="3" t="str">
        <f>IFERROR(MID(VLOOKUP($B185,Seqs!$A:$B,2,0),M185,1),"")</f>
        <v>G</v>
      </c>
      <c r="M185" s="2">
        <v>135</v>
      </c>
      <c r="N185" s="3" t="str">
        <f>IFERROR(MID(VLOOKUP($B185,Seqs!$A:$B,2,0),O185,1),"")</f>
        <v>A</v>
      </c>
      <c r="O185" s="2">
        <v>164</v>
      </c>
      <c r="P185" s="3" t="str">
        <f>IFERROR(MID(VLOOKUP($B185,Seqs!$A:$B,2,0),Q185,1),"")</f>
        <v>D</v>
      </c>
      <c r="Q185" s="2">
        <v>166</v>
      </c>
      <c r="R185" s="3" t="str">
        <f>IFERROR(MID(VLOOKUP($B185,Seqs!$A:$B,2,0),S185,1),"")</f>
        <v>F</v>
      </c>
      <c r="S185" s="2">
        <v>169</v>
      </c>
      <c r="T185" s="3" t="str">
        <f>IFERROR(MID(VLOOKUP($B185,Seqs!$A:$B,2,0),U185,1),"")</f>
        <v>A</v>
      </c>
      <c r="U185" s="4">
        <v>171</v>
      </c>
      <c r="V185" s="3" t="str">
        <f>IFERROR(MID(VLOOKUP($B185,Seqs!$A:$B,2,0),W185,1),"")</f>
        <v>A</v>
      </c>
      <c r="W185" s="2">
        <v>202</v>
      </c>
      <c r="X185" s="3" t="str">
        <f>IFERROR(MID(VLOOKUP($B185,Seqs!$A:$B,2,0),Y185,1),"")</f>
        <v/>
      </c>
      <c r="Y185" s="2" t="s">
        <v>23</v>
      </c>
      <c r="Z185" s="3" t="str">
        <f>IFERROR(MID(VLOOKUP($B185,Seqs!$A:$B,2,0),AA185,1),"")</f>
        <v/>
      </c>
      <c r="AA185" s="2" t="s">
        <v>23</v>
      </c>
      <c r="AB185" s="3" t="str">
        <f>IFERROR(MID(VLOOKUP($B185,Seqs!$A:$B,2,0),AC185,1),"")</f>
        <v>K</v>
      </c>
      <c r="AC185" s="2">
        <v>216</v>
      </c>
      <c r="AD185" s="3" t="str">
        <f>IFERROR(MID(VLOOKUP($B185,Seqs!$A:$B,2,0),AE185,1),"")</f>
        <v>F</v>
      </c>
      <c r="AE185" s="2">
        <v>240</v>
      </c>
      <c r="AF185" s="3" t="str">
        <f>IFERROR(MID(VLOOKUP($B185,Seqs!$A:$B,2,0),AG185,1),"")</f>
        <v>C</v>
      </c>
      <c r="AG185" s="2">
        <v>255</v>
      </c>
      <c r="AH185" s="3" t="str">
        <f>IFERROR(MID(VLOOKUP($B185,Seqs!$A:$B,2,0),AI185,1),"")</f>
        <v>L</v>
      </c>
      <c r="AI185" s="2">
        <v>257</v>
      </c>
      <c r="AJ185" s="3" t="str">
        <f>IFERROR(MID(VLOOKUP($B185,Seqs!$A:$B,2,0),AK185,1),"")</f>
        <v>T</v>
      </c>
      <c r="AK185" s="2">
        <v>263</v>
      </c>
      <c r="AL185" s="3" t="str">
        <f>IFERROR(MID(VLOOKUP($B185,Seqs!$A:$B,2,0),AM185,1),"")</f>
        <v>K</v>
      </c>
      <c r="AM185" s="2">
        <v>303</v>
      </c>
      <c r="AN185" s="3" t="str">
        <f>IFERROR(MID(VLOOKUP($B185,Seqs!$A:$B,2,0),AO185,1),"")</f>
        <v>N</v>
      </c>
      <c r="AO185" s="2">
        <v>312</v>
      </c>
      <c r="AP185" s="3" t="str">
        <f>IFERROR(MID(VLOOKUP($B185,Seqs!$A:$B,2,0),AQ185,1),"")</f>
        <v>L</v>
      </c>
      <c r="AQ185" s="2">
        <v>349</v>
      </c>
      <c r="AR185" s="3" t="str">
        <f>IFERROR(MID(VLOOKUP($B185,Seqs!$A:$B,2,0),AS185,1),"")</f>
        <v>N</v>
      </c>
      <c r="AS185" s="2">
        <v>356</v>
      </c>
      <c r="AT185" s="3" t="str">
        <f>IFERROR(MID(VLOOKUP($B185,Seqs!$A:$B,2,0),AU185,1),"")</f>
        <v>V</v>
      </c>
      <c r="AU185" s="2">
        <v>389</v>
      </c>
      <c r="AV185" s="3" t="str">
        <f>IFERROR(MID(VLOOKUP($B185,Seqs!$A:$B,2,0),AW185,1),"")</f>
        <v>S</v>
      </c>
      <c r="AW185" s="2">
        <v>390</v>
      </c>
      <c r="AX185" s="3" t="str">
        <f>IFERROR(MID(VLOOKUP($B185,Seqs!$A:$B,2,0),AY185,1),"")</f>
        <v>C</v>
      </c>
      <c r="AY185" s="2">
        <v>402</v>
      </c>
      <c r="AZ185" s="77" t="str">
        <f>VLOOKUP(B185,Classification!A:D,2,0)</f>
        <v>A</v>
      </c>
      <c r="BA185" s="94" t="str">
        <f>VLOOKUP(B185,Classification!A:D,4,0)</f>
        <v>Endothelin</v>
      </c>
      <c r="BB185" s="27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>_xlfn.AGGREGATE(9,6,CH185:CS185)-_xlfn.AGGREGATE(9,6,BV185:CG185)+12</f>
        <v>264</v>
      </c>
      <c r="BD185" s="2" t="s">
        <v>23</v>
      </c>
      <c r="BE185" s="3" t="s">
        <v>1374</v>
      </c>
      <c r="BF185" s="119">
        <v>3.6</v>
      </c>
      <c r="BG185" s="49" t="s">
        <v>1</v>
      </c>
      <c r="BH185" s="49" t="s">
        <v>1</v>
      </c>
      <c r="BI185" s="2"/>
      <c r="BJ185" s="70" t="s">
        <v>1287</v>
      </c>
      <c r="BK185" s="57" t="s">
        <v>1287</v>
      </c>
      <c r="BL185" s="57" t="s">
        <v>1287</v>
      </c>
      <c r="BM185" s="57" t="s">
        <v>1287</v>
      </c>
      <c r="BN185" s="57" t="s">
        <v>1287</v>
      </c>
      <c r="BO185" s="57" t="s">
        <v>1287</v>
      </c>
      <c r="BP185" s="57" t="s">
        <v>1287</v>
      </c>
      <c r="BQ185" s="57" t="s">
        <v>1287</v>
      </c>
      <c r="BR185" s="57" t="s">
        <v>1287</v>
      </c>
      <c r="BS185" s="57" t="s">
        <v>1287</v>
      </c>
      <c r="BT185" s="57" t="s">
        <v>1287</v>
      </c>
      <c r="BU185" s="57" t="s">
        <v>1287</v>
      </c>
      <c r="BV185" s="70">
        <f>E185</f>
        <v>92</v>
      </c>
      <c r="BW185" s="71">
        <f>I185</f>
        <v>130</v>
      </c>
      <c r="BX185" s="72">
        <f>M185</f>
        <v>135</v>
      </c>
      <c r="BY185" s="71">
        <f>Q185</f>
        <v>166</v>
      </c>
      <c r="BZ185" s="72">
        <f>U185</f>
        <v>171</v>
      </c>
      <c r="CA185" s="71" t="str">
        <f>Y185</f>
        <v>-</v>
      </c>
      <c r="CB185" s="72">
        <f>AC185</f>
        <v>216</v>
      </c>
      <c r="CC185" s="71">
        <f>AG185</f>
        <v>255</v>
      </c>
      <c r="CD185" s="72">
        <f>AK185</f>
        <v>263</v>
      </c>
      <c r="CE185" s="71">
        <f>AO185</f>
        <v>312</v>
      </c>
      <c r="CF185" s="72">
        <f>AS185</f>
        <v>356</v>
      </c>
      <c r="CG185" s="71">
        <f>AW185</f>
        <v>390</v>
      </c>
      <c r="CH185" s="70">
        <f>G185</f>
        <v>129</v>
      </c>
      <c r="CI185" s="71">
        <f>K185</f>
        <v>134</v>
      </c>
      <c r="CJ185" s="72">
        <f>O185</f>
        <v>164</v>
      </c>
      <c r="CK185" s="72">
        <f>S185</f>
        <v>169</v>
      </c>
      <c r="CL185" s="72">
        <f>W185</f>
        <v>202</v>
      </c>
      <c r="CM185" s="72" t="str">
        <f>AA185</f>
        <v>-</v>
      </c>
      <c r="CN185" s="72">
        <f>AE185</f>
        <v>240</v>
      </c>
      <c r="CO185" s="72">
        <f>AI185</f>
        <v>257</v>
      </c>
      <c r="CP185" s="72">
        <f>AM185</f>
        <v>303</v>
      </c>
      <c r="CQ185" s="72">
        <f>AQ185</f>
        <v>349</v>
      </c>
      <c r="CR185" s="72">
        <f>AU185</f>
        <v>389</v>
      </c>
      <c r="CS185" s="72">
        <f>AY185</f>
        <v>402</v>
      </c>
      <c r="CT185" s="23">
        <f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s="12" customFormat="1" x14ac:dyDescent="0.2">
      <c r="A186" s="9" t="str">
        <f>CONCATENATE(B186,"_",C186)</f>
        <v>ednrb_human_6IGL</v>
      </c>
      <c r="B186" s="40" t="s">
        <v>196</v>
      </c>
      <c r="C186" s="40" t="s">
        <v>1528</v>
      </c>
      <c r="D186" s="9" t="str">
        <f>IFERROR(MID(VLOOKUP($B186,Seqs!$A:$B,2,0),E186,1),"")</f>
        <v>K</v>
      </c>
      <c r="E186" s="40">
        <v>97</v>
      </c>
      <c r="F186" s="9" t="str">
        <f>IFERROR(MID(VLOOKUP($B186,Seqs!$A:$B,2,0),G186,1),"")</f>
        <v>N</v>
      </c>
      <c r="G186" s="40">
        <v>129</v>
      </c>
      <c r="H186" s="9" t="str">
        <f>IFERROR(MID(VLOOKUP($B186,Seqs!$A:$B,2,0),I186,1),"")</f>
        <v/>
      </c>
      <c r="I186" s="130" t="s">
        <v>23</v>
      </c>
      <c r="J186" s="9" t="str">
        <f>IFERROR(MID(VLOOKUP($B186,Seqs!$A:$B,2,0),K186,1),"")</f>
        <v/>
      </c>
      <c r="K186" s="130" t="s">
        <v>23</v>
      </c>
      <c r="L186" s="9" t="str">
        <f>IFERROR(MID(VLOOKUP($B186,Seqs!$A:$B,2,0),M186,1),"")</f>
        <v>N</v>
      </c>
      <c r="M186" s="40">
        <v>134</v>
      </c>
      <c r="N186" s="9" t="str">
        <f>IFERROR(MID(VLOOKUP($B186,Seqs!$A:$B,2,0),O186,1),"")</f>
        <v>E</v>
      </c>
      <c r="O186" s="40">
        <v>165</v>
      </c>
      <c r="P186" s="9" t="str">
        <f>IFERROR(MID(VLOOKUP($B186,Seqs!$A:$B,2,0),Q186,1),"")</f>
        <v>D</v>
      </c>
      <c r="Q186" s="40">
        <v>166</v>
      </c>
      <c r="R186" s="9" t="str">
        <f>IFERROR(MID(VLOOKUP($B186,Seqs!$A:$B,2,0),S186,1),"")</f>
        <v>F</v>
      </c>
      <c r="S186" s="40">
        <v>169</v>
      </c>
      <c r="T186" s="9" t="str">
        <f>IFERROR(MID(VLOOKUP($B186,Seqs!$A:$B,2,0),U186,1),"")</f>
        <v>G</v>
      </c>
      <c r="U186" s="11">
        <v>170</v>
      </c>
      <c r="V186" s="9" t="str">
        <f>IFERROR(MID(VLOOKUP($B186,Seqs!$A:$B,2,0),W186,1),"")</f>
        <v>V</v>
      </c>
      <c r="W186" s="40">
        <v>203</v>
      </c>
      <c r="X186" s="9" t="str">
        <f>IFERROR(MID(VLOOKUP($B186,Seqs!$A:$B,2,0),Y186,1),"")</f>
        <v/>
      </c>
      <c r="Y186" s="40" t="s">
        <v>23</v>
      </c>
      <c r="Z186" s="9" t="str">
        <f>IFERROR(MID(VLOOKUP($B186,Seqs!$A:$B,2,0),AA186,1),"")</f>
        <v/>
      </c>
      <c r="AA186" s="40" t="s">
        <v>23</v>
      </c>
      <c r="AB186" s="9" t="str">
        <f>IFERROR(MID(VLOOKUP($B186,Seqs!$A:$B,2,0),AC186,1),"")</f>
        <v>W</v>
      </c>
      <c r="AC186" s="40">
        <v>217</v>
      </c>
      <c r="AD186" s="9" t="str">
        <f>IFERROR(MID(VLOOKUP($B186,Seqs!$A:$B,2,0),AE186,1),"")</f>
        <v>F</v>
      </c>
      <c r="AE186" s="40">
        <v>240</v>
      </c>
      <c r="AF186" s="9" t="str">
        <f>IFERROR(MID(VLOOKUP($B186,Seqs!$A:$B,2,0),AG186,1),"")</f>
        <v>C</v>
      </c>
      <c r="AG186" s="40">
        <v>255</v>
      </c>
      <c r="AH186" s="9" t="str">
        <f>IFERROR(MID(VLOOKUP($B186,Seqs!$A:$B,2,0),AI186,1),"")</f>
        <v>L</v>
      </c>
      <c r="AI186" s="40">
        <v>257</v>
      </c>
      <c r="AJ186" s="9" t="str">
        <f>IFERROR(MID(VLOOKUP($B186,Seqs!$A:$B,2,0),AK186,1),"")</f>
        <v>T</v>
      </c>
      <c r="AK186" s="40">
        <v>263</v>
      </c>
      <c r="AL186" s="9" t="str">
        <f>IFERROR(MID(VLOOKUP($B186,Seqs!$A:$B,2,0),AM186,1),"")</f>
        <v>K</v>
      </c>
      <c r="AM186" s="40">
        <v>303</v>
      </c>
      <c r="AN186" s="9" t="str">
        <f>IFERROR(MID(VLOOKUP($B186,Seqs!$A:$B,2,0),AO186,1),"")</f>
        <v>N</v>
      </c>
      <c r="AO186" s="40">
        <v>312</v>
      </c>
      <c r="AP186" s="9" t="str">
        <f>IFERROR(MID(VLOOKUP($B186,Seqs!$A:$B,2,0),AQ186,1),"")</f>
        <v>Y</v>
      </c>
      <c r="AQ186" s="40">
        <v>350</v>
      </c>
      <c r="AR186" s="9" t="str">
        <f>IFERROR(MID(VLOOKUP($B186,Seqs!$A:$B,2,0),AS186,1),"")</f>
        <v>R</v>
      </c>
      <c r="AS186" s="40">
        <v>357</v>
      </c>
      <c r="AT186" s="9" t="str">
        <f>IFERROR(MID(VLOOKUP($B186,Seqs!$A:$B,2,0),AU186,1),"")</f>
        <v>V</v>
      </c>
      <c r="AU186" s="40">
        <v>389</v>
      </c>
      <c r="AV186" s="9" t="str">
        <f>IFERROR(MID(VLOOKUP($B186,Seqs!$A:$B,2,0),AW186,1),"")</f>
        <v>S</v>
      </c>
      <c r="AW186" s="40">
        <v>390</v>
      </c>
      <c r="AX186" s="9" t="str">
        <f>IFERROR(MID(VLOOKUP($B186,Seqs!$A:$B,2,0),AY186,1),"")</f>
        <v>L</v>
      </c>
      <c r="AY186" s="40">
        <v>401</v>
      </c>
      <c r="AZ186" s="110" t="str">
        <f>VLOOKUP(B186,Classification!A:D,2,0)</f>
        <v>A</v>
      </c>
      <c r="BA186" s="98" t="str">
        <f>VLOOKUP(B186,Classification!A:D,4,0)</f>
        <v>Endothelin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257</v>
      </c>
      <c r="BD186" s="40" t="s">
        <v>23</v>
      </c>
      <c r="BE186" s="9" t="s">
        <v>1374</v>
      </c>
      <c r="BF186" s="120">
        <v>2.7</v>
      </c>
      <c r="BG186" s="51" t="s">
        <v>1</v>
      </c>
      <c r="BH186" s="51" t="s">
        <v>1</v>
      </c>
      <c r="BI186" s="40"/>
      <c r="BJ186" s="111" t="s">
        <v>1287</v>
      </c>
      <c r="BK186" s="112" t="s">
        <v>1287</v>
      </c>
      <c r="BL186" s="112" t="s">
        <v>1287</v>
      </c>
      <c r="BM186" s="112" t="s">
        <v>1287</v>
      </c>
      <c r="BN186" s="112" t="s">
        <v>1287</v>
      </c>
      <c r="BO186" s="112" t="s">
        <v>1287</v>
      </c>
      <c r="BP186" s="112" t="s">
        <v>1287</v>
      </c>
      <c r="BQ186" s="112" t="s">
        <v>1287</v>
      </c>
      <c r="BR186" s="112" t="s">
        <v>1287</v>
      </c>
      <c r="BS186" s="112" t="s">
        <v>1287</v>
      </c>
      <c r="BT186" s="112" t="s">
        <v>1287</v>
      </c>
      <c r="BU186" s="112" t="s">
        <v>1287</v>
      </c>
      <c r="BV186" s="111">
        <f>E186</f>
        <v>97</v>
      </c>
      <c r="BW186" s="113" t="str">
        <f>I186</f>
        <v>-</v>
      </c>
      <c r="BX186" s="114">
        <f>M186</f>
        <v>134</v>
      </c>
      <c r="BY186" s="113">
        <f>Q186</f>
        <v>166</v>
      </c>
      <c r="BZ186" s="114">
        <f>U186</f>
        <v>170</v>
      </c>
      <c r="CA186" s="113" t="str">
        <f>Y186</f>
        <v>-</v>
      </c>
      <c r="CB186" s="114">
        <f>AC186</f>
        <v>217</v>
      </c>
      <c r="CC186" s="113">
        <f>AG186</f>
        <v>255</v>
      </c>
      <c r="CD186" s="114">
        <f>AK186</f>
        <v>263</v>
      </c>
      <c r="CE186" s="113">
        <f>AO186</f>
        <v>312</v>
      </c>
      <c r="CF186" s="114">
        <f>AS186</f>
        <v>357</v>
      </c>
      <c r="CG186" s="113">
        <f>AW186</f>
        <v>390</v>
      </c>
      <c r="CH186" s="111">
        <f>G186</f>
        <v>129</v>
      </c>
      <c r="CI186" s="113" t="str">
        <f>K186</f>
        <v>-</v>
      </c>
      <c r="CJ186" s="114">
        <f>O186</f>
        <v>165</v>
      </c>
      <c r="CK186" s="114">
        <f>S186</f>
        <v>169</v>
      </c>
      <c r="CL186" s="114">
        <f>W186</f>
        <v>203</v>
      </c>
      <c r="CM186" s="114" t="str">
        <f>AA186</f>
        <v>-</v>
      </c>
      <c r="CN186" s="114">
        <f>AE186</f>
        <v>240</v>
      </c>
      <c r="CO186" s="114">
        <f>AI186</f>
        <v>257</v>
      </c>
      <c r="CP186" s="114">
        <f>AM186</f>
        <v>303</v>
      </c>
      <c r="CQ186" s="114">
        <f>AQ186</f>
        <v>350</v>
      </c>
      <c r="CR186" s="114">
        <f>AU186</f>
        <v>389</v>
      </c>
      <c r="CS186" s="114">
        <f>AY186</f>
        <v>401</v>
      </c>
      <c r="CT186" s="109" t="e">
        <f>M186-K186</f>
        <v>#VALUE!</v>
      </c>
    </row>
    <row r="187" spans="1:1029" s="12" customFormat="1" x14ac:dyDescent="0.2">
      <c r="A187" s="9" t="str">
        <f>CONCATENATE(B187,"_",C187)</f>
        <v>ednrb_human_6IGK</v>
      </c>
      <c r="B187" s="40" t="s">
        <v>196</v>
      </c>
      <c r="C187" s="40" t="s">
        <v>1529</v>
      </c>
      <c r="D187" s="9" t="str">
        <f>IFERROR(MID(VLOOKUP($B187,Seqs!$A:$B,2,0),E187,1),"")</f>
        <v>K</v>
      </c>
      <c r="E187" s="40">
        <v>97</v>
      </c>
      <c r="F187" s="9" t="str">
        <f>IFERROR(MID(VLOOKUP($B187,Seqs!$A:$B,2,0),G187,1),"")</f>
        <v>N</v>
      </c>
      <c r="G187" s="40">
        <v>129</v>
      </c>
      <c r="H187" s="9" t="str">
        <f>IFERROR(MID(VLOOKUP($B187,Seqs!$A:$B,2,0),I187,1),"")</f>
        <v/>
      </c>
      <c r="I187" s="130" t="s">
        <v>23</v>
      </c>
      <c r="J187" s="9" t="str">
        <f>IFERROR(MID(VLOOKUP($B187,Seqs!$A:$B,2,0),K187,1),"")</f>
        <v/>
      </c>
      <c r="K187" s="130" t="s">
        <v>23</v>
      </c>
      <c r="L187" s="9" t="str">
        <f>IFERROR(MID(VLOOKUP($B187,Seqs!$A:$B,2,0),M187,1),"")</f>
        <v>N</v>
      </c>
      <c r="M187" s="40">
        <v>134</v>
      </c>
      <c r="N187" s="9" t="str">
        <f>IFERROR(MID(VLOOKUP($B187,Seqs!$A:$B,2,0),O187,1),"")</f>
        <v>E</v>
      </c>
      <c r="O187" s="40">
        <v>165</v>
      </c>
      <c r="P187" s="9" t="str">
        <f>IFERROR(MID(VLOOKUP($B187,Seqs!$A:$B,2,0),Q187,1),"")</f>
        <v>D</v>
      </c>
      <c r="Q187" s="40">
        <v>166</v>
      </c>
      <c r="R187" s="9" t="str">
        <f>IFERROR(MID(VLOOKUP($B187,Seqs!$A:$B,2,0),S187,1),"")</f>
        <v>F</v>
      </c>
      <c r="S187" s="40">
        <v>169</v>
      </c>
      <c r="T187" s="9" t="str">
        <f>IFERROR(MID(VLOOKUP($B187,Seqs!$A:$B,2,0),U187,1),"")</f>
        <v>G</v>
      </c>
      <c r="U187" s="11">
        <v>170</v>
      </c>
      <c r="V187" s="9" t="str">
        <f>IFERROR(MID(VLOOKUP($B187,Seqs!$A:$B,2,0),W187,1),"")</f>
        <v>S</v>
      </c>
      <c r="W187" s="40">
        <v>205</v>
      </c>
      <c r="X187" s="9" t="str">
        <f>IFERROR(MID(VLOOKUP($B187,Seqs!$A:$B,2,0),Y187,1),"")</f>
        <v/>
      </c>
      <c r="Y187" s="40" t="s">
        <v>23</v>
      </c>
      <c r="Z187" s="9" t="str">
        <f>IFERROR(MID(VLOOKUP($B187,Seqs!$A:$B,2,0),AA187,1),"")</f>
        <v/>
      </c>
      <c r="AA187" s="40" t="s">
        <v>23</v>
      </c>
      <c r="AB187" s="9" t="str">
        <f>IFERROR(MID(VLOOKUP($B187,Seqs!$A:$B,2,0),AC187,1),"")</f>
        <v>P</v>
      </c>
      <c r="AC187" s="40">
        <v>215</v>
      </c>
      <c r="AD187" s="9" t="str">
        <f>IFERROR(MID(VLOOKUP($B187,Seqs!$A:$B,2,0),AE187,1),"")</f>
        <v>F</v>
      </c>
      <c r="AE187" s="40">
        <v>240</v>
      </c>
      <c r="AF187" s="9" t="str">
        <f>IFERROR(MID(VLOOKUP($B187,Seqs!$A:$B,2,0),AG187,1),"")</f>
        <v>C</v>
      </c>
      <c r="AG187" s="40">
        <v>255</v>
      </c>
      <c r="AH187" s="9" t="str">
        <f>IFERROR(MID(VLOOKUP($B187,Seqs!$A:$B,2,0),AI187,1),"")</f>
        <v>L</v>
      </c>
      <c r="AI187" s="40">
        <v>257</v>
      </c>
      <c r="AJ187" s="9" t="str">
        <f>IFERROR(MID(VLOOKUP($B187,Seqs!$A:$B,2,0),AK187,1),"")</f>
        <v>T</v>
      </c>
      <c r="AK187" s="40">
        <v>263</v>
      </c>
      <c r="AL187" s="9" t="str">
        <f>IFERROR(MID(VLOOKUP($B187,Seqs!$A:$B,2,0),AM187,1),"")</f>
        <v>K</v>
      </c>
      <c r="AM187" s="40">
        <v>303</v>
      </c>
      <c r="AN187" s="9" t="str">
        <f>IFERROR(MID(VLOOKUP($B187,Seqs!$A:$B,2,0),AO187,1),"")</f>
        <v>N</v>
      </c>
      <c r="AO187" s="40">
        <v>312</v>
      </c>
      <c r="AP187" s="9" t="str">
        <f>IFERROR(MID(VLOOKUP($B187,Seqs!$A:$B,2,0),AQ187,1),"")</f>
        <v>Y</v>
      </c>
      <c r="AQ187" s="40">
        <v>350</v>
      </c>
      <c r="AR187" s="9" t="str">
        <f>IFERROR(MID(VLOOKUP($B187,Seqs!$A:$B,2,0),AS187,1),"")</f>
        <v>N</v>
      </c>
      <c r="AS187" s="40">
        <v>356</v>
      </c>
      <c r="AT187" s="9" t="str">
        <f>IFERROR(MID(VLOOKUP($B187,Seqs!$A:$B,2,0),AU187,1),"")</f>
        <v>V</v>
      </c>
      <c r="AU187" s="40">
        <v>389</v>
      </c>
      <c r="AV187" s="9" t="str">
        <f>IFERROR(MID(VLOOKUP($B187,Seqs!$A:$B,2,0),AW187,1),"")</f>
        <v>S</v>
      </c>
      <c r="AW187" s="40">
        <v>390</v>
      </c>
      <c r="AX187" s="9" t="str">
        <f>IFERROR(MID(VLOOKUP($B187,Seqs!$A:$B,2,0),AY187,1),"")</f>
        <v>C</v>
      </c>
      <c r="AY187" s="40">
        <v>402</v>
      </c>
      <c r="AZ187" s="110" t="str">
        <f>VLOOKUP(B187,Classification!A:D,2,0)</f>
        <v>A</v>
      </c>
      <c r="BA187" s="98" t="str">
        <f>VLOOKUP(B187,Classification!A:D,4,0)</f>
        <v>Endothelin</v>
      </c>
      <c r="BB187" s="36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>_xlfn.AGGREGATE(9,6,CH187:CS187)-_xlfn.AGGREGATE(9,6,BV187:CG187)+12</f>
        <v>263</v>
      </c>
      <c r="BD187" s="40" t="s">
        <v>23</v>
      </c>
      <c r="BE187" s="9" t="s">
        <v>1374</v>
      </c>
      <c r="BF187" s="120">
        <v>2</v>
      </c>
      <c r="BG187" s="51" t="s">
        <v>1</v>
      </c>
      <c r="BH187" s="51" t="s">
        <v>1</v>
      </c>
      <c r="BI187" s="40"/>
      <c r="BJ187" s="111" t="s">
        <v>1287</v>
      </c>
      <c r="BK187" s="112" t="s">
        <v>1287</v>
      </c>
      <c r="BL187" s="112" t="s">
        <v>1287</v>
      </c>
      <c r="BM187" s="112" t="s">
        <v>1287</v>
      </c>
      <c r="BN187" s="112" t="s">
        <v>1287</v>
      </c>
      <c r="BO187" s="112" t="s">
        <v>1287</v>
      </c>
      <c r="BP187" s="112" t="s">
        <v>1287</v>
      </c>
      <c r="BQ187" s="112" t="s">
        <v>1287</v>
      </c>
      <c r="BR187" s="112" t="s">
        <v>1287</v>
      </c>
      <c r="BS187" s="112" t="s">
        <v>1287</v>
      </c>
      <c r="BT187" s="112" t="s">
        <v>1287</v>
      </c>
      <c r="BU187" s="112" t="s">
        <v>1287</v>
      </c>
      <c r="BV187" s="111">
        <f>E187</f>
        <v>97</v>
      </c>
      <c r="BW187" s="113" t="str">
        <f>I187</f>
        <v>-</v>
      </c>
      <c r="BX187" s="114">
        <f>M187</f>
        <v>134</v>
      </c>
      <c r="BY187" s="113">
        <f>Q187</f>
        <v>166</v>
      </c>
      <c r="BZ187" s="114">
        <f>U187</f>
        <v>170</v>
      </c>
      <c r="CA187" s="113" t="str">
        <f>Y187</f>
        <v>-</v>
      </c>
      <c r="CB187" s="114">
        <f>AC187</f>
        <v>215</v>
      </c>
      <c r="CC187" s="113">
        <f>AG187</f>
        <v>255</v>
      </c>
      <c r="CD187" s="114">
        <f>AK187</f>
        <v>263</v>
      </c>
      <c r="CE187" s="113">
        <f>AO187</f>
        <v>312</v>
      </c>
      <c r="CF187" s="114">
        <f>AS187</f>
        <v>356</v>
      </c>
      <c r="CG187" s="113">
        <f>AW187</f>
        <v>390</v>
      </c>
      <c r="CH187" s="111">
        <f>G187</f>
        <v>129</v>
      </c>
      <c r="CI187" s="113" t="str">
        <f>K187</f>
        <v>-</v>
      </c>
      <c r="CJ187" s="114">
        <f>O187</f>
        <v>165</v>
      </c>
      <c r="CK187" s="114">
        <f>S187</f>
        <v>169</v>
      </c>
      <c r="CL187" s="114">
        <f>W187</f>
        <v>205</v>
      </c>
      <c r="CM187" s="114" t="str">
        <f>AA187</f>
        <v>-</v>
      </c>
      <c r="CN187" s="114">
        <f>AE187</f>
        <v>240</v>
      </c>
      <c r="CO187" s="114">
        <f>AI187</f>
        <v>257</v>
      </c>
      <c r="CP187" s="114">
        <f>AM187</f>
        <v>303</v>
      </c>
      <c r="CQ187" s="114">
        <f>AQ187</f>
        <v>350</v>
      </c>
      <c r="CR187" s="114">
        <f>AU187</f>
        <v>389</v>
      </c>
      <c r="CS187" s="114">
        <f>AY187</f>
        <v>402</v>
      </c>
      <c r="CT187" s="109" t="e">
        <f>M187-K187</f>
        <v>#VALUE!</v>
      </c>
    </row>
    <row r="188" spans="1:1029" s="12" customFormat="1" x14ac:dyDescent="0.2">
      <c r="A188" s="9" t="str">
        <f>CONCATENATE(B188,"_",C188)</f>
        <v>ednrb_human_6K1Q</v>
      </c>
      <c r="B188" s="40" t="s">
        <v>196</v>
      </c>
      <c r="C188" s="40" t="s">
        <v>1586</v>
      </c>
      <c r="D188" s="9" t="str">
        <f>IFERROR(MID(VLOOKUP($B188,Seqs!$A:$B,2,0),E188,1),"")</f>
        <v>Q</v>
      </c>
      <c r="E188" s="40">
        <v>91</v>
      </c>
      <c r="F188" s="9" t="str">
        <f>IFERROR(MID(VLOOKUP($B188,Seqs!$A:$B,2,0),G188,1),"")</f>
        <v>N</v>
      </c>
      <c r="G188" s="40">
        <v>129</v>
      </c>
      <c r="H188" s="9" t="str">
        <f>IFERROR(MID(VLOOKUP($B188,Seqs!$A:$B,2,0),I188,1),"")</f>
        <v/>
      </c>
      <c r="I188" s="130" t="s">
        <v>23</v>
      </c>
      <c r="J188" s="9" t="str">
        <f>IFERROR(MID(VLOOKUP($B188,Seqs!$A:$B,2,0),K188,1),"")</f>
        <v/>
      </c>
      <c r="K188" s="130" t="s">
        <v>23</v>
      </c>
      <c r="L188" s="9" t="str">
        <f>IFERROR(MID(VLOOKUP($B188,Seqs!$A:$B,2,0),M188,1),"")</f>
        <v>N</v>
      </c>
      <c r="M188" s="40">
        <v>134</v>
      </c>
      <c r="N188" s="9" t="str">
        <f>IFERROR(MID(VLOOKUP($B188,Seqs!$A:$B,2,0),O188,1),"")</f>
        <v>A</v>
      </c>
      <c r="O188" s="40">
        <v>164</v>
      </c>
      <c r="P188" s="9" t="str">
        <f>IFERROR(MID(VLOOKUP($B188,Seqs!$A:$B,2,0),Q188,1),"")</f>
        <v>D</v>
      </c>
      <c r="Q188" s="40">
        <v>166</v>
      </c>
      <c r="R188" s="9" t="str">
        <f>IFERROR(MID(VLOOKUP($B188,Seqs!$A:$B,2,0),S188,1),"")</f>
        <v>F</v>
      </c>
      <c r="S188" s="40">
        <v>169</v>
      </c>
      <c r="T188" s="9" t="str">
        <f>IFERROR(MID(VLOOKUP($B188,Seqs!$A:$B,2,0),U188,1),"")</f>
        <v>G</v>
      </c>
      <c r="U188" s="11">
        <v>170</v>
      </c>
      <c r="V188" s="9" t="str">
        <f>IFERROR(MID(VLOOKUP($B188,Seqs!$A:$B,2,0),W188,1),"")</f>
        <v>V</v>
      </c>
      <c r="W188" s="40">
        <v>203</v>
      </c>
      <c r="X188" s="9" t="str">
        <f>IFERROR(MID(VLOOKUP($B188,Seqs!$A:$B,2,0),Y188,1),"")</f>
        <v/>
      </c>
      <c r="Y188" s="40" t="s">
        <v>23</v>
      </c>
      <c r="Z188" s="9" t="str">
        <f>IFERROR(MID(VLOOKUP($B188,Seqs!$A:$B,2,0),AA188,1),"")</f>
        <v/>
      </c>
      <c r="AA188" s="40" t="s">
        <v>23</v>
      </c>
      <c r="AB188" s="9" t="str">
        <f>IFERROR(MID(VLOOKUP($B188,Seqs!$A:$B,2,0),AC188,1),"")</f>
        <v>K</v>
      </c>
      <c r="AC188" s="40">
        <v>216</v>
      </c>
      <c r="AD188" s="9" t="str">
        <f>IFERROR(MID(VLOOKUP($B188,Seqs!$A:$B,2,0),AE188,1),"")</f>
        <v>F</v>
      </c>
      <c r="AE188" s="40">
        <v>240</v>
      </c>
      <c r="AF188" s="9" t="str">
        <f>IFERROR(MID(VLOOKUP($B188,Seqs!$A:$B,2,0),AG188,1),"")</f>
        <v>C</v>
      </c>
      <c r="AG188" s="40">
        <v>255</v>
      </c>
      <c r="AH188" s="9" t="str">
        <f>IFERROR(MID(VLOOKUP($B188,Seqs!$A:$B,2,0),AI188,1),"")</f>
        <v>L</v>
      </c>
      <c r="AI188" s="40">
        <v>257</v>
      </c>
      <c r="AJ188" s="9" t="str">
        <f>IFERROR(MID(VLOOKUP($B188,Seqs!$A:$B,2,0),AK188,1),"")</f>
        <v>T</v>
      </c>
      <c r="AK188" s="40">
        <v>263</v>
      </c>
      <c r="AL188" s="9" t="str">
        <f>IFERROR(MID(VLOOKUP($B188,Seqs!$A:$B,2,0),AM188,1),"")</f>
        <v>K</v>
      </c>
      <c r="AM188" s="40">
        <v>303</v>
      </c>
      <c r="AN188" s="9" t="str">
        <f>IFERROR(MID(VLOOKUP($B188,Seqs!$A:$B,2,0),AO188,1),"")</f>
        <v>N</v>
      </c>
      <c r="AO188" s="40">
        <v>312</v>
      </c>
      <c r="AP188" s="9" t="str">
        <f>IFERROR(MID(VLOOKUP($B188,Seqs!$A:$B,2,0),AQ188,1),"")</f>
        <v>L</v>
      </c>
      <c r="AQ188" s="40">
        <v>349</v>
      </c>
      <c r="AR188" s="9" t="str">
        <f>IFERROR(MID(VLOOKUP($B188,Seqs!$A:$B,2,0),AS188,1),"")</f>
        <v>N</v>
      </c>
      <c r="AS188" s="40">
        <v>356</v>
      </c>
      <c r="AT188" s="9" t="str">
        <f>IFERROR(MID(VLOOKUP($B188,Seqs!$A:$B,2,0),AU188,1),"")</f>
        <v>V</v>
      </c>
      <c r="AU188" s="40">
        <v>389</v>
      </c>
      <c r="AV188" s="9" t="str">
        <f>IFERROR(MID(VLOOKUP($B188,Seqs!$A:$B,2,0),AW188,1),"")</f>
        <v>S</v>
      </c>
      <c r="AW188" s="40">
        <v>390</v>
      </c>
      <c r="AX188" s="9" t="str">
        <f>IFERROR(MID(VLOOKUP($B188,Seqs!$A:$B,2,0),AY188,1),"")</f>
        <v>C</v>
      </c>
      <c r="AY188" s="40">
        <v>403</v>
      </c>
      <c r="AZ188" s="110" t="str">
        <f>VLOOKUP(B188,Classification!A:D,2,0)</f>
        <v>A</v>
      </c>
      <c r="BA188" s="98" t="str">
        <f>VLOOKUP(B188,Classification!A:D,4,0)</f>
        <v>Endothelin</v>
      </c>
      <c r="BB188" s="36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>_xlfn.AGGREGATE(9,6,CH188:CS188)-_xlfn.AGGREGATE(9,6,BV188:CG188)+12</f>
        <v>265</v>
      </c>
      <c r="BD188" s="40" t="s">
        <v>23</v>
      </c>
      <c r="BE188" s="9" t="s">
        <v>1374</v>
      </c>
      <c r="BF188" s="120">
        <v>2.7</v>
      </c>
      <c r="BG188" s="51" t="s">
        <v>1</v>
      </c>
      <c r="BH188" s="51" t="s">
        <v>1</v>
      </c>
      <c r="BI188" s="40"/>
      <c r="BJ188" s="111" t="s">
        <v>1287</v>
      </c>
      <c r="BK188" s="112" t="s">
        <v>1287</v>
      </c>
      <c r="BL188" s="112" t="s">
        <v>1287</v>
      </c>
      <c r="BM188" s="112" t="s">
        <v>1287</v>
      </c>
      <c r="BN188" s="112" t="s">
        <v>1287</v>
      </c>
      <c r="BO188" s="112" t="s">
        <v>1287</v>
      </c>
      <c r="BP188" s="112" t="s">
        <v>1287</v>
      </c>
      <c r="BQ188" s="112" t="s">
        <v>1287</v>
      </c>
      <c r="BR188" s="112" t="s">
        <v>1287</v>
      </c>
      <c r="BS188" s="112" t="s">
        <v>1287</v>
      </c>
      <c r="BT188" s="112" t="s">
        <v>1287</v>
      </c>
      <c r="BU188" s="112" t="s">
        <v>1287</v>
      </c>
      <c r="BV188" s="111">
        <f>E188</f>
        <v>91</v>
      </c>
      <c r="BW188" s="113" t="str">
        <f>I188</f>
        <v>-</v>
      </c>
      <c r="BX188" s="114">
        <f>M188</f>
        <v>134</v>
      </c>
      <c r="BY188" s="113">
        <f>Q188</f>
        <v>166</v>
      </c>
      <c r="BZ188" s="114">
        <f>U188</f>
        <v>170</v>
      </c>
      <c r="CA188" s="113" t="str">
        <f>Y188</f>
        <v>-</v>
      </c>
      <c r="CB188" s="114">
        <f>AC188</f>
        <v>216</v>
      </c>
      <c r="CC188" s="113">
        <f>AG188</f>
        <v>255</v>
      </c>
      <c r="CD188" s="114">
        <f>AK188</f>
        <v>263</v>
      </c>
      <c r="CE188" s="113">
        <f>AO188</f>
        <v>312</v>
      </c>
      <c r="CF188" s="114">
        <f>AS188</f>
        <v>356</v>
      </c>
      <c r="CG188" s="113">
        <f>AW188</f>
        <v>390</v>
      </c>
      <c r="CH188" s="111">
        <f>G188</f>
        <v>129</v>
      </c>
      <c r="CI188" s="113" t="str">
        <f>K188</f>
        <v>-</v>
      </c>
      <c r="CJ188" s="114">
        <f>O188</f>
        <v>164</v>
      </c>
      <c r="CK188" s="114">
        <f>S188</f>
        <v>169</v>
      </c>
      <c r="CL188" s="114">
        <f>W188</f>
        <v>203</v>
      </c>
      <c r="CM188" s="114" t="str">
        <f>AA188</f>
        <v>-</v>
      </c>
      <c r="CN188" s="114">
        <f>AE188</f>
        <v>240</v>
      </c>
      <c r="CO188" s="114">
        <f>AI188</f>
        <v>257</v>
      </c>
      <c r="CP188" s="114">
        <f>AM188</f>
        <v>303</v>
      </c>
      <c r="CQ188" s="114">
        <f>AQ188</f>
        <v>349</v>
      </c>
      <c r="CR188" s="114">
        <f>AU188</f>
        <v>389</v>
      </c>
      <c r="CS188" s="114">
        <f>AY188</f>
        <v>403</v>
      </c>
      <c r="CT188" s="109" t="e">
        <f>M188-K188</f>
        <v>#VALUE!</v>
      </c>
    </row>
    <row r="189" spans="1:1029" x14ac:dyDescent="0.2">
      <c r="A189" s="3" t="str">
        <f t="shared" si="867"/>
        <v>ffar1_human__wt</v>
      </c>
      <c r="B189" s="3" t="s">
        <v>1172</v>
      </c>
      <c r="C189" s="3" t="s">
        <v>100</v>
      </c>
      <c r="D189" s="3" t="str">
        <f>IFERROR(MID(VLOOKUP($B189,Seqs!$A:$B,2,0),E189,1),"")</f>
        <v>P</v>
      </c>
      <c r="E189" s="3">
        <v>4</v>
      </c>
      <c r="F189" s="3" t="str">
        <f>IFERROR(MID(VLOOKUP($B189,Seqs!$A:$B,2,0),G189,1),"")</f>
        <v>R</v>
      </c>
      <c r="G189" s="3">
        <v>37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39</v>
      </c>
      <c r="N189" s="3" t="str">
        <f>IFERROR(MID(VLOOKUP($B189,Seqs!$A:$B,2,0),O189,1),"")</f>
        <v>S</v>
      </c>
      <c r="O189" s="3">
        <v>69</v>
      </c>
      <c r="P189" s="3" t="str">
        <f>IFERROR(MID(VLOOKUP($B189,Seqs!$A:$B,2,0),Q189,1),"")</f>
        <v>A</v>
      </c>
      <c r="Q189" s="3">
        <v>71</v>
      </c>
      <c r="R189" s="3" t="str">
        <f>IFERROR(MID(VLOOKUP($B189,Seqs!$A:$B,2,0),S189,1),"")</f>
        <v>L</v>
      </c>
      <c r="S189" s="3">
        <v>74</v>
      </c>
      <c r="T189" s="3" t="str">
        <f>IFERROR(MID(VLOOKUP($B189,Seqs!$A:$B,2,0),U189,1),"")</f>
        <v>P</v>
      </c>
      <c r="U189" s="3">
        <v>75</v>
      </c>
      <c r="V189" s="3" t="str">
        <f>IFERROR(MID(VLOOKUP($B189,Seqs!$A:$B,2,0),W189,1),"")</f>
        <v>F</v>
      </c>
      <c r="W189" s="3">
        <v>110</v>
      </c>
      <c r="X189" s="3" t="str">
        <f>IFERROR(MID(VLOOKUP($B189,Seqs!$A:$B,2,0),Y189,1),"")</f>
        <v>P</v>
      </c>
      <c r="Y189" s="3">
        <v>111</v>
      </c>
      <c r="Z189" s="3" t="str">
        <f>IFERROR(MID(VLOOKUP($B189,Seqs!$A:$B,2,0),AA189,1),"")</f>
        <v>R</v>
      </c>
      <c r="AA189" s="3">
        <v>118</v>
      </c>
      <c r="AB189" s="3" t="str">
        <f>IFERROR(MID(VLOOKUP($B189,Seqs!$A:$B,2,0),AC189,1),"")</f>
        <v>R</v>
      </c>
      <c r="AC189" s="9">
        <v>119</v>
      </c>
      <c r="AD189" s="3" t="str">
        <f>IFERROR(MID(VLOOKUP($B189,Seqs!$A:$B,2,0),AE189,1),"")</f>
        <v>A</v>
      </c>
      <c r="AE189" s="3">
        <v>146</v>
      </c>
      <c r="AF189" s="3" t="str">
        <f>IFERROR(MID(VLOOKUP($B189,Seqs!$A:$B,2,0),AG189,1),"")</f>
        <v>C</v>
      </c>
      <c r="AG189" s="3">
        <v>170</v>
      </c>
      <c r="AH189" s="3" t="str">
        <f>IFERROR(MID(VLOOKUP($B189,Seqs!$A:$B,2,0),AI189,1),"")</f>
        <v>E</v>
      </c>
      <c r="AI189" s="3">
        <v>172</v>
      </c>
      <c r="AJ189" s="3" t="str">
        <f>IFERROR(MID(VLOOKUP($B189,Seqs!$A:$B,2,0),AK189,1),"")</f>
        <v>D</v>
      </c>
      <c r="AK189" s="3">
        <v>175</v>
      </c>
      <c r="AL189" s="3" t="str">
        <f>IFERROR(MID(VLOOKUP($B189,Seqs!$A:$B,2,0),AM189,1),"")</f>
        <v>R</v>
      </c>
      <c r="AM189" s="3">
        <v>211</v>
      </c>
      <c r="AN189" s="3" t="str">
        <f>IFERROR(MID(VLOOKUP($B189,Seqs!$A:$B,2,0),AO189,1),"")</f>
        <v>R</v>
      </c>
      <c r="AO189" s="3">
        <v>217</v>
      </c>
      <c r="AP189" s="3" t="str">
        <f>IFERROR(MID(VLOOKUP($B189,Seqs!$A:$B,2,0),AQ189,1),"")</f>
        <v>Y</v>
      </c>
      <c r="AQ189" s="3">
        <v>250</v>
      </c>
      <c r="AR189" s="3" t="str">
        <f>IFERROR(MID(VLOOKUP($B189,Seqs!$A:$B,2,0),AS189,1),"")</f>
        <v>G</v>
      </c>
      <c r="AS189" s="3">
        <v>255</v>
      </c>
      <c r="AT189" s="3" t="str">
        <f>IFERROR(MID(VLOOKUP($B189,Seqs!$A:$B,2,0),AU189,1),"")</f>
        <v>L</v>
      </c>
      <c r="AU189" s="3">
        <v>279</v>
      </c>
      <c r="AV189" s="3" t="str">
        <f>IFERROR(MID(VLOOKUP($B189,Seqs!$A:$B,2,0),AW189,1),"")</f>
        <v>G</v>
      </c>
      <c r="AW189" s="3">
        <v>280</v>
      </c>
      <c r="AX189" s="3" t="str">
        <f>IFERROR(MID(VLOOKUP($B189,Seqs!$A:$B,2,0),AY189,1),"")</f>
        <v>Q</v>
      </c>
      <c r="AY189" s="3">
        <v>294</v>
      </c>
      <c r="AZ189" s="77" t="str">
        <f>VLOOKUP(B189,Classification!A:D,2,0)</f>
        <v>A</v>
      </c>
      <c r="BA189" s="94" t="str">
        <f>VLOOKUP(B189,Classification!A:D,4,0)</f>
        <v>Freefattyacid</v>
      </c>
      <c r="BB189" s="27" t="b">
        <f t="shared" si="868"/>
        <v>1</v>
      </c>
      <c r="BC189" s="23">
        <f t="shared" si="1035"/>
        <v>256</v>
      </c>
      <c r="BD189" s="34" t="s">
        <v>23</v>
      </c>
      <c r="BE189" s="3" t="s">
        <v>23</v>
      </c>
      <c r="BF189" s="119" t="s">
        <v>23</v>
      </c>
      <c r="BG189" s="49" t="s">
        <v>1372</v>
      </c>
      <c r="BH189" s="49" t="s">
        <v>1377</v>
      </c>
      <c r="BI189" s="1"/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si="1036"/>
        <v>4</v>
      </c>
      <c r="BW189" s="71" t="str">
        <f t="shared" si="1037"/>
        <v>-</v>
      </c>
      <c r="BX189" s="72">
        <f t="shared" si="1038"/>
        <v>39</v>
      </c>
      <c r="BY189" s="71">
        <f t="shared" si="1039"/>
        <v>71</v>
      </c>
      <c r="BZ189" s="72">
        <f t="shared" si="1040"/>
        <v>75</v>
      </c>
      <c r="CA189" s="71">
        <f t="shared" si="1041"/>
        <v>111</v>
      </c>
      <c r="CB189" s="72">
        <f t="shared" si="1042"/>
        <v>119</v>
      </c>
      <c r="CC189" s="71">
        <f t="shared" si="1043"/>
        <v>170</v>
      </c>
      <c r="CD189" s="72">
        <f t="shared" si="1044"/>
        <v>175</v>
      </c>
      <c r="CE189" s="71">
        <f t="shared" si="1045"/>
        <v>217</v>
      </c>
      <c r="CF189" s="72">
        <f t="shared" si="1046"/>
        <v>255</v>
      </c>
      <c r="CG189" s="71">
        <f t="shared" si="1047"/>
        <v>280</v>
      </c>
      <c r="CH189" s="70">
        <f t="shared" si="1048"/>
        <v>37</v>
      </c>
      <c r="CI189" s="71" t="str">
        <f t="shared" si="1049"/>
        <v>-</v>
      </c>
      <c r="CJ189" s="72">
        <f t="shared" si="1050"/>
        <v>69</v>
      </c>
      <c r="CK189" s="72">
        <f t="shared" si="1051"/>
        <v>74</v>
      </c>
      <c r="CL189" s="72">
        <f t="shared" si="1052"/>
        <v>110</v>
      </c>
      <c r="CM189" s="72">
        <f t="shared" si="1053"/>
        <v>118</v>
      </c>
      <c r="CN189" s="72">
        <f t="shared" si="1054"/>
        <v>146</v>
      </c>
      <c r="CO189" s="72">
        <f t="shared" si="1055"/>
        <v>172</v>
      </c>
      <c r="CP189" s="72">
        <f t="shared" si="1056"/>
        <v>211</v>
      </c>
      <c r="CQ189" s="72">
        <f t="shared" si="1057"/>
        <v>250</v>
      </c>
      <c r="CR189" s="72">
        <f t="shared" si="1058"/>
        <v>279</v>
      </c>
      <c r="CS189" s="72">
        <f t="shared" si="1059"/>
        <v>294</v>
      </c>
      <c r="CT189" s="23" t="e">
        <f t="shared" si="1060"/>
        <v>#VALUE!</v>
      </c>
    </row>
    <row r="190" spans="1:1029" x14ac:dyDescent="0.2">
      <c r="A190" s="3" t="str">
        <f t="shared" si="867"/>
        <v>ffar1_human_4PHU</v>
      </c>
      <c r="B190" s="3" t="s">
        <v>1172</v>
      </c>
      <c r="C190" s="3" t="s">
        <v>52</v>
      </c>
      <c r="D190" s="3" t="str">
        <f>IFERROR(MID(VLOOKUP($B190,Seqs!$A:$B,2,0),E190,1),"")</f>
        <v>P</v>
      </c>
      <c r="E190" s="3">
        <v>4</v>
      </c>
      <c r="F190" s="3" t="str">
        <f>IFERROR(MID(VLOOKUP($B190,Seqs!$A:$B,2,0),G190,1),"")</f>
        <v>R</v>
      </c>
      <c r="G190" s="3">
        <v>37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T</v>
      </c>
      <c r="M190" s="3">
        <v>39</v>
      </c>
      <c r="N190" s="3" t="str">
        <f>IFERROR(MID(VLOOKUP($B190,Seqs!$A:$B,2,0),O190,1),"")</f>
        <v>S</v>
      </c>
      <c r="O190" s="3">
        <v>69</v>
      </c>
      <c r="P190" s="3" t="str">
        <f>IFERROR(MID(VLOOKUP($B190,Seqs!$A:$B,2,0),Q190,1),"")</f>
        <v>A</v>
      </c>
      <c r="Q190" s="3">
        <v>71</v>
      </c>
      <c r="R190" s="3" t="str">
        <f>IFERROR(MID(VLOOKUP($B190,Seqs!$A:$B,2,0),S190,1),"")</f>
        <v>L</v>
      </c>
      <c r="S190" s="3">
        <v>74</v>
      </c>
      <c r="T190" s="3" t="str">
        <f>IFERROR(MID(VLOOKUP($B190,Seqs!$A:$B,2,0),U190,1),"")</f>
        <v>P</v>
      </c>
      <c r="U190" s="3">
        <v>75</v>
      </c>
      <c r="V190" s="3" t="str">
        <f>IFERROR(MID(VLOOKUP($B190,Seqs!$A:$B,2,0),W190,1),"")</f>
        <v>F</v>
      </c>
      <c r="W190" s="3">
        <v>110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C</v>
      </c>
      <c r="AC190" s="9">
        <v>121</v>
      </c>
      <c r="AD190" s="3" t="str">
        <f>IFERROR(MID(VLOOKUP($B190,Seqs!$A:$B,2,0),AE190,1),"")</f>
        <v>A</v>
      </c>
      <c r="AE190" s="3">
        <v>146</v>
      </c>
      <c r="AF190" s="3" t="str">
        <f>IFERROR(MID(VLOOKUP($B190,Seqs!$A:$B,2,0),AG190,1),"")</f>
        <v>C</v>
      </c>
      <c r="AG190" s="3">
        <v>170</v>
      </c>
      <c r="AH190" s="3" t="str">
        <f>IFERROR(MID(VLOOKUP($B190,Seqs!$A:$B,2,0),AI190,1),"")</f>
        <v>E</v>
      </c>
      <c r="AI190" s="3">
        <v>172</v>
      </c>
      <c r="AJ190" s="3" t="str">
        <f>IFERROR(MID(VLOOKUP($B190,Seqs!$A:$B,2,0),AK190,1),"")</f>
        <v>D</v>
      </c>
      <c r="AK190" s="3">
        <v>175</v>
      </c>
      <c r="AL190" s="3" t="str">
        <f>IFERROR(MID(VLOOKUP($B190,Seqs!$A:$B,2,0),AM190,1),"")</f>
        <v>R</v>
      </c>
      <c r="AM190" s="3">
        <v>211</v>
      </c>
      <c r="AN190" s="3" t="str">
        <f>IFERROR(MID(VLOOKUP($B190,Seqs!$A:$B,2,0),AO190,1),"")</f>
        <v/>
      </c>
      <c r="AO190" s="3">
        <v>2214</v>
      </c>
      <c r="AP190" s="3" t="str">
        <f>IFERROR(MID(VLOOKUP($B190,Seqs!$A:$B,2,0),AQ190,1),"")</f>
        <v/>
      </c>
      <c r="AQ190" s="3">
        <v>2250</v>
      </c>
      <c r="AR190" s="3" t="str">
        <f>IFERROR(MID(VLOOKUP($B190,Seqs!$A:$B,2,0),AS190,1),"")</f>
        <v/>
      </c>
      <c r="AS190" s="3">
        <v>2255</v>
      </c>
      <c r="AT190" s="3" t="str">
        <f>IFERROR(MID(VLOOKUP($B190,Seqs!$A:$B,2,0),AU190,1),"")</f>
        <v/>
      </c>
      <c r="AU190" s="3">
        <v>2276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Freefattyacid</v>
      </c>
      <c r="BB190" s="27" t="b">
        <f t="shared" si="868"/>
        <v>1</v>
      </c>
      <c r="BC190" s="23">
        <f t="shared" si="1035"/>
        <v>233</v>
      </c>
      <c r="BD190" s="16" t="s">
        <v>23</v>
      </c>
      <c r="BE190" s="3" t="s">
        <v>1428</v>
      </c>
      <c r="BF190" s="119">
        <v>2.33</v>
      </c>
      <c r="BG190" s="49" t="s">
        <v>1377</v>
      </c>
      <c r="BH190" s="49" t="s">
        <v>1377</v>
      </c>
      <c r="BI190" s="1"/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si="1036"/>
        <v>4</v>
      </c>
      <c r="BW190" s="71" t="str">
        <f t="shared" si="1037"/>
        <v>-</v>
      </c>
      <c r="BX190" s="72">
        <f t="shared" si="1038"/>
        <v>39</v>
      </c>
      <c r="BY190" s="71">
        <f t="shared" si="1039"/>
        <v>71</v>
      </c>
      <c r="BZ190" s="72">
        <f t="shared" si="1040"/>
        <v>75</v>
      </c>
      <c r="CA190" s="71" t="str">
        <f t="shared" si="1041"/>
        <v>-</v>
      </c>
      <c r="CB190" s="72">
        <f t="shared" si="1042"/>
        <v>121</v>
      </c>
      <c r="CC190" s="71">
        <f t="shared" si="1043"/>
        <v>170</v>
      </c>
      <c r="CD190" s="72">
        <f t="shared" si="1044"/>
        <v>175</v>
      </c>
      <c r="CE190" s="71">
        <f t="shared" si="1045"/>
        <v>2214</v>
      </c>
      <c r="CF190" s="72">
        <f t="shared" si="1046"/>
        <v>2255</v>
      </c>
      <c r="CG190" s="71" t="str">
        <f t="shared" si="1047"/>
        <v>-</v>
      </c>
      <c r="CH190" s="70">
        <f t="shared" si="1048"/>
        <v>37</v>
      </c>
      <c r="CI190" s="71" t="str">
        <f t="shared" si="1049"/>
        <v>-</v>
      </c>
      <c r="CJ190" s="72">
        <f t="shared" si="1050"/>
        <v>69</v>
      </c>
      <c r="CK190" s="72">
        <f t="shared" si="1051"/>
        <v>74</v>
      </c>
      <c r="CL190" s="72">
        <f t="shared" si="1052"/>
        <v>110</v>
      </c>
      <c r="CM190" s="72" t="str">
        <f t="shared" si="1053"/>
        <v>-</v>
      </c>
      <c r="CN190" s="72">
        <f t="shared" si="1054"/>
        <v>146</v>
      </c>
      <c r="CO190" s="72">
        <f t="shared" si="1055"/>
        <v>172</v>
      </c>
      <c r="CP190" s="72">
        <f t="shared" si="1056"/>
        <v>211</v>
      </c>
      <c r="CQ190" s="72">
        <f t="shared" si="1057"/>
        <v>2250</v>
      </c>
      <c r="CR190" s="72">
        <f t="shared" si="1058"/>
        <v>2276</v>
      </c>
      <c r="CS190" s="72" t="str">
        <f t="shared" si="1059"/>
        <v>-</v>
      </c>
      <c r="CT190" s="23" t="e">
        <f t="shared" si="1060"/>
        <v>#VALUE!</v>
      </c>
    </row>
    <row r="191" spans="1:1029" x14ac:dyDescent="0.2">
      <c r="A191" s="3" t="str">
        <f>CONCATENATE(B191,"_",C191)</f>
        <v>ffar1_human_5KW2</v>
      </c>
      <c r="B191" s="3" t="s">
        <v>1172</v>
      </c>
      <c r="C191" s="3" t="s">
        <v>1491</v>
      </c>
      <c r="D191" s="3" t="str">
        <f>IFERROR(MID(VLOOKUP($B191,Seqs!$A:$B,2,0),E191,1),"")</f>
        <v>P</v>
      </c>
      <c r="E191" s="3">
        <v>4</v>
      </c>
      <c r="F191" s="3" t="str">
        <f>IFERROR(MID(VLOOKUP($B191,Seqs!$A:$B,2,0),G191,1),"")</f>
        <v>A</v>
      </c>
      <c r="G191" s="3">
        <v>32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T</v>
      </c>
      <c r="M191" s="3">
        <v>39</v>
      </c>
      <c r="N191" s="3" t="str">
        <f>IFERROR(MID(VLOOKUP($B191,Seqs!$A:$B,2,0),O191,1),"")</f>
        <v>S</v>
      </c>
      <c r="O191" s="3">
        <v>69</v>
      </c>
      <c r="P191" s="3" t="str">
        <f>IFERROR(MID(VLOOKUP($B191,Seqs!$A:$B,2,0),Q191,1),"")</f>
        <v>A</v>
      </c>
      <c r="Q191" s="3">
        <v>71</v>
      </c>
      <c r="R191" s="3" t="str">
        <f>IFERROR(MID(VLOOKUP($B191,Seqs!$A:$B,2,0),S191,1),"")</f>
        <v>L</v>
      </c>
      <c r="S191" s="3">
        <v>74</v>
      </c>
      <c r="T191" s="3" t="str">
        <f>IFERROR(MID(VLOOKUP($B191,Seqs!$A:$B,2,0),U191,1),"")</f>
        <v>P</v>
      </c>
      <c r="U191" s="3">
        <v>75</v>
      </c>
      <c r="V191" s="3" t="str">
        <f>IFERROR(MID(VLOOKUP($B191,Seqs!$A:$B,2,0),W191,1),"")</f>
        <v>F</v>
      </c>
      <c r="W191" s="3">
        <v>110</v>
      </c>
      <c r="X191" s="3" t="str">
        <f>IFERROR(MID(VLOOKUP($B191,Seqs!$A:$B,2,0),Y191,1),"")</f>
        <v>P</v>
      </c>
      <c r="Y191" s="3">
        <v>111</v>
      </c>
      <c r="Z191" s="3" t="str">
        <f>IFERROR(MID(VLOOKUP($B191,Seqs!$A:$B,2,0),AA191,1),"")</f>
        <v>R</v>
      </c>
      <c r="AA191" s="3">
        <v>118</v>
      </c>
      <c r="AB191" s="3" t="str">
        <f>IFERROR(MID(VLOOKUP($B191,Seqs!$A:$B,2,0),AC191,1),"")</f>
        <v>R</v>
      </c>
      <c r="AC191" s="3">
        <v>119</v>
      </c>
      <c r="AD191" s="3" t="str">
        <f>IFERROR(MID(VLOOKUP($B191,Seqs!$A:$B,2,0),AE191,1),"")</f>
        <v>E</v>
      </c>
      <c r="AE191" s="3">
        <v>145</v>
      </c>
      <c r="AF191" s="3" t="str">
        <f>IFERROR(MID(VLOOKUP($B191,Seqs!$A:$B,2,0),AG191,1),"")</f>
        <v>C</v>
      </c>
      <c r="AG191" s="3">
        <v>170</v>
      </c>
      <c r="AH191" s="3" t="str">
        <f>IFERROR(MID(VLOOKUP($B191,Seqs!$A:$B,2,0),AI191,1),"")</f>
        <v>E</v>
      </c>
      <c r="AI191" s="3">
        <v>172</v>
      </c>
      <c r="AJ191" s="3" t="str">
        <f>IFERROR(MID(VLOOKUP($B191,Seqs!$A:$B,2,0),AK191,1),"")</f>
        <v>G</v>
      </c>
      <c r="AK191" s="3">
        <v>180</v>
      </c>
      <c r="AL191" s="3" t="str">
        <f>IFERROR(MID(VLOOKUP($B191,Seqs!$A:$B,2,0),AM191,1),"")</f>
        <v>R</v>
      </c>
      <c r="AM191" s="3">
        <v>211</v>
      </c>
      <c r="AN191" s="3" t="str">
        <f>IFERROR(MID(VLOOKUP($B191,Seqs!$A:$B,2,0),AO191,1),"")</f>
        <v/>
      </c>
      <c r="AO191" s="3">
        <v>2215</v>
      </c>
      <c r="AP191" s="3" t="str">
        <f>IFERROR(MID(VLOOKUP($B191,Seqs!$A:$B,2,0),AQ191,1),"")</f>
        <v/>
      </c>
      <c r="AQ191" s="3">
        <v>2249</v>
      </c>
      <c r="AR191" s="3" t="str">
        <f>IFERROR(MID(VLOOKUP($B191,Seqs!$A:$B,2,0),AS191,1),"")</f>
        <v/>
      </c>
      <c r="AS191" s="3">
        <v>2254</v>
      </c>
      <c r="AT191" s="3" t="str">
        <f>IFERROR(MID(VLOOKUP($B191,Seqs!$A:$B,2,0),AU191,1),"")</f>
        <v/>
      </c>
      <c r="AU191" s="3">
        <v>2275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Freefattyacid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229</v>
      </c>
      <c r="BD191" s="16" t="s">
        <v>23</v>
      </c>
      <c r="BE191" s="3" t="s">
        <v>1428</v>
      </c>
      <c r="BF191" s="119">
        <v>2.76</v>
      </c>
      <c r="BG191" s="49" t="s">
        <v>1</v>
      </c>
      <c r="BH191" s="49" t="s">
        <v>1</v>
      </c>
      <c r="BI191" s="1"/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>E191</f>
        <v>4</v>
      </c>
      <c r="BW191" s="71" t="str">
        <f>I191</f>
        <v>-</v>
      </c>
      <c r="BX191" s="72">
        <f>M191</f>
        <v>39</v>
      </c>
      <c r="BY191" s="71">
        <f>Q191</f>
        <v>71</v>
      </c>
      <c r="BZ191" s="72">
        <f>U191</f>
        <v>75</v>
      </c>
      <c r="CA191" s="71">
        <f>Y191</f>
        <v>111</v>
      </c>
      <c r="CB191" s="72">
        <f>AC191</f>
        <v>119</v>
      </c>
      <c r="CC191" s="71">
        <f>AG191</f>
        <v>170</v>
      </c>
      <c r="CD191" s="72">
        <f>AK191</f>
        <v>180</v>
      </c>
      <c r="CE191" s="71">
        <f>AO191</f>
        <v>2215</v>
      </c>
      <c r="CF191" s="72">
        <f>AS191</f>
        <v>2254</v>
      </c>
      <c r="CG191" s="71" t="str">
        <f>AW191</f>
        <v>-</v>
      </c>
      <c r="CH191" s="70">
        <f>G191</f>
        <v>32</v>
      </c>
      <c r="CI191" s="71" t="str">
        <f>K191</f>
        <v>-</v>
      </c>
      <c r="CJ191" s="72">
        <f>O191</f>
        <v>69</v>
      </c>
      <c r="CK191" s="72">
        <f>S191</f>
        <v>74</v>
      </c>
      <c r="CL191" s="72">
        <f>W191</f>
        <v>110</v>
      </c>
      <c r="CM191" s="72">
        <f>AA191</f>
        <v>118</v>
      </c>
      <c r="CN191" s="72">
        <f>AE191</f>
        <v>145</v>
      </c>
      <c r="CO191" s="72">
        <f>AI191</f>
        <v>172</v>
      </c>
      <c r="CP191" s="72">
        <f>AM191</f>
        <v>211</v>
      </c>
      <c r="CQ191" s="72">
        <f>AQ191</f>
        <v>2249</v>
      </c>
      <c r="CR191" s="72">
        <f>AU191</f>
        <v>2275</v>
      </c>
      <c r="CS191" s="72" t="str">
        <f>AY191</f>
        <v>-</v>
      </c>
      <c r="CT191" s="23" t="e">
        <f>M191-K191</f>
        <v>#VALUE!</v>
      </c>
    </row>
    <row r="192" spans="1:1029" x14ac:dyDescent="0.2">
      <c r="A192" s="3" t="str">
        <f>CONCATENATE(B192,"_",C192)</f>
        <v>ffar1_human_5TZR</v>
      </c>
      <c r="B192" s="3" t="s">
        <v>1172</v>
      </c>
      <c r="C192" s="3" t="s">
        <v>1416</v>
      </c>
      <c r="D192" s="3" t="str">
        <f>IFERROR(MID(VLOOKUP($B192,Seqs!$A:$B,2,0),E192,1),"")</f>
        <v>P</v>
      </c>
      <c r="E192" s="3">
        <v>4</v>
      </c>
      <c r="F192" s="3" t="str">
        <f>IFERROR(MID(VLOOKUP($B192,Seqs!$A:$B,2,0),G192,1),"")</f>
        <v>R</v>
      </c>
      <c r="G192" s="3">
        <v>37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T</v>
      </c>
      <c r="M192" s="3">
        <v>39</v>
      </c>
      <c r="N192" s="3" t="str">
        <f>IFERROR(MID(VLOOKUP($B192,Seqs!$A:$B,2,0),O192,1),"")</f>
        <v>S</v>
      </c>
      <c r="O192" s="3">
        <v>69</v>
      </c>
      <c r="P192" s="3" t="str">
        <f>IFERROR(MID(VLOOKUP($B192,Seqs!$A:$B,2,0),Q192,1),"")</f>
        <v>A</v>
      </c>
      <c r="Q192" s="3">
        <v>71</v>
      </c>
      <c r="R192" s="3" t="str">
        <f>IFERROR(MID(VLOOKUP($B192,Seqs!$A:$B,2,0),S192,1),"")</f>
        <v>L</v>
      </c>
      <c r="S192" s="3">
        <v>74</v>
      </c>
      <c r="T192" s="3" t="str">
        <f>IFERROR(MID(VLOOKUP($B192,Seqs!$A:$B,2,0),U192,1),"")</f>
        <v>P</v>
      </c>
      <c r="U192" s="3">
        <v>75</v>
      </c>
      <c r="V192" s="3" t="str">
        <f>IFERROR(MID(VLOOKUP($B192,Seqs!$A:$B,2,0),W192,1),"")</f>
        <v>F</v>
      </c>
      <c r="W192" s="3">
        <v>110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C</v>
      </c>
      <c r="AC192" s="3">
        <v>121</v>
      </c>
      <c r="AD192" s="3" t="str">
        <f>IFERROR(MID(VLOOKUP($B192,Seqs!$A:$B,2,0),AE192,1),"")</f>
        <v>A</v>
      </c>
      <c r="AE192" s="3">
        <v>146</v>
      </c>
      <c r="AF192" s="3" t="str">
        <f>IFERROR(MID(VLOOKUP($B192,Seqs!$A:$B,2,0),AG192,1),"")</f>
        <v>C</v>
      </c>
      <c r="AG192" s="3">
        <v>170</v>
      </c>
      <c r="AH192" s="3" t="str">
        <f>IFERROR(MID(VLOOKUP($B192,Seqs!$A:$B,2,0),AI192,1),"")</f>
        <v>E</v>
      </c>
      <c r="AI192" s="3">
        <v>172</v>
      </c>
      <c r="AJ192" s="3" t="str">
        <f>IFERROR(MID(VLOOKUP($B192,Seqs!$A:$B,2,0),AK192,1),"")</f>
        <v>D</v>
      </c>
      <c r="AK192" s="3">
        <v>175</v>
      </c>
      <c r="AL192" s="3" t="str">
        <f>IFERROR(MID(VLOOKUP($B192,Seqs!$A:$B,2,0),AM192,1),"")</f>
        <v>R</v>
      </c>
      <c r="AM192" s="3">
        <v>211</v>
      </c>
      <c r="AN192" s="3" t="str">
        <f>IFERROR(MID(VLOOKUP($B192,Seqs!$A:$B,2,0),AO192,1),"")</f>
        <v/>
      </c>
      <c r="AO192" s="3">
        <v>2214</v>
      </c>
      <c r="AP192" s="3" t="str">
        <f>IFERROR(MID(VLOOKUP($B192,Seqs!$A:$B,2,0),AQ192,1),"")</f>
        <v/>
      </c>
      <c r="AQ192" s="3">
        <v>2250</v>
      </c>
      <c r="AR192" s="3" t="str">
        <f>IFERROR(MID(VLOOKUP($B192,Seqs!$A:$B,2,0),AS192,1),"")</f>
        <v/>
      </c>
      <c r="AS192" s="3">
        <v>2255</v>
      </c>
      <c r="AT192" s="3" t="str">
        <f>IFERROR(MID(VLOOKUP($B192,Seqs!$A:$B,2,0),AU192,1),"")</f>
        <v/>
      </c>
      <c r="AU192" s="3">
        <v>2276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Freefattyacid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233</v>
      </c>
      <c r="BD192" s="16" t="s">
        <v>23</v>
      </c>
      <c r="BE192" s="3" t="s">
        <v>1428</v>
      </c>
      <c r="BF192" s="119">
        <v>2.2000000000000002</v>
      </c>
      <c r="BG192" s="49" t="s">
        <v>1</v>
      </c>
      <c r="BH192" s="49" t="s">
        <v>1</v>
      </c>
      <c r="BI192" s="1"/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>E192</f>
        <v>4</v>
      </c>
      <c r="BW192" s="71" t="str">
        <f>I192</f>
        <v>-</v>
      </c>
      <c r="BX192" s="72">
        <f>M192</f>
        <v>39</v>
      </c>
      <c r="BY192" s="71">
        <f>Q192</f>
        <v>71</v>
      </c>
      <c r="BZ192" s="72">
        <f>U192</f>
        <v>75</v>
      </c>
      <c r="CA192" s="71" t="str">
        <f>Y192</f>
        <v>-</v>
      </c>
      <c r="CB192" s="72">
        <f>AC192</f>
        <v>121</v>
      </c>
      <c r="CC192" s="71">
        <f>AG192</f>
        <v>170</v>
      </c>
      <c r="CD192" s="72">
        <f>AK192</f>
        <v>175</v>
      </c>
      <c r="CE192" s="71">
        <f>AO192</f>
        <v>2214</v>
      </c>
      <c r="CF192" s="72">
        <f>AS192</f>
        <v>2255</v>
      </c>
      <c r="CG192" s="71" t="str">
        <f>AW192</f>
        <v>-</v>
      </c>
      <c r="CH192" s="70">
        <f>G192</f>
        <v>37</v>
      </c>
      <c r="CI192" s="71" t="str">
        <f>K192</f>
        <v>-</v>
      </c>
      <c r="CJ192" s="72">
        <f>O192</f>
        <v>69</v>
      </c>
      <c r="CK192" s="72">
        <f>S192</f>
        <v>74</v>
      </c>
      <c r="CL192" s="72">
        <f>W192</f>
        <v>110</v>
      </c>
      <c r="CM192" s="72" t="str">
        <f>AA192</f>
        <v>-</v>
      </c>
      <c r="CN192" s="72">
        <f>AE192</f>
        <v>146</v>
      </c>
      <c r="CO192" s="72">
        <f>AI192</f>
        <v>172</v>
      </c>
      <c r="CP192" s="72">
        <f>AM192</f>
        <v>211</v>
      </c>
      <c r="CQ192" s="72">
        <f>AQ192</f>
        <v>2250</v>
      </c>
      <c r="CR192" s="72">
        <f>AU192</f>
        <v>2276</v>
      </c>
      <c r="CS192" s="72" t="str">
        <f>AY192</f>
        <v>-</v>
      </c>
      <c r="CT192" s="23" t="e">
        <f>M192-K192</f>
        <v>#VALUE!</v>
      </c>
    </row>
    <row r="193" spans="1:1029" x14ac:dyDescent="0.2">
      <c r="A193" s="3" t="str">
        <f>CONCATENATE(B193,"_",C193)</f>
        <v>ffar1_human_5TZY</v>
      </c>
      <c r="B193" s="3" t="s">
        <v>1172</v>
      </c>
      <c r="C193" s="3" t="s">
        <v>1417</v>
      </c>
      <c r="D193" s="3" t="str">
        <f>IFERROR(MID(VLOOKUP($B193,Seqs!$A:$B,2,0),E193,1),"")</f>
        <v>P</v>
      </c>
      <c r="E193" s="3">
        <v>4</v>
      </c>
      <c r="F193" s="3" t="str">
        <f>IFERROR(MID(VLOOKUP($B193,Seqs!$A:$B,2,0),G193,1),"")</f>
        <v>R</v>
      </c>
      <c r="G193" s="3">
        <v>37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T</v>
      </c>
      <c r="M193" s="3">
        <v>39</v>
      </c>
      <c r="N193" s="3" t="str">
        <f>IFERROR(MID(VLOOKUP($B193,Seqs!$A:$B,2,0),O193,1),"")</f>
        <v>A</v>
      </c>
      <c r="O193" s="3">
        <v>68</v>
      </c>
      <c r="P193" s="3" t="str">
        <f>IFERROR(MID(VLOOKUP($B193,Seqs!$A:$B,2,0),Q193,1),"")</f>
        <v>A</v>
      </c>
      <c r="Q193" s="3">
        <v>71</v>
      </c>
      <c r="R193" s="3" t="str">
        <f>IFERROR(MID(VLOOKUP($B193,Seqs!$A:$B,2,0),S193,1),"")</f>
        <v>L</v>
      </c>
      <c r="S193" s="3">
        <v>74</v>
      </c>
      <c r="T193" s="3" t="str">
        <f>IFERROR(MID(VLOOKUP($B193,Seqs!$A:$B,2,0),U193,1),"")</f>
        <v>P</v>
      </c>
      <c r="U193" s="3">
        <v>75</v>
      </c>
      <c r="V193" s="3" t="str">
        <f>IFERROR(MID(VLOOKUP($B193,Seqs!$A:$B,2,0),W193,1),"")</f>
        <v>F</v>
      </c>
      <c r="W193" s="3">
        <v>110</v>
      </c>
      <c r="X193" s="3" t="str">
        <f>IFERROR(MID(VLOOKUP($B193,Seqs!$A:$B,2,0),Y193,1),"")</f>
        <v>P</v>
      </c>
      <c r="Y193" s="3">
        <v>111</v>
      </c>
      <c r="Z193" s="3" t="str">
        <f>IFERROR(MID(VLOOKUP($B193,Seqs!$A:$B,2,0),AA193,1),"")</f>
        <v>R</v>
      </c>
      <c r="AA193" s="3">
        <v>118</v>
      </c>
      <c r="AB193" s="3" t="str">
        <f>IFERROR(MID(VLOOKUP($B193,Seqs!$A:$B,2,0),AC193,1),"")</f>
        <v>R</v>
      </c>
      <c r="AC193" s="3">
        <v>119</v>
      </c>
      <c r="AD193" s="3" t="str">
        <f>IFERROR(MID(VLOOKUP($B193,Seqs!$A:$B,2,0),AE193,1),"")</f>
        <v>A</v>
      </c>
      <c r="AE193" s="3">
        <v>146</v>
      </c>
      <c r="AF193" s="3" t="str">
        <f>IFERROR(MID(VLOOKUP($B193,Seqs!$A:$B,2,0),AG193,1),"")</f>
        <v>C</v>
      </c>
      <c r="AG193" s="3">
        <v>170</v>
      </c>
      <c r="AH193" s="3" t="str">
        <f>IFERROR(MID(VLOOKUP($B193,Seqs!$A:$B,2,0),AI193,1),"")</f>
        <v>E</v>
      </c>
      <c r="AI193" s="3">
        <v>172</v>
      </c>
      <c r="AJ193" s="3" t="str">
        <f>IFERROR(MID(VLOOKUP($B193,Seqs!$A:$B,2,0),AK193,1),"")</f>
        <v>D</v>
      </c>
      <c r="AK193" s="3">
        <v>175</v>
      </c>
      <c r="AL193" s="3" t="str">
        <f>IFERROR(MID(VLOOKUP($B193,Seqs!$A:$B,2,0),AM193,1),"")</f>
        <v>R</v>
      </c>
      <c r="AM193" s="3">
        <v>211</v>
      </c>
      <c r="AN193" s="3" t="str">
        <f>IFERROR(MID(VLOOKUP($B193,Seqs!$A:$B,2,0),AO193,1),"")</f>
        <v/>
      </c>
      <c r="AO193" s="3">
        <v>2215</v>
      </c>
      <c r="AP193" s="3" t="str">
        <f>IFERROR(MID(VLOOKUP($B193,Seqs!$A:$B,2,0),AQ193,1),"")</f>
        <v/>
      </c>
      <c r="AQ193" s="3">
        <v>2250</v>
      </c>
      <c r="AR193" s="3" t="str">
        <f>IFERROR(MID(VLOOKUP($B193,Seqs!$A:$B,2,0),AS193,1),"")</f>
        <v/>
      </c>
      <c r="AS193" s="3">
        <v>2254</v>
      </c>
      <c r="AT193" s="3" t="str">
        <f>IFERROR(MID(VLOOKUP($B193,Seqs!$A:$B,2,0),AU193,1),"")</f>
        <v/>
      </c>
      <c r="AU193" s="3">
        <v>2277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Freefattyacid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242</v>
      </c>
      <c r="BD193" s="16" t="s">
        <v>1429</v>
      </c>
      <c r="BE193" s="3" t="s">
        <v>1428</v>
      </c>
      <c r="BF193" s="119">
        <v>3.22</v>
      </c>
      <c r="BG193" s="49" t="s">
        <v>1</v>
      </c>
      <c r="BH193" s="49" t="s">
        <v>1</v>
      </c>
      <c r="BI193" s="1"/>
      <c r="BJ193" s="70" t="s">
        <v>1287</v>
      </c>
      <c r="BK193" s="57" t="s">
        <v>1287</v>
      </c>
      <c r="BL193" s="57" t="s">
        <v>1287</v>
      </c>
      <c r="BM193" s="57" t="s">
        <v>1287</v>
      </c>
      <c r="BN193" s="57" t="s">
        <v>1287</v>
      </c>
      <c r="BO193" s="57" t="s">
        <v>1287</v>
      </c>
      <c r="BP193" s="57" t="s">
        <v>1287</v>
      </c>
      <c r="BQ193" s="57" t="s">
        <v>1287</v>
      </c>
      <c r="BR193" s="57" t="s">
        <v>1287</v>
      </c>
      <c r="BS193" s="57" t="s">
        <v>1287</v>
      </c>
      <c r="BT193" s="57" t="s">
        <v>1287</v>
      </c>
      <c r="BU193" s="57" t="s">
        <v>1287</v>
      </c>
      <c r="BV193" s="70">
        <f>E193</f>
        <v>4</v>
      </c>
      <c r="BW193" s="71" t="str">
        <f>I193</f>
        <v>-</v>
      </c>
      <c r="BX193" s="72">
        <f>M193</f>
        <v>39</v>
      </c>
      <c r="BY193" s="71">
        <f>Q193</f>
        <v>71</v>
      </c>
      <c r="BZ193" s="72">
        <f>U193</f>
        <v>75</v>
      </c>
      <c r="CA193" s="71">
        <f>Y193</f>
        <v>111</v>
      </c>
      <c r="CB193" s="72">
        <f>AC193</f>
        <v>119</v>
      </c>
      <c r="CC193" s="71">
        <f>AG193</f>
        <v>170</v>
      </c>
      <c r="CD193" s="72">
        <f>AK193</f>
        <v>175</v>
      </c>
      <c r="CE193" s="71">
        <f>AO193</f>
        <v>2215</v>
      </c>
      <c r="CF193" s="72">
        <f>AS193</f>
        <v>2254</v>
      </c>
      <c r="CG193" s="71" t="str">
        <f>AW193</f>
        <v>-</v>
      </c>
      <c r="CH193" s="70">
        <f>G193</f>
        <v>37</v>
      </c>
      <c r="CI193" s="71" t="str">
        <f>K193</f>
        <v>-</v>
      </c>
      <c r="CJ193" s="72">
        <f>O193</f>
        <v>68</v>
      </c>
      <c r="CK193" s="72">
        <f>S193</f>
        <v>74</v>
      </c>
      <c r="CL193" s="72">
        <f>W193</f>
        <v>110</v>
      </c>
      <c r="CM193" s="72">
        <f>AA193</f>
        <v>118</v>
      </c>
      <c r="CN193" s="72">
        <f>AE193</f>
        <v>146</v>
      </c>
      <c r="CO193" s="72">
        <f>AI193</f>
        <v>172</v>
      </c>
      <c r="CP193" s="72">
        <f>AM193</f>
        <v>211</v>
      </c>
      <c r="CQ193" s="72">
        <f>AQ193</f>
        <v>2250</v>
      </c>
      <c r="CR193" s="72">
        <f>AU193</f>
        <v>2277</v>
      </c>
      <c r="CS193" s="72" t="str">
        <f>AY193</f>
        <v>-</v>
      </c>
      <c r="CT193" s="23" t="e">
        <f>M193-K193</f>
        <v>#VALUE!</v>
      </c>
    </row>
    <row r="194" spans="1:1029" x14ac:dyDescent="0.2">
      <c r="A194" s="3" t="str">
        <f t="shared" si="867"/>
        <v>hrh1_human__wt</v>
      </c>
      <c r="B194" s="3" t="s">
        <v>278</v>
      </c>
      <c r="C194" s="3" t="s">
        <v>100</v>
      </c>
      <c r="D194" s="3" t="str">
        <f>IFERROR(MID(VLOOKUP($B194,Seqs!$A:$B,2,0),E194,1),"")</f>
        <v>P</v>
      </c>
      <c r="E194" s="3">
        <v>29</v>
      </c>
      <c r="F194" s="3" t="str">
        <f>IFERROR(MID(VLOOKUP($B194,Seqs!$A:$B,2,0),G194,1),"")</f>
        <v>E</v>
      </c>
      <c r="G194" s="3">
        <v>55</v>
      </c>
      <c r="H194" s="3" t="str">
        <f>IFERROR(MID(VLOOKUP($B194,Seqs!$A:$B,2,0),I194,1),"")</f>
        <v>R</v>
      </c>
      <c r="I194" s="23">
        <v>56</v>
      </c>
      <c r="J194" s="3" t="str">
        <f>IFERROR(MID(VLOOKUP($B194,Seqs!$A:$B,2,0),K194,1),"")</f>
        <v>H</v>
      </c>
      <c r="K194" s="23">
        <v>59</v>
      </c>
      <c r="L194" s="3" t="str">
        <f>IFERROR(MID(VLOOKUP($B194,Seqs!$A:$B,2,0),M194,1),"")</f>
        <v>T</v>
      </c>
      <c r="M194" s="3">
        <v>60</v>
      </c>
      <c r="N194" s="3" t="str">
        <f>IFERROR(MID(VLOOKUP($B194,Seqs!$A:$B,2,0),O194,1),"")</f>
        <v>M</v>
      </c>
      <c r="O194" s="3">
        <v>90</v>
      </c>
      <c r="P194" s="3" t="str">
        <f>IFERROR(MID(VLOOKUP($B194,Seqs!$A:$B,2,0),Q194,1),"")</f>
        <v>K</v>
      </c>
      <c r="Q194" s="3">
        <v>92</v>
      </c>
      <c r="R194" s="3" t="str">
        <f>IFERROR(MID(VLOOKUP($B194,Seqs!$A:$B,2,0),S194,1),"")</f>
        <v>L</v>
      </c>
      <c r="S194" s="3">
        <v>95</v>
      </c>
      <c r="T194" s="3" t="str">
        <f>IFERROR(MID(VLOOKUP($B194,Seqs!$A:$B,2,0),U194,1),"")</f>
        <v>G</v>
      </c>
      <c r="U194" s="3">
        <v>96</v>
      </c>
      <c r="V194" s="3" t="str">
        <f>IFERROR(MID(VLOOKUP($B194,Seqs!$A:$B,2,0),W194,1),"")</f>
        <v>Q</v>
      </c>
      <c r="W194" s="3">
        <v>131</v>
      </c>
      <c r="X194" s="3" t="str">
        <f>IFERROR(MID(VLOOKUP($B194,Seqs!$A:$B,2,0),Y194,1),"")</f>
        <v>P</v>
      </c>
      <c r="Y194" s="3">
        <v>132</v>
      </c>
      <c r="Z194" s="3" t="str">
        <f>IFERROR(MID(VLOOKUP($B194,Seqs!$A:$B,2,0),AA194,1),"")</f>
        <v>R</v>
      </c>
      <c r="AA194" s="3">
        <v>139</v>
      </c>
      <c r="AB194" s="3" t="str">
        <f>IFERROR(MID(VLOOKUP($B194,Seqs!$A:$B,2,0),AC194,1),"")</f>
        <v>T</v>
      </c>
      <c r="AC194" s="9">
        <v>140</v>
      </c>
      <c r="AD194" s="3" t="str">
        <f>IFERROR(MID(VLOOKUP($B194,Seqs!$A:$B,2,0),AE194,1),"")</f>
        <v>G</v>
      </c>
      <c r="AE194" s="3">
        <v>164</v>
      </c>
      <c r="AF194" s="3" t="str">
        <f>IFERROR(MID(VLOOKUP($B194,Seqs!$A:$B,2,0),AG194,1),"")</f>
        <v>C</v>
      </c>
      <c r="AG194" s="3">
        <v>180</v>
      </c>
      <c r="AH194" s="3" t="str">
        <f>IFERROR(MID(VLOOKUP($B194,Seqs!$A:$B,2,0),AI194,1),"")</f>
        <v>T</v>
      </c>
      <c r="AI194" s="3">
        <v>182</v>
      </c>
      <c r="AJ194" s="3" t="str">
        <f>IFERROR(MID(VLOOKUP($B194,Seqs!$A:$B,2,0),AK194,1),"")</f>
        <v>V</v>
      </c>
      <c r="AK194" s="3">
        <v>187</v>
      </c>
      <c r="AL194" s="3" t="str">
        <f>IFERROR(MID(VLOOKUP($B194,Seqs!$A:$B,2,0),AM194,1),"")</f>
        <v>N</v>
      </c>
      <c r="AM194" s="3">
        <v>228</v>
      </c>
      <c r="AN194" s="3" t="str">
        <f>IFERROR(MID(VLOOKUP($B194,Seqs!$A:$B,2,0),AO194,1),"")</f>
        <v>G</v>
      </c>
      <c r="AO194" s="3">
        <v>404</v>
      </c>
      <c r="AP194" s="3" t="str">
        <f>IFERROR(MID(VLOOKUP($B194,Seqs!$A:$B,2,0),AQ194,1),"")</f>
        <v>C</v>
      </c>
      <c r="AQ194" s="3">
        <v>441</v>
      </c>
      <c r="AR194" s="3" t="str">
        <f>IFERROR(MID(VLOOKUP($B194,Seqs!$A:$B,2,0),AS194,1),"")</f>
        <v>N</v>
      </c>
      <c r="AS194" s="3">
        <v>446</v>
      </c>
      <c r="AT194" s="3" t="str">
        <f>IFERROR(MID(VLOOKUP($B194,Seqs!$A:$B,2,0),AU194,1),"")</f>
        <v>C</v>
      </c>
      <c r="AU194" s="3">
        <v>471</v>
      </c>
      <c r="AV194" s="3" t="str">
        <f>IFERROR(MID(VLOOKUP($B194,Seqs!$A:$B,2,0),AW194,1),"")</f>
        <v>N</v>
      </c>
      <c r="AW194" s="3">
        <v>472</v>
      </c>
      <c r="AX194" s="3" t="str">
        <f>IFERROR(MID(VLOOKUP($B194,Seqs!$A:$B,2,0),AY194,1),"")</f>
        <v>H</v>
      </c>
      <c r="AY194" s="3">
        <v>484</v>
      </c>
      <c r="AZ194" s="77" t="str">
        <f>VLOOKUP(B194,Classification!A:D,2,0)</f>
        <v>A</v>
      </c>
      <c r="BA194" s="94" t="str">
        <f>VLOOKUP(B194,Classification!A:D,4,0)</f>
        <v>Histamine</v>
      </c>
      <c r="BB194" s="27" t="b">
        <f t="shared" si="868"/>
        <v>1</v>
      </c>
      <c r="BC194" s="23">
        <f t="shared" si="1035"/>
        <v>257</v>
      </c>
      <c r="BD194" s="34" t="s">
        <v>23</v>
      </c>
      <c r="BE194" s="3" t="s">
        <v>23</v>
      </c>
      <c r="BF194" s="119" t="s">
        <v>23</v>
      </c>
      <c r="BG194" s="49" t="s">
        <v>1372</v>
      </c>
      <c r="BH194" s="49" t="s">
        <v>1377</v>
      </c>
      <c r="BI194" s="1"/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si="1036"/>
        <v>29</v>
      </c>
      <c r="BW194" s="71">
        <f t="shared" si="1037"/>
        <v>56</v>
      </c>
      <c r="BX194" s="72">
        <f t="shared" si="1038"/>
        <v>60</v>
      </c>
      <c r="BY194" s="71">
        <f t="shared" si="1039"/>
        <v>92</v>
      </c>
      <c r="BZ194" s="72">
        <f t="shared" si="1040"/>
        <v>96</v>
      </c>
      <c r="CA194" s="71">
        <f t="shared" si="1041"/>
        <v>132</v>
      </c>
      <c r="CB194" s="72">
        <f t="shared" si="1042"/>
        <v>140</v>
      </c>
      <c r="CC194" s="71">
        <f t="shared" si="1043"/>
        <v>180</v>
      </c>
      <c r="CD194" s="72">
        <f t="shared" si="1044"/>
        <v>187</v>
      </c>
      <c r="CE194" s="71">
        <f t="shared" si="1045"/>
        <v>404</v>
      </c>
      <c r="CF194" s="72">
        <f t="shared" si="1046"/>
        <v>446</v>
      </c>
      <c r="CG194" s="71">
        <f t="shared" si="1047"/>
        <v>472</v>
      </c>
      <c r="CH194" s="70">
        <f t="shared" si="1048"/>
        <v>55</v>
      </c>
      <c r="CI194" s="71">
        <f t="shared" si="1049"/>
        <v>59</v>
      </c>
      <c r="CJ194" s="72">
        <f t="shared" si="1050"/>
        <v>90</v>
      </c>
      <c r="CK194" s="72">
        <f t="shared" si="1051"/>
        <v>95</v>
      </c>
      <c r="CL194" s="72">
        <f t="shared" si="1052"/>
        <v>131</v>
      </c>
      <c r="CM194" s="72">
        <f t="shared" si="1053"/>
        <v>139</v>
      </c>
      <c r="CN194" s="72">
        <f t="shared" si="1054"/>
        <v>164</v>
      </c>
      <c r="CO194" s="72">
        <f t="shared" si="1055"/>
        <v>182</v>
      </c>
      <c r="CP194" s="72">
        <f t="shared" si="1056"/>
        <v>228</v>
      </c>
      <c r="CQ194" s="72">
        <f t="shared" si="1057"/>
        <v>441</v>
      </c>
      <c r="CR194" s="72">
        <f t="shared" si="1058"/>
        <v>471</v>
      </c>
      <c r="CS194" s="72">
        <f t="shared" si="1059"/>
        <v>484</v>
      </c>
      <c r="CT194" s="23">
        <f t="shared" si="1060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867"/>
        <v>hrh1_human_3RZE</v>
      </c>
      <c r="B195" s="3" t="s">
        <v>278</v>
      </c>
      <c r="C195" s="3" t="s">
        <v>73</v>
      </c>
      <c r="D195" s="3" t="str">
        <f>IFERROR(MID(VLOOKUP($B195,Seqs!$A:$B,2,0),E195,1),"")</f>
        <v>V</v>
      </c>
      <c r="E195" s="3">
        <v>33</v>
      </c>
      <c r="F195" s="3" t="str">
        <f>IFERROR(MID(VLOOKUP($B195,Seqs!$A:$B,2,0),G195,1),"")</f>
        <v>E</v>
      </c>
      <c r="G195" s="3">
        <v>55</v>
      </c>
      <c r="H195" s="3" t="str">
        <f>IFERROR(MID(VLOOKUP($B195,Seqs!$A:$B,2,0),I195,1),"")</f>
        <v>R</v>
      </c>
      <c r="I195" s="23">
        <v>56</v>
      </c>
      <c r="J195" s="3" t="str">
        <f>IFERROR(MID(VLOOKUP($B195,Seqs!$A:$B,2,0),K195,1),"")</f>
        <v>H</v>
      </c>
      <c r="K195" s="23">
        <v>59</v>
      </c>
      <c r="L195" s="3" t="str">
        <f>IFERROR(MID(VLOOKUP($B195,Seqs!$A:$B,2,0),M195,1),"")</f>
        <v>T</v>
      </c>
      <c r="M195" s="3">
        <v>60</v>
      </c>
      <c r="N195" s="3" t="str">
        <f>IFERROR(MID(VLOOKUP($B195,Seqs!$A:$B,2,0),O195,1),"")</f>
        <v>M</v>
      </c>
      <c r="O195" s="3">
        <v>90</v>
      </c>
      <c r="P195" s="3" t="str">
        <f>IFERROR(MID(VLOOKUP($B195,Seqs!$A:$B,2,0),Q195,1),"")</f>
        <v>K</v>
      </c>
      <c r="Q195" s="3">
        <v>92</v>
      </c>
      <c r="R195" s="3" t="str">
        <f>IFERROR(MID(VLOOKUP($B195,Seqs!$A:$B,2,0),S195,1),"")</f>
        <v>L</v>
      </c>
      <c r="S195" s="3">
        <v>95</v>
      </c>
      <c r="T195" s="3" t="str">
        <f>IFERROR(MID(VLOOKUP($B195,Seqs!$A:$B,2,0),U195,1),"")</f>
        <v>G</v>
      </c>
      <c r="U195" s="3">
        <v>96</v>
      </c>
      <c r="V195" s="3" t="str">
        <f>IFERROR(MID(VLOOKUP($B195,Seqs!$A:$B,2,0),W195,1),"")</f>
        <v>Q</v>
      </c>
      <c r="W195" s="3">
        <v>131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140</v>
      </c>
      <c r="AD195" s="3" t="str">
        <f>IFERROR(MID(VLOOKUP($B195,Seqs!$A:$B,2,0),AE195,1),"")</f>
        <v>G</v>
      </c>
      <c r="AE195" s="3">
        <v>164</v>
      </c>
      <c r="AF195" s="3" t="str">
        <f>IFERROR(MID(VLOOKUP($B195,Seqs!$A:$B,2,0),AG195,1),"")</f>
        <v>C</v>
      </c>
      <c r="AG195" s="3">
        <v>180</v>
      </c>
      <c r="AH195" s="3" t="str">
        <f>IFERROR(MID(VLOOKUP($B195,Seqs!$A:$B,2,0),AI195,1),"")</f>
        <v>T</v>
      </c>
      <c r="AI195" s="3">
        <v>182</v>
      </c>
      <c r="AJ195" s="3" t="str">
        <f>IFERROR(MID(VLOOKUP($B195,Seqs!$A:$B,2,0),AK195,1),"")</f>
        <v>V</v>
      </c>
      <c r="AK195" s="3">
        <v>187</v>
      </c>
      <c r="AL195" s="3" t="str">
        <f>IFERROR(MID(VLOOKUP($B195,Seqs!$A:$B,2,0),AM195,1),"")</f>
        <v>V</v>
      </c>
      <c r="AM195" s="3">
        <v>217</v>
      </c>
      <c r="AN195" s="3" t="str">
        <f>IFERROR(MID(VLOOKUP($B195,Seqs!$A:$B,2,0),AO195,1),"")</f>
        <v>N</v>
      </c>
      <c r="AO195" s="3">
        <v>408</v>
      </c>
      <c r="AP195" s="3" t="str">
        <f>IFERROR(MID(VLOOKUP($B195,Seqs!$A:$B,2,0),AQ195,1),"")</f>
        <v>C</v>
      </c>
      <c r="AQ195" s="3">
        <v>441</v>
      </c>
      <c r="AR195" s="3" t="str">
        <f>IFERROR(MID(VLOOKUP($B195,Seqs!$A:$B,2,0),AS195,1),"")</f>
        <v>N</v>
      </c>
      <c r="AS195" s="3">
        <v>446</v>
      </c>
      <c r="AT195" s="3" t="str">
        <f>IFERROR(MID(VLOOKUP($B195,Seqs!$A:$B,2,0),AU195,1),"")</f>
        <v>C</v>
      </c>
      <c r="AU195" s="3">
        <v>471</v>
      </c>
      <c r="AV195" s="3" t="str">
        <f>IFERROR(MID(VLOOKUP($B195,Seqs!$A:$B,2,0),AW195,1),"")</f>
        <v>N</v>
      </c>
      <c r="AW195" s="3">
        <v>472</v>
      </c>
      <c r="AX195" s="3" t="str">
        <f>IFERROR(MID(VLOOKUP($B195,Seqs!$A:$B,2,0),AY195,1),"")</f>
        <v>H</v>
      </c>
      <c r="AY195" s="3">
        <v>484</v>
      </c>
      <c r="AZ195" s="77" t="str">
        <f>VLOOKUP(B195,Classification!A:D,2,0)</f>
        <v>A</v>
      </c>
      <c r="BA195" s="94" t="str">
        <f>VLOOKUP(B195,Classification!A:D,4,0)</f>
        <v>Histamine</v>
      </c>
      <c r="BB195" s="27" t="b">
        <f t="shared" si="868"/>
        <v>1</v>
      </c>
      <c r="BC195" s="23">
        <f t="shared" si="1035"/>
        <v>231</v>
      </c>
      <c r="BD195" s="16" t="s">
        <v>1376</v>
      </c>
      <c r="BE195" s="3" t="s">
        <v>1374</v>
      </c>
      <c r="BF195" s="119">
        <v>3.1</v>
      </c>
      <c r="BG195" s="49" t="s">
        <v>1377</v>
      </c>
      <c r="BH195" s="49" t="s">
        <v>1377</v>
      </c>
      <c r="BI195" s="1"/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si="1036"/>
        <v>33</v>
      </c>
      <c r="BW195" s="71">
        <f t="shared" si="1037"/>
        <v>56</v>
      </c>
      <c r="BX195" s="72">
        <f t="shared" si="1038"/>
        <v>60</v>
      </c>
      <c r="BY195" s="71">
        <f t="shared" si="1039"/>
        <v>92</v>
      </c>
      <c r="BZ195" s="72">
        <f t="shared" si="1040"/>
        <v>96</v>
      </c>
      <c r="CA195" s="71" t="str">
        <f t="shared" si="1041"/>
        <v>-</v>
      </c>
      <c r="CB195" s="72">
        <f t="shared" si="1042"/>
        <v>140</v>
      </c>
      <c r="CC195" s="71">
        <f t="shared" si="1043"/>
        <v>180</v>
      </c>
      <c r="CD195" s="72">
        <f t="shared" si="1044"/>
        <v>187</v>
      </c>
      <c r="CE195" s="71">
        <f t="shared" si="1045"/>
        <v>408</v>
      </c>
      <c r="CF195" s="72">
        <f t="shared" si="1046"/>
        <v>446</v>
      </c>
      <c r="CG195" s="71">
        <f t="shared" si="1047"/>
        <v>472</v>
      </c>
      <c r="CH195" s="70">
        <f t="shared" si="1048"/>
        <v>55</v>
      </c>
      <c r="CI195" s="71">
        <f t="shared" si="1049"/>
        <v>59</v>
      </c>
      <c r="CJ195" s="72">
        <f t="shared" si="1050"/>
        <v>90</v>
      </c>
      <c r="CK195" s="72">
        <f t="shared" si="1051"/>
        <v>95</v>
      </c>
      <c r="CL195" s="72">
        <f t="shared" si="1052"/>
        <v>131</v>
      </c>
      <c r="CM195" s="72" t="str">
        <f t="shared" si="1053"/>
        <v>-</v>
      </c>
      <c r="CN195" s="72">
        <f t="shared" si="1054"/>
        <v>164</v>
      </c>
      <c r="CO195" s="72">
        <f t="shared" si="1055"/>
        <v>182</v>
      </c>
      <c r="CP195" s="72">
        <f t="shared" si="1056"/>
        <v>217</v>
      </c>
      <c r="CQ195" s="72">
        <f t="shared" si="1057"/>
        <v>441</v>
      </c>
      <c r="CR195" s="72">
        <f t="shared" si="1058"/>
        <v>471</v>
      </c>
      <c r="CS195" s="72">
        <f t="shared" si="1059"/>
        <v>484</v>
      </c>
      <c r="CT195" s="23">
        <f t="shared" si="1060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ref="A196:A254" si="1061">CONCATENATE(B196,"_",C196)</f>
        <v>lpar1_human__wt</v>
      </c>
      <c r="B196" s="3" t="s">
        <v>103</v>
      </c>
      <c r="C196" s="3" t="s">
        <v>100</v>
      </c>
      <c r="D196" s="3" t="str">
        <f>IFERROR(MID(VLOOKUP($B196,Seqs!$A:$B,2,0),E196,1),"")</f>
        <v>T</v>
      </c>
      <c r="E196" s="3">
        <v>47</v>
      </c>
      <c r="F196" s="3" t="str">
        <f>IFERROR(MID(VLOOKUP($B196,Seqs!$A:$B,2,0),G196,1),"")</f>
        <v>N</v>
      </c>
      <c r="G196" s="3">
        <v>77</v>
      </c>
      <c r="H196" s="3" t="str">
        <f>IFERROR(MID(VLOOKUP($B196,Seqs!$A:$B,2,0),I196,1),"")</f>
        <v>R</v>
      </c>
      <c r="I196" s="23">
        <v>78</v>
      </c>
      <c r="J196" s="3" t="str">
        <f>IFERROR(MID(VLOOKUP($B196,Seqs!$A:$B,2,0),K196,1),"")</f>
        <v>H</v>
      </c>
      <c r="K196" s="23">
        <v>81</v>
      </c>
      <c r="L196" s="3" t="str">
        <f>IFERROR(MID(VLOOKUP($B196,Seqs!$A:$B,2,0),M196,1),"")</f>
        <v>F</v>
      </c>
      <c r="M196" s="3">
        <v>82</v>
      </c>
      <c r="N196" s="3" t="str">
        <f>IFERROR(MID(VLOOKUP($B196,Seqs!$A:$B,2,0),O196,1),"")</f>
        <v>N</v>
      </c>
      <c r="O196" s="3">
        <v>108</v>
      </c>
      <c r="P196" s="3" t="str">
        <f>IFERROR(MID(VLOOKUP($B196,Seqs!$A:$B,2,0),Q196,1),"")</f>
        <v>G</v>
      </c>
      <c r="Q196" s="3">
        <v>110</v>
      </c>
      <c r="R196" s="3" t="str">
        <f>IFERROR(MID(VLOOKUP($B196,Seqs!$A:$B,2,0),S196,1),"")</f>
        <v>L</v>
      </c>
      <c r="S196" s="3">
        <v>116</v>
      </c>
      <c r="T196" s="3" t="str">
        <f>IFERROR(MID(VLOOKUP($B196,Seqs!$A:$B,2,0),U196,1),"")</f>
        <v>T</v>
      </c>
      <c r="U196" s="3">
        <v>117</v>
      </c>
      <c r="V196" s="3" t="str">
        <f>IFERROR(MID(VLOOKUP($B196,Seqs!$A:$B,2,0),W196,1),"")</f>
        <v>R</v>
      </c>
      <c r="W196" s="3">
        <v>152</v>
      </c>
      <c r="X196" s="3" t="str">
        <f>IFERROR(MID(VLOOKUP($B196,Seqs!$A:$B,2,0),Y196,1),"")</f>
        <v>M</v>
      </c>
      <c r="Y196" s="105">
        <v>153</v>
      </c>
      <c r="Z196" s="3" t="str">
        <f>IFERROR(MID(VLOOKUP($B196,Seqs!$A:$B,2,0),AA196,1),"")</f>
        <v>M</v>
      </c>
      <c r="AA196" s="105">
        <v>159</v>
      </c>
      <c r="AB196" s="3" t="str">
        <f>IFERROR(MID(VLOOKUP($B196,Seqs!$A:$B,2,0),AC196,1),"")</f>
        <v>S</v>
      </c>
      <c r="AC196" s="105">
        <v>160</v>
      </c>
      <c r="AD196" s="3" t="str">
        <f>IFERROR(MID(VLOOKUP($B196,Seqs!$A:$B,2,0),AE196,1),"")</f>
        <v>G</v>
      </c>
      <c r="AE196" s="3">
        <v>185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S</v>
      </c>
      <c r="AK196" s="3">
        <v>203</v>
      </c>
      <c r="AL196" s="3" t="str">
        <f>IFERROR(MID(VLOOKUP($B196,Seqs!$A:$B,2,0),AM196,1),"")</f>
        <v>S</v>
      </c>
      <c r="AM196" s="3">
        <v>240</v>
      </c>
      <c r="AN196" s="3" t="str">
        <f>IFERROR(MID(VLOOKUP($B196,Seqs!$A:$B,2,0),AO196,1),"")</f>
        <v>G</v>
      </c>
      <c r="AO196" s="3">
        <v>245</v>
      </c>
      <c r="AP196" s="3" t="str">
        <f>IFERROR(MID(VLOOKUP($B196,Seqs!$A:$B,2,0),AQ196,1),"")</f>
        <v>C</v>
      </c>
      <c r="AQ196" s="3">
        <v>284</v>
      </c>
      <c r="AR196" s="3" t="str">
        <f>IFERROR(MID(VLOOKUP($B196,Seqs!$A:$B,2,0),AS196,1),"")</f>
        <v>D</v>
      </c>
      <c r="AS196" s="3">
        <v>288</v>
      </c>
      <c r="AT196" s="3" t="str">
        <f>IFERROR(MID(VLOOKUP($B196,Seqs!$A:$B,2,0),AU196,1),"")</f>
        <v>R</v>
      </c>
      <c r="AU196" s="3">
        <v>314</v>
      </c>
      <c r="AV196" s="3" t="str">
        <f>IFERROR(MID(VLOOKUP($B196,Seqs!$A:$B,2,0),AW196,1),"")</f>
        <v>D</v>
      </c>
      <c r="AW196" s="3">
        <v>315</v>
      </c>
      <c r="AX196" s="3" t="str">
        <f>IFERROR(MID(VLOOKUP($B196,Seqs!$A:$B,2,0),AY196,1),"")</f>
        <v>C</v>
      </c>
      <c r="AY196" s="3">
        <v>327</v>
      </c>
      <c r="AZ196" s="77" t="str">
        <f>VLOOKUP(B196,Classification!A:D,2,0)</f>
        <v>A</v>
      </c>
      <c r="BA196" s="94" t="str">
        <f>VLOOKUP(B196,Classification!A:D,4,0)</f>
        <v>Lysophospholipid(LPA)</v>
      </c>
      <c r="BB196" s="27" t="b">
        <f t="shared" ref="BB196:BB254" si="1062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si="1035"/>
        <v>257</v>
      </c>
      <c r="BD196" s="56" t="s">
        <v>23</v>
      </c>
      <c r="BE196" s="3" t="s">
        <v>23</v>
      </c>
      <c r="BF196" s="119" t="s">
        <v>23</v>
      </c>
      <c r="BG196" s="49" t="s">
        <v>1372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si="1036"/>
        <v>47</v>
      </c>
      <c r="BW196" s="71">
        <f t="shared" si="1037"/>
        <v>78</v>
      </c>
      <c r="BX196" s="72">
        <f t="shared" si="1038"/>
        <v>82</v>
      </c>
      <c r="BY196" s="71">
        <f t="shared" si="1039"/>
        <v>110</v>
      </c>
      <c r="BZ196" s="72">
        <f t="shared" si="1040"/>
        <v>117</v>
      </c>
      <c r="CA196" s="71">
        <f t="shared" si="1041"/>
        <v>153</v>
      </c>
      <c r="CB196" s="72">
        <f t="shared" si="1042"/>
        <v>160</v>
      </c>
      <c r="CC196" s="71" t="str">
        <f t="shared" si="1043"/>
        <v>-</v>
      </c>
      <c r="CD196" s="72">
        <f t="shared" si="1044"/>
        <v>203</v>
      </c>
      <c r="CE196" s="71">
        <f t="shared" si="1045"/>
        <v>245</v>
      </c>
      <c r="CF196" s="72">
        <f t="shared" si="1046"/>
        <v>288</v>
      </c>
      <c r="CG196" s="71">
        <f t="shared" si="1047"/>
        <v>315</v>
      </c>
      <c r="CH196" s="70">
        <f t="shared" si="1048"/>
        <v>77</v>
      </c>
      <c r="CI196" s="71">
        <f t="shared" si="1049"/>
        <v>81</v>
      </c>
      <c r="CJ196" s="72">
        <f t="shared" si="1050"/>
        <v>108</v>
      </c>
      <c r="CK196" s="72">
        <f t="shared" si="1051"/>
        <v>116</v>
      </c>
      <c r="CL196" s="72">
        <f t="shared" si="1052"/>
        <v>152</v>
      </c>
      <c r="CM196" s="72">
        <f t="shared" si="1053"/>
        <v>159</v>
      </c>
      <c r="CN196" s="72">
        <f t="shared" si="1054"/>
        <v>185</v>
      </c>
      <c r="CO196" s="72" t="str">
        <f t="shared" si="1055"/>
        <v>-</v>
      </c>
      <c r="CP196" s="72">
        <f t="shared" si="1056"/>
        <v>240</v>
      </c>
      <c r="CQ196" s="72">
        <f t="shared" si="1057"/>
        <v>284</v>
      </c>
      <c r="CR196" s="72">
        <f t="shared" si="1058"/>
        <v>314</v>
      </c>
      <c r="CS196" s="72">
        <f t="shared" si="1059"/>
        <v>327</v>
      </c>
      <c r="CT196" s="23">
        <f t="shared" si="1060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061"/>
        <v>lpar1_human_4Z34</v>
      </c>
      <c r="B197" s="3" t="s">
        <v>103</v>
      </c>
      <c r="C197" s="3" t="s">
        <v>1056</v>
      </c>
      <c r="D197" s="3" t="str">
        <f>IFERROR(MID(VLOOKUP($B197,Seqs!$A:$B,2,0),E197,1),"")</f>
        <v>T</v>
      </c>
      <c r="E197" s="3">
        <v>47</v>
      </c>
      <c r="F197" s="3" t="str">
        <f>IFERROR(MID(VLOOKUP($B197,Seqs!$A:$B,2,0),G197,1),"")</f>
        <v>N</v>
      </c>
      <c r="G197" s="3">
        <v>77</v>
      </c>
      <c r="H197" s="3" t="str">
        <f>IFERROR(MID(VLOOKUP($B197,Seqs!$A:$B,2,0),I197,1),"")</f>
        <v>R</v>
      </c>
      <c r="I197" s="23">
        <v>78</v>
      </c>
      <c r="J197" s="3" t="str">
        <f>IFERROR(MID(VLOOKUP($B197,Seqs!$A:$B,2,0),K197,1),"")</f>
        <v>H</v>
      </c>
      <c r="K197" s="23">
        <v>81</v>
      </c>
      <c r="L197" s="3" t="str">
        <f>IFERROR(MID(VLOOKUP($B197,Seqs!$A:$B,2,0),M197,1),"")</f>
        <v>F</v>
      </c>
      <c r="M197" s="3">
        <v>82</v>
      </c>
      <c r="N197" s="3" t="str">
        <f>IFERROR(MID(VLOOKUP($B197,Seqs!$A:$B,2,0),O197,1),"")</f>
        <v>N</v>
      </c>
      <c r="O197" s="3">
        <v>108</v>
      </c>
      <c r="P197" s="3" t="str">
        <f>IFERROR(MID(VLOOKUP($B197,Seqs!$A:$B,2,0),Q197,1),"")</f>
        <v>G</v>
      </c>
      <c r="Q197" s="3">
        <v>110</v>
      </c>
      <c r="R197" s="3" t="str">
        <f>IFERROR(MID(VLOOKUP($B197,Seqs!$A:$B,2,0),S197,1),"")</f>
        <v>L</v>
      </c>
      <c r="S197" s="3">
        <v>116</v>
      </c>
      <c r="T197" s="3" t="str">
        <f>IFERROR(MID(VLOOKUP($B197,Seqs!$A:$B,2,0),U197,1),"")</f>
        <v>T</v>
      </c>
      <c r="U197" s="3">
        <v>117</v>
      </c>
      <c r="V197" s="3" t="str">
        <f>IFERROR(MID(VLOOKUP($B197,Seqs!$A:$B,2,0),W197,1),"")</f>
        <v>R</v>
      </c>
      <c r="W197" s="3">
        <v>152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T</v>
      </c>
      <c r="AC197" s="9">
        <v>157</v>
      </c>
      <c r="AD197" s="3" t="str">
        <f>IFERROR(MID(VLOOKUP($B197,Seqs!$A:$B,2,0),AE197,1),"")</f>
        <v>G</v>
      </c>
      <c r="AE197" s="3">
        <v>185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S</v>
      </c>
      <c r="AK197" s="3">
        <v>203</v>
      </c>
      <c r="AL197" s="3" t="str">
        <f>IFERROR(MID(VLOOKUP($B197,Seqs!$A:$B,2,0),AM197,1),"")</f>
        <v>R</v>
      </c>
      <c r="AM197" s="3">
        <v>235</v>
      </c>
      <c r="AN197" s="3" t="str">
        <f>IFERROR(MID(VLOOKUP($B197,Seqs!$A:$B,2,0),AO197,1),"")</f>
        <v>G</v>
      </c>
      <c r="AO197" s="3">
        <v>245</v>
      </c>
      <c r="AP197" s="3" t="str">
        <f>IFERROR(MID(VLOOKUP($B197,Seqs!$A:$B,2,0),AQ197,1),"")</f>
        <v>C</v>
      </c>
      <c r="AQ197" s="3">
        <v>284</v>
      </c>
      <c r="AR197" s="3" t="str">
        <f>IFERROR(MID(VLOOKUP($B197,Seqs!$A:$B,2,0),AS197,1),"")</f>
        <v>E</v>
      </c>
      <c r="AS197" s="3">
        <v>293</v>
      </c>
      <c r="AT197" s="3" t="str">
        <f>IFERROR(MID(VLOOKUP($B197,Seqs!$A:$B,2,0),AU197,1),"")</f>
        <v>R</v>
      </c>
      <c r="AU197" s="3">
        <v>314</v>
      </c>
      <c r="AV197" s="3" t="str">
        <f>IFERROR(MID(VLOOKUP($B197,Seqs!$A:$B,2,0),AW197,1),"")</f>
        <v>D</v>
      </c>
      <c r="AW197" s="3">
        <v>315</v>
      </c>
      <c r="AX197" s="3" t="str">
        <f>IFERROR(MID(VLOOKUP($B197,Seqs!$A:$B,2,0),AY197,1),"")</f>
        <v>C</v>
      </c>
      <c r="AY197" s="3">
        <v>327</v>
      </c>
      <c r="AZ197" s="77" t="str">
        <f>VLOOKUP(B197,Classification!A:D,2,0)</f>
        <v>A</v>
      </c>
      <c r="BA197" s="94" t="str">
        <f>VLOOKUP(B197,Classification!A:D,4,0)</f>
        <v>Lysophospholipid(LPA)</v>
      </c>
      <c r="BB197" s="27" t="b">
        <f t="shared" si="1062"/>
        <v>1</v>
      </c>
      <c r="BC197" s="23">
        <f t="shared" si="1035"/>
        <v>244</v>
      </c>
      <c r="BD197" s="16" t="s">
        <v>23</v>
      </c>
      <c r="BE197" s="3" t="s">
        <v>1374</v>
      </c>
      <c r="BF197" s="119">
        <v>3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036"/>
        <v>47</v>
      </c>
      <c r="BW197" s="71">
        <f t="shared" si="1037"/>
        <v>78</v>
      </c>
      <c r="BX197" s="72">
        <f t="shared" si="1038"/>
        <v>82</v>
      </c>
      <c r="BY197" s="71">
        <f t="shared" si="1039"/>
        <v>110</v>
      </c>
      <c r="BZ197" s="72">
        <f t="shared" si="1040"/>
        <v>117</v>
      </c>
      <c r="CA197" s="71" t="str">
        <f t="shared" si="1041"/>
        <v>-</v>
      </c>
      <c r="CB197" s="72">
        <f t="shared" si="1042"/>
        <v>157</v>
      </c>
      <c r="CC197" s="71" t="str">
        <f t="shared" si="1043"/>
        <v>-</v>
      </c>
      <c r="CD197" s="72">
        <f t="shared" si="1044"/>
        <v>203</v>
      </c>
      <c r="CE197" s="71">
        <f t="shared" si="1045"/>
        <v>245</v>
      </c>
      <c r="CF197" s="72">
        <f t="shared" si="1046"/>
        <v>293</v>
      </c>
      <c r="CG197" s="71">
        <f t="shared" si="1047"/>
        <v>315</v>
      </c>
      <c r="CH197" s="70">
        <f t="shared" si="1048"/>
        <v>77</v>
      </c>
      <c r="CI197" s="71">
        <f t="shared" si="1049"/>
        <v>81</v>
      </c>
      <c r="CJ197" s="72">
        <f t="shared" si="1050"/>
        <v>108</v>
      </c>
      <c r="CK197" s="72">
        <f t="shared" si="1051"/>
        <v>116</v>
      </c>
      <c r="CL197" s="72">
        <f t="shared" si="1052"/>
        <v>152</v>
      </c>
      <c r="CM197" s="72" t="str">
        <f t="shared" si="1053"/>
        <v>-</v>
      </c>
      <c r="CN197" s="72">
        <f t="shared" si="1054"/>
        <v>185</v>
      </c>
      <c r="CO197" s="72" t="str">
        <f t="shared" si="1055"/>
        <v>-</v>
      </c>
      <c r="CP197" s="72">
        <f t="shared" si="1056"/>
        <v>235</v>
      </c>
      <c r="CQ197" s="72">
        <f t="shared" si="1057"/>
        <v>284</v>
      </c>
      <c r="CR197" s="72">
        <f t="shared" si="1058"/>
        <v>314</v>
      </c>
      <c r="CS197" s="72">
        <f t="shared" si="1059"/>
        <v>327</v>
      </c>
      <c r="CT197" s="23">
        <f t="shared" si="1060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061"/>
        <v>lpar1_human_4Z35</v>
      </c>
      <c r="B198" s="3" t="s">
        <v>103</v>
      </c>
      <c r="C198" s="3" t="s">
        <v>89</v>
      </c>
      <c r="D198" s="3" t="str">
        <f>IFERROR(MID(VLOOKUP($B198,Seqs!$A:$B,2,0),E198,1),"")</f>
        <v>T</v>
      </c>
      <c r="E198" s="3">
        <v>47</v>
      </c>
      <c r="F198" s="3" t="str">
        <f>IFERROR(MID(VLOOKUP($B198,Seqs!$A:$B,2,0),G198,1),"")</f>
        <v>N</v>
      </c>
      <c r="G198" s="3">
        <v>77</v>
      </c>
      <c r="H198" s="3" t="str">
        <f>IFERROR(MID(VLOOKUP($B198,Seqs!$A:$B,2,0),I198,1),"")</f>
        <v>R</v>
      </c>
      <c r="I198" s="23">
        <v>78</v>
      </c>
      <c r="J198" s="3" t="str">
        <f>IFERROR(MID(VLOOKUP($B198,Seqs!$A:$B,2,0),K198,1),"")</f>
        <v>H</v>
      </c>
      <c r="K198" s="23">
        <v>81</v>
      </c>
      <c r="L198" s="3" t="str">
        <f>IFERROR(MID(VLOOKUP($B198,Seqs!$A:$B,2,0),M198,1),"")</f>
        <v>F</v>
      </c>
      <c r="M198" s="3">
        <v>82</v>
      </c>
      <c r="N198" s="3" t="str">
        <f>IFERROR(MID(VLOOKUP($B198,Seqs!$A:$B,2,0),O198,1),"")</f>
        <v>N</v>
      </c>
      <c r="O198" s="3">
        <v>108</v>
      </c>
      <c r="P198" s="3" t="str">
        <f>IFERROR(MID(VLOOKUP($B198,Seqs!$A:$B,2,0),Q198,1),"")</f>
        <v>G</v>
      </c>
      <c r="Q198" s="3">
        <v>110</v>
      </c>
      <c r="R198" s="3" t="str">
        <f>IFERROR(MID(VLOOKUP($B198,Seqs!$A:$B,2,0),S198,1),"")</f>
        <v>L</v>
      </c>
      <c r="S198" s="3">
        <v>116</v>
      </c>
      <c r="T198" s="3" t="str">
        <f>IFERROR(MID(VLOOKUP($B198,Seqs!$A:$B,2,0),U198,1),"")</f>
        <v>T</v>
      </c>
      <c r="U198" s="3">
        <v>117</v>
      </c>
      <c r="V198" s="3" t="str">
        <f>IFERROR(MID(VLOOKUP($B198,Seqs!$A:$B,2,0),W198,1),"")</f>
        <v>R</v>
      </c>
      <c r="W198" s="3">
        <v>152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T</v>
      </c>
      <c r="AC198" s="9">
        <v>157</v>
      </c>
      <c r="AD198" s="3" t="str">
        <f>IFERROR(MID(VLOOKUP($B198,Seqs!$A:$B,2,0),AE198,1),"")</f>
        <v>G</v>
      </c>
      <c r="AE198" s="3">
        <v>185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S</v>
      </c>
      <c r="AK198" s="3">
        <v>203</v>
      </c>
      <c r="AL198" s="3" t="str">
        <f>IFERROR(MID(VLOOKUP($B198,Seqs!$A:$B,2,0),AM198,1),"")</f>
        <v>R</v>
      </c>
      <c r="AM198" s="3">
        <v>235</v>
      </c>
      <c r="AN198" s="3" t="str">
        <f>IFERROR(MID(VLOOKUP($B198,Seqs!$A:$B,2,0),AO198,1),"")</f>
        <v>G</v>
      </c>
      <c r="AO198" s="3">
        <v>245</v>
      </c>
      <c r="AP198" s="3" t="str">
        <f>IFERROR(MID(VLOOKUP($B198,Seqs!$A:$B,2,0),AQ198,1),"")</f>
        <v>C</v>
      </c>
      <c r="AQ198" s="3">
        <v>284</v>
      </c>
      <c r="AR198" s="3" t="str">
        <f>IFERROR(MID(VLOOKUP($B198,Seqs!$A:$B,2,0),AS198,1),"")</f>
        <v>E</v>
      </c>
      <c r="AS198" s="3">
        <v>293</v>
      </c>
      <c r="AT198" s="3" t="str">
        <f>IFERROR(MID(VLOOKUP($B198,Seqs!$A:$B,2,0),AU198,1),"")</f>
        <v>R</v>
      </c>
      <c r="AU198" s="3">
        <v>314</v>
      </c>
      <c r="AV198" s="3" t="str">
        <f>IFERROR(MID(VLOOKUP($B198,Seqs!$A:$B,2,0),AW198,1),"")</f>
        <v>D</v>
      </c>
      <c r="AW198" s="3">
        <v>315</v>
      </c>
      <c r="AX198" s="3" t="str">
        <f>IFERROR(MID(VLOOKUP($B198,Seqs!$A:$B,2,0),AY198,1),"")</f>
        <v>C</v>
      </c>
      <c r="AY198" s="3">
        <v>327</v>
      </c>
      <c r="AZ198" s="77" t="str">
        <f>VLOOKUP(B198,Classification!A:D,2,0)</f>
        <v>A</v>
      </c>
      <c r="BA198" s="94" t="str">
        <f>VLOOKUP(B198,Classification!A:D,4,0)</f>
        <v>Lysophospholipid(LPA)</v>
      </c>
      <c r="BB198" s="27" t="b">
        <f t="shared" si="1062"/>
        <v>1</v>
      </c>
      <c r="BC198" s="23">
        <f t="shared" si="1035"/>
        <v>244</v>
      </c>
      <c r="BD198" s="5" t="s">
        <v>1376</v>
      </c>
      <c r="BE198" s="3" t="s">
        <v>1374</v>
      </c>
      <c r="BF198" s="119">
        <v>2.9</v>
      </c>
      <c r="BG198" s="49" t="s">
        <v>1377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036"/>
        <v>47</v>
      </c>
      <c r="BW198" s="71">
        <f t="shared" si="1037"/>
        <v>78</v>
      </c>
      <c r="BX198" s="72">
        <f t="shared" si="1038"/>
        <v>82</v>
      </c>
      <c r="BY198" s="71">
        <f t="shared" si="1039"/>
        <v>110</v>
      </c>
      <c r="BZ198" s="72">
        <f t="shared" si="1040"/>
        <v>117</v>
      </c>
      <c r="CA198" s="71" t="str">
        <f t="shared" si="1041"/>
        <v>-</v>
      </c>
      <c r="CB198" s="72">
        <f t="shared" si="1042"/>
        <v>157</v>
      </c>
      <c r="CC198" s="71" t="str">
        <f t="shared" si="1043"/>
        <v>-</v>
      </c>
      <c r="CD198" s="72">
        <f t="shared" si="1044"/>
        <v>203</v>
      </c>
      <c r="CE198" s="71">
        <f t="shared" si="1045"/>
        <v>245</v>
      </c>
      <c r="CF198" s="72">
        <f t="shared" si="1046"/>
        <v>293</v>
      </c>
      <c r="CG198" s="71">
        <f t="shared" si="1047"/>
        <v>315</v>
      </c>
      <c r="CH198" s="70">
        <f t="shared" si="1048"/>
        <v>77</v>
      </c>
      <c r="CI198" s="71">
        <f t="shared" si="1049"/>
        <v>81</v>
      </c>
      <c r="CJ198" s="72">
        <f t="shared" si="1050"/>
        <v>108</v>
      </c>
      <c r="CK198" s="72">
        <f t="shared" si="1051"/>
        <v>116</v>
      </c>
      <c r="CL198" s="72">
        <f t="shared" si="1052"/>
        <v>152</v>
      </c>
      <c r="CM198" s="72" t="str">
        <f t="shared" si="1053"/>
        <v>-</v>
      </c>
      <c r="CN198" s="72">
        <f t="shared" si="1054"/>
        <v>185</v>
      </c>
      <c r="CO198" s="72" t="str">
        <f t="shared" si="1055"/>
        <v>-</v>
      </c>
      <c r="CP198" s="72">
        <f t="shared" si="1056"/>
        <v>235</v>
      </c>
      <c r="CQ198" s="72">
        <f t="shared" si="1057"/>
        <v>284</v>
      </c>
      <c r="CR198" s="72">
        <f t="shared" si="1058"/>
        <v>314</v>
      </c>
      <c r="CS198" s="72">
        <f t="shared" si="1059"/>
        <v>327</v>
      </c>
      <c r="CT198" s="23">
        <f t="shared" si="1060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061"/>
        <v>lpar1_human_4Z36</v>
      </c>
      <c r="B199" s="3" t="s">
        <v>103</v>
      </c>
      <c r="C199" s="3" t="s">
        <v>1057</v>
      </c>
      <c r="D199" s="3" t="str">
        <f>IFERROR(MID(VLOOKUP($B199,Seqs!$A:$B,2,0),E199,1),"")</f>
        <v>T</v>
      </c>
      <c r="E199" s="3">
        <v>47</v>
      </c>
      <c r="F199" s="3" t="str">
        <f>IFERROR(MID(VLOOKUP($B199,Seqs!$A:$B,2,0),G199,1),"")</f>
        <v>N</v>
      </c>
      <c r="G199" s="3">
        <v>77</v>
      </c>
      <c r="H199" s="3" t="str">
        <f>IFERROR(MID(VLOOKUP($B199,Seqs!$A:$B,2,0),I199,1),"")</f>
        <v>R</v>
      </c>
      <c r="I199" s="23">
        <v>78</v>
      </c>
      <c r="J199" s="3" t="str">
        <f>IFERROR(MID(VLOOKUP($B199,Seqs!$A:$B,2,0),K199,1),"")</f>
        <v>H</v>
      </c>
      <c r="K199" s="23">
        <v>81</v>
      </c>
      <c r="L199" s="3" t="str">
        <f>IFERROR(MID(VLOOKUP($B199,Seqs!$A:$B,2,0),M199,1),"")</f>
        <v>F</v>
      </c>
      <c r="M199" s="3">
        <v>82</v>
      </c>
      <c r="N199" s="3" t="str">
        <f>IFERROR(MID(VLOOKUP($B199,Seqs!$A:$B,2,0),O199,1),"")</f>
        <v>N</v>
      </c>
      <c r="O199" s="3">
        <v>108</v>
      </c>
      <c r="P199" s="3" t="str">
        <f>IFERROR(MID(VLOOKUP($B199,Seqs!$A:$B,2,0),Q199,1),"")</f>
        <v>G</v>
      </c>
      <c r="Q199" s="3">
        <v>110</v>
      </c>
      <c r="R199" s="3" t="str">
        <f>IFERROR(MID(VLOOKUP($B199,Seqs!$A:$B,2,0),S199,1),"")</f>
        <v>L</v>
      </c>
      <c r="S199" s="3">
        <v>116</v>
      </c>
      <c r="T199" s="3" t="str">
        <f>IFERROR(MID(VLOOKUP($B199,Seqs!$A:$B,2,0),U199,1),"")</f>
        <v>T</v>
      </c>
      <c r="U199" s="3">
        <v>117</v>
      </c>
      <c r="V199" s="3" t="str">
        <f>IFERROR(MID(VLOOKUP($B199,Seqs!$A:$B,2,0),W199,1),"")</f>
        <v>R</v>
      </c>
      <c r="W199" s="3">
        <v>152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T</v>
      </c>
      <c r="AC199" s="9">
        <v>157</v>
      </c>
      <c r="AD199" s="3" t="str">
        <f>IFERROR(MID(VLOOKUP($B199,Seqs!$A:$B,2,0),AE199,1),"")</f>
        <v>G</v>
      </c>
      <c r="AE199" s="3">
        <v>185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>S</v>
      </c>
      <c r="AK199" s="3">
        <v>203</v>
      </c>
      <c r="AL199" s="3" t="str">
        <f>IFERROR(MID(VLOOKUP($B199,Seqs!$A:$B,2,0),AM199,1),"")</f>
        <v>R</v>
      </c>
      <c r="AM199" s="3">
        <v>235</v>
      </c>
      <c r="AN199" s="3" t="str">
        <f>IFERROR(MID(VLOOKUP($B199,Seqs!$A:$B,2,0),AO199,1),"")</f>
        <v>G</v>
      </c>
      <c r="AO199" s="3">
        <v>245</v>
      </c>
      <c r="AP199" s="3" t="str">
        <f>IFERROR(MID(VLOOKUP($B199,Seqs!$A:$B,2,0),AQ199,1),"")</f>
        <v>C</v>
      </c>
      <c r="AQ199" s="3">
        <v>284</v>
      </c>
      <c r="AR199" s="3" t="str">
        <f>IFERROR(MID(VLOOKUP($B199,Seqs!$A:$B,2,0),AS199,1),"")</f>
        <v>E</v>
      </c>
      <c r="AS199" s="3">
        <v>293</v>
      </c>
      <c r="AT199" s="3" t="str">
        <f>IFERROR(MID(VLOOKUP($B199,Seqs!$A:$B,2,0),AU199,1),"")</f>
        <v>R</v>
      </c>
      <c r="AU199" s="3">
        <v>314</v>
      </c>
      <c r="AV199" s="3" t="str">
        <f>IFERROR(MID(VLOOKUP($B199,Seqs!$A:$B,2,0),AW199,1),"")</f>
        <v>D</v>
      </c>
      <c r="AW199" s="3">
        <v>315</v>
      </c>
      <c r="AX199" s="3" t="str">
        <f>IFERROR(MID(VLOOKUP($B199,Seqs!$A:$B,2,0),AY199,1),"")</f>
        <v>C</v>
      </c>
      <c r="AY199" s="3">
        <v>327</v>
      </c>
      <c r="AZ199" s="77" t="str">
        <f>VLOOKUP(B199,Classification!A:D,2,0)</f>
        <v>A</v>
      </c>
      <c r="BA199" s="94" t="str">
        <f>VLOOKUP(B199,Classification!A:D,4,0)</f>
        <v>Lysophospholipid(LPA)</v>
      </c>
      <c r="BB199" s="27" t="b">
        <f t="shared" si="1062"/>
        <v>1</v>
      </c>
      <c r="BC199" s="23">
        <f t="shared" si="1035"/>
        <v>244</v>
      </c>
      <c r="BD199" s="5" t="s">
        <v>23</v>
      </c>
      <c r="BE199" s="3" t="s">
        <v>1374</v>
      </c>
      <c r="BF199" s="119">
        <v>2.9</v>
      </c>
      <c r="BG199" s="49" t="s">
        <v>1377</v>
      </c>
      <c r="BH199" s="49" t="s">
        <v>1377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 t="shared" si="1036"/>
        <v>47</v>
      </c>
      <c r="BW199" s="71">
        <f t="shared" si="1037"/>
        <v>78</v>
      </c>
      <c r="BX199" s="72">
        <f t="shared" si="1038"/>
        <v>82</v>
      </c>
      <c r="BY199" s="71">
        <f t="shared" si="1039"/>
        <v>110</v>
      </c>
      <c r="BZ199" s="72">
        <f t="shared" si="1040"/>
        <v>117</v>
      </c>
      <c r="CA199" s="71" t="str">
        <f t="shared" si="1041"/>
        <v>-</v>
      </c>
      <c r="CB199" s="72">
        <f t="shared" si="1042"/>
        <v>157</v>
      </c>
      <c r="CC199" s="71" t="str">
        <f t="shared" si="1043"/>
        <v>-</v>
      </c>
      <c r="CD199" s="72">
        <f t="shared" si="1044"/>
        <v>203</v>
      </c>
      <c r="CE199" s="71">
        <f t="shared" si="1045"/>
        <v>245</v>
      </c>
      <c r="CF199" s="72">
        <f t="shared" si="1046"/>
        <v>293</v>
      </c>
      <c r="CG199" s="71">
        <f t="shared" si="1047"/>
        <v>315</v>
      </c>
      <c r="CH199" s="70">
        <f t="shared" si="1048"/>
        <v>77</v>
      </c>
      <c r="CI199" s="71">
        <f t="shared" si="1049"/>
        <v>81</v>
      </c>
      <c r="CJ199" s="72">
        <f t="shared" si="1050"/>
        <v>108</v>
      </c>
      <c r="CK199" s="72">
        <f t="shared" si="1051"/>
        <v>116</v>
      </c>
      <c r="CL199" s="72">
        <f t="shared" si="1052"/>
        <v>152</v>
      </c>
      <c r="CM199" s="72" t="str">
        <f t="shared" si="1053"/>
        <v>-</v>
      </c>
      <c r="CN199" s="72">
        <f t="shared" si="1054"/>
        <v>185</v>
      </c>
      <c r="CO199" s="72" t="str">
        <f t="shared" si="1055"/>
        <v>-</v>
      </c>
      <c r="CP199" s="72">
        <f t="shared" si="1056"/>
        <v>235</v>
      </c>
      <c r="CQ199" s="72">
        <f t="shared" si="1057"/>
        <v>284</v>
      </c>
      <c r="CR199" s="72">
        <f t="shared" si="1058"/>
        <v>314</v>
      </c>
      <c r="CS199" s="72">
        <f t="shared" si="1059"/>
        <v>327</v>
      </c>
      <c r="CT199" s="23">
        <f t="shared" si="1060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s="12" customFormat="1" x14ac:dyDescent="0.2">
      <c r="A200" s="9" t="str">
        <f t="shared" ref="A200:A201" si="1063">CONCATENATE(B200,"_",C200)</f>
        <v>mtr1a_human__wt</v>
      </c>
      <c r="B200" s="9" t="s">
        <v>311</v>
      </c>
      <c r="C200" s="9" t="s">
        <v>100</v>
      </c>
      <c r="D200" s="9" t="str">
        <f>IFERROR(MID(VLOOKUP($B200,Seqs!$A:$B,2,0),E200,1),"")</f>
        <v>P</v>
      </c>
      <c r="E200" s="9">
        <v>23</v>
      </c>
      <c r="F200" s="9" t="str">
        <f>IFERROR(MID(VLOOKUP($B200,Seqs!$A:$B,2,0),G200,1),"")</f>
        <v>N</v>
      </c>
      <c r="G200" s="9">
        <v>55</v>
      </c>
      <c r="H200" s="9" t="str">
        <f>IFERROR(MID(VLOOKUP($B200,Seqs!$A:$B,2,0),I200,1),"")</f>
        <v>K</v>
      </c>
      <c r="I200" s="109">
        <v>56</v>
      </c>
      <c r="J200" s="9" t="str">
        <f>IFERROR(MID(VLOOKUP($B200,Seqs!$A:$B,2,0),K200,1),"")</f>
        <v>R</v>
      </c>
      <c r="K200" s="109">
        <v>59</v>
      </c>
      <c r="L200" s="9" t="str">
        <f>IFERROR(MID(VLOOKUP($B200,Seqs!$A:$B,2,0),M200,1),"")</f>
        <v>N</v>
      </c>
      <c r="M200" s="9">
        <v>60</v>
      </c>
      <c r="N200" s="9" t="str">
        <f>IFERROR(MID(VLOOKUP($B200,Seqs!$A:$B,2,0),O200,1),"")</f>
        <v>N</v>
      </c>
      <c r="O200" s="9">
        <v>91</v>
      </c>
      <c r="P200" s="9" t="str">
        <f>IFERROR(MID(VLOOKUP($B200,Seqs!$A:$B,2,0),Q200,1),"")</f>
        <v>G</v>
      </c>
      <c r="Q200" s="9">
        <v>92</v>
      </c>
      <c r="R200" s="9" t="str">
        <f>IFERROR(MID(VLOOKUP($B200,Seqs!$A:$B,2,0),S200,1),"")</f>
        <v>L</v>
      </c>
      <c r="S200" s="9">
        <v>95</v>
      </c>
      <c r="T200" s="9" t="str">
        <f>IFERROR(MID(VLOOKUP($B200,Seqs!$A:$B,2,0),U200,1),"")</f>
        <v>G</v>
      </c>
      <c r="U200" s="9">
        <v>96</v>
      </c>
      <c r="V200" s="9" t="str">
        <f>IFERROR(MID(VLOOKUP($B200,Seqs!$A:$B,2,0),W200,1),"")</f>
        <v>H</v>
      </c>
      <c r="W200" s="9">
        <v>131</v>
      </c>
      <c r="X200" s="9" t="str">
        <f>IFERROR(MID(VLOOKUP($B200,Seqs!$A:$B,2,0),Y200,1),"")</f>
        <v>S</v>
      </c>
      <c r="Y200" s="9">
        <v>132</v>
      </c>
      <c r="Z200" s="9" t="str">
        <f>IFERROR(MID(VLOOKUP($B200,Seqs!$A:$B,2,0),AA200,1),"")</f>
        <v>Y</v>
      </c>
      <c r="AA200" s="9">
        <v>139</v>
      </c>
      <c r="AB200" s="9" t="str">
        <f>IFERROR(MID(VLOOKUP($B200,Seqs!$A:$B,2,0),AC200,1),"")</f>
        <v>S</v>
      </c>
      <c r="AC200" s="9">
        <v>140</v>
      </c>
      <c r="AD200" s="9" t="str">
        <f>IFERROR(MID(VLOOKUP($B200,Seqs!$A:$B,2,0),AE200,1),"")</f>
        <v>G</v>
      </c>
      <c r="AE200" s="9">
        <v>166</v>
      </c>
      <c r="AF200" s="9" t="str">
        <f>IFERROR(MID(VLOOKUP($B200,Seqs!$A:$B,2,0),AG200,1),"")</f>
        <v>C</v>
      </c>
      <c r="AG200" s="9">
        <v>177</v>
      </c>
      <c r="AH200" s="3" t="str">
        <f>IFERROR(MID(VLOOKUP($B200,Seqs!$A:$B,2,0),AI200,1),"")</f>
        <v>F</v>
      </c>
      <c r="AI200" s="9">
        <v>179</v>
      </c>
      <c r="AJ200" s="9" t="str">
        <f>IFERROR(MID(VLOOKUP($B200,Seqs!$A:$B,2,0),AK200,1),"")</f>
        <v>S</v>
      </c>
      <c r="AK200" s="9">
        <v>184</v>
      </c>
      <c r="AL200" s="9" t="str">
        <f>IFERROR(MID(VLOOKUP($B200,Seqs!$A:$B,2,0),AM200,1),"")</f>
        <v>V</v>
      </c>
      <c r="AM200" s="9">
        <v>221</v>
      </c>
      <c r="AN200" s="9" t="str">
        <f>IFERROR(MID(VLOOKUP($B200,Seqs!$A:$B,2,0),AO200,1),"")</f>
        <v>P</v>
      </c>
      <c r="AO200" s="9">
        <v>227</v>
      </c>
      <c r="AP200" s="9" t="str">
        <f>IFERROR(MID(VLOOKUP($B200,Seqs!$A:$B,2,0),AQ200,1),"")</f>
        <v>D</v>
      </c>
      <c r="AQ200" s="9">
        <v>264</v>
      </c>
      <c r="AR200" s="9" t="str">
        <f>IFERROR(MID(VLOOKUP($B200,Seqs!$A:$B,2,0),AS200,1),"")</f>
        <v>P</v>
      </c>
      <c r="AS200" s="9">
        <v>273</v>
      </c>
      <c r="AT200" s="9" t="str">
        <f>IFERROR(MID(VLOOKUP($B200,Seqs!$A:$B,2,0),AU200,1),"")</f>
        <v>L</v>
      </c>
      <c r="AU200" s="9">
        <v>298</v>
      </c>
      <c r="AV200" s="9" t="str">
        <f>IFERROR(MID(VLOOKUP($B200,Seqs!$A:$B,2,0),AW200,1),"")</f>
        <v>N</v>
      </c>
      <c r="AW200" s="9">
        <v>299</v>
      </c>
      <c r="AX200" s="9" t="str">
        <f>IFERROR(MID(VLOOKUP($B200,Seqs!$A:$B,2,0),AY200,1),"")</f>
        <v>T</v>
      </c>
      <c r="AY200" s="9">
        <v>315</v>
      </c>
      <c r="AZ200" s="110" t="str">
        <f>VLOOKUP(B200,Classification!A:D,2,0)</f>
        <v>A</v>
      </c>
      <c r="BA200" s="98" t="str">
        <f>VLOOKUP(B200,Classification!A:D,4,0)</f>
        <v>Melatonin</v>
      </c>
      <c r="BB200" s="36" t="b">
        <f t="shared" ref="BB200:BB201" si="1064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:BC202" si="1065">_xlfn.AGGREGATE(9,6,CH200:CS200)-_xlfn.AGGREGATE(9,6,BV200:CG200)+12</f>
        <v>266</v>
      </c>
      <c r="BD200" s="13" t="s">
        <v>23</v>
      </c>
      <c r="BE200" s="9" t="s">
        <v>23</v>
      </c>
      <c r="BF200" s="120" t="s">
        <v>23</v>
      </c>
      <c r="BG200" s="51" t="s">
        <v>1377</v>
      </c>
      <c r="BH200" s="51" t="s">
        <v>1377</v>
      </c>
      <c r="BJ200" s="111" t="s">
        <v>1287</v>
      </c>
      <c r="BK200" s="112" t="s">
        <v>1287</v>
      </c>
      <c r="BL200" s="112" t="s">
        <v>1287</v>
      </c>
      <c r="BM200" s="112" t="s">
        <v>1287</v>
      </c>
      <c r="BN200" s="112" t="s">
        <v>1287</v>
      </c>
      <c r="BO200" s="112" t="s">
        <v>1287</v>
      </c>
      <c r="BP200" s="112" t="s">
        <v>1287</v>
      </c>
      <c r="BQ200" s="112" t="s">
        <v>1287</v>
      </c>
      <c r="BR200" s="112" t="s">
        <v>1287</v>
      </c>
      <c r="BS200" s="112" t="s">
        <v>1287</v>
      </c>
      <c r="BT200" s="112" t="s">
        <v>1287</v>
      </c>
      <c r="BU200" s="112" t="s">
        <v>1287</v>
      </c>
      <c r="BV200" s="111">
        <f t="shared" ref="BV200:BV201" si="1066">E200</f>
        <v>23</v>
      </c>
      <c r="BW200" s="113">
        <f t="shared" ref="BW200:BW201" si="1067">I200</f>
        <v>56</v>
      </c>
      <c r="BX200" s="114">
        <f t="shared" ref="BX200:BX201" si="1068">M200</f>
        <v>60</v>
      </c>
      <c r="BY200" s="113">
        <f t="shared" ref="BY200:BY201" si="1069">Q200</f>
        <v>92</v>
      </c>
      <c r="BZ200" s="114">
        <f t="shared" ref="BZ200:BZ201" si="1070">U200</f>
        <v>96</v>
      </c>
      <c r="CA200" s="113">
        <f t="shared" ref="CA200:CA201" si="1071">Y200</f>
        <v>132</v>
      </c>
      <c r="CB200" s="114">
        <f t="shared" ref="CB200:CB201" si="1072">AC200</f>
        <v>140</v>
      </c>
      <c r="CC200" s="113">
        <f t="shared" ref="CC200:CC201" si="1073">AG200</f>
        <v>177</v>
      </c>
      <c r="CD200" s="114">
        <f t="shared" ref="CD200:CD201" si="1074">AK200</f>
        <v>184</v>
      </c>
      <c r="CE200" s="113">
        <f t="shared" ref="CE200:CE201" si="1075">AO200</f>
        <v>227</v>
      </c>
      <c r="CF200" s="114">
        <f t="shared" ref="CF200:CF201" si="1076">AS200</f>
        <v>273</v>
      </c>
      <c r="CG200" s="113">
        <f t="shared" ref="CG200:CG201" si="1077">AW200</f>
        <v>299</v>
      </c>
      <c r="CH200" s="111">
        <f t="shared" ref="CH200:CH201" si="1078">G200</f>
        <v>55</v>
      </c>
      <c r="CI200" s="113">
        <f t="shared" ref="CI200:CI201" si="1079">K200</f>
        <v>59</v>
      </c>
      <c r="CJ200" s="114">
        <f t="shared" ref="CJ200:CJ201" si="1080">O200</f>
        <v>91</v>
      </c>
      <c r="CK200" s="114">
        <f t="shared" ref="CK200:CK201" si="1081">S200</f>
        <v>95</v>
      </c>
      <c r="CL200" s="114">
        <f t="shared" ref="CL200:CL201" si="1082">W200</f>
        <v>131</v>
      </c>
      <c r="CM200" s="114">
        <f t="shared" ref="CM200:CM201" si="1083">AA200</f>
        <v>139</v>
      </c>
      <c r="CN200" s="114">
        <f t="shared" ref="CN200:CN201" si="1084">AE200</f>
        <v>166</v>
      </c>
      <c r="CO200" s="114">
        <f t="shared" ref="CO200:CO201" si="1085">AI200</f>
        <v>179</v>
      </c>
      <c r="CP200" s="114">
        <f t="shared" ref="CP200:CP201" si="1086">AM200</f>
        <v>221</v>
      </c>
      <c r="CQ200" s="114">
        <f t="shared" ref="CQ200:CQ201" si="1087">AQ200</f>
        <v>264</v>
      </c>
      <c r="CR200" s="114">
        <f t="shared" ref="CR200:CR201" si="1088">AU200</f>
        <v>298</v>
      </c>
      <c r="CS200" s="114">
        <f t="shared" ref="CS200:CS201" si="1089">AY200</f>
        <v>315</v>
      </c>
      <c r="CT200" s="109">
        <f t="shared" ref="CT200:CT201" si="1090">M200-K200</f>
        <v>1</v>
      </c>
    </row>
    <row r="201" spans="1:1029" s="12" customFormat="1" x14ac:dyDescent="0.2">
      <c r="A201" s="9" t="str">
        <f t="shared" si="1063"/>
        <v>mtr1a_human_6ME2</v>
      </c>
      <c r="B201" s="9" t="s">
        <v>311</v>
      </c>
      <c r="C201" s="9" t="s">
        <v>1564</v>
      </c>
      <c r="D201" s="9" t="str">
        <f>IFERROR(MID(VLOOKUP($B201,Seqs!$A:$B,2,0),E201,1),"")</f>
        <v>P</v>
      </c>
      <c r="E201" s="9">
        <v>23</v>
      </c>
      <c r="F201" s="9" t="str">
        <f>IFERROR(MID(VLOOKUP($B201,Seqs!$A:$B,2,0),G201,1),"")</f>
        <v>N</v>
      </c>
      <c r="G201" s="9">
        <v>55</v>
      </c>
      <c r="H201" s="9" t="str">
        <f>IFERROR(MID(VLOOKUP($B201,Seqs!$A:$B,2,0),I201,1),"")</f>
        <v>K</v>
      </c>
      <c r="I201" s="109">
        <v>56</v>
      </c>
      <c r="J201" s="9" t="str">
        <f>IFERROR(MID(VLOOKUP($B201,Seqs!$A:$B,2,0),K201,1),"")</f>
        <v>R</v>
      </c>
      <c r="K201" s="109">
        <v>59</v>
      </c>
      <c r="L201" s="9" t="str">
        <f>IFERROR(MID(VLOOKUP($B201,Seqs!$A:$B,2,0),M201,1),"")</f>
        <v>N</v>
      </c>
      <c r="M201" s="9">
        <v>60</v>
      </c>
      <c r="N201" s="9" t="str">
        <f>IFERROR(MID(VLOOKUP($B201,Seqs!$A:$B,2,0),O201,1),"")</f>
        <v>N</v>
      </c>
      <c r="O201" s="9">
        <v>91</v>
      </c>
      <c r="P201" s="9" t="str">
        <f>IFERROR(MID(VLOOKUP($B201,Seqs!$A:$B,2,0),Q201,1),"")</f>
        <v>G</v>
      </c>
      <c r="Q201" s="9">
        <v>92</v>
      </c>
      <c r="R201" s="9" t="str">
        <f>IFERROR(MID(VLOOKUP($B201,Seqs!$A:$B,2,0),S201,1),"")</f>
        <v>L</v>
      </c>
      <c r="S201" s="9">
        <v>95</v>
      </c>
      <c r="T201" s="9" t="str">
        <f>IFERROR(MID(VLOOKUP($B201,Seqs!$A:$B,2,0),U201,1),"")</f>
        <v>G</v>
      </c>
      <c r="U201" s="9">
        <v>96</v>
      </c>
      <c r="V201" s="9" t="str">
        <f>IFERROR(MID(VLOOKUP($B201,Seqs!$A:$B,2,0),W201,1),"")</f>
        <v>Y</v>
      </c>
      <c r="W201" s="9">
        <v>135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N</v>
      </c>
      <c r="AC201" s="9">
        <v>143</v>
      </c>
      <c r="AD201" s="9" t="str">
        <f>IFERROR(MID(VLOOKUP($B201,Seqs!$A:$B,2,0),AE201,1),"")</f>
        <v>G</v>
      </c>
      <c r="AE201" s="9">
        <v>166</v>
      </c>
      <c r="AF201" s="9" t="str">
        <f>IFERROR(MID(VLOOKUP($B201,Seqs!$A:$B,2,0),AG201,1),"")</f>
        <v>C</v>
      </c>
      <c r="AG201" s="9">
        <v>177</v>
      </c>
      <c r="AH201" s="9" t="str">
        <f>IFERROR(MID(VLOOKUP($B201,Seqs!$A:$B,2,0),AI201,1),"")</f>
        <v>F</v>
      </c>
      <c r="AI201" s="9">
        <v>179</v>
      </c>
      <c r="AJ201" s="9" t="str">
        <f>IFERROR(MID(VLOOKUP($B201,Seqs!$A:$B,2,0),AK201,1),"")</f>
        <v>S</v>
      </c>
      <c r="AK201" s="9">
        <v>184</v>
      </c>
      <c r="AL201" s="9" t="str">
        <f>IFERROR(MID(VLOOKUP($B201,Seqs!$A:$B,2,0),AM201,1),"")</f>
        <v>R</v>
      </c>
      <c r="AM201" s="9">
        <v>218</v>
      </c>
      <c r="AN201" s="9" t="str">
        <f>IFERROR(MID(VLOOKUP($B201,Seqs!$A:$B,2,0),AO201,1),"")</f>
        <v>R</v>
      </c>
      <c r="AO201" s="9">
        <v>235</v>
      </c>
      <c r="AP201" s="9" t="str">
        <f>IFERROR(MID(VLOOKUP($B201,Seqs!$A:$B,2,0),AQ201,1),"")</f>
        <v>D</v>
      </c>
      <c r="AQ201" s="9">
        <v>264</v>
      </c>
      <c r="AR201" s="9" t="str">
        <f>IFERROR(MID(VLOOKUP($B201,Seqs!$A:$B,2,0),AS201,1),"")</f>
        <v>P</v>
      </c>
      <c r="AS201" s="9">
        <v>273</v>
      </c>
      <c r="AT201" s="9" t="str">
        <f>IFERROR(MID(VLOOKUP($B201,Seqs!$A:$B,2,0),AU201,1),"")</f>
        <v>L</v>
      </c>
      <c r="AU201" s="9">
        <v>298</v>
      </c>
      <c r="AV201" s="9" t="str">
        <f>IFERROR(MID(VLOOKUP($B201,Seqs!$A:$B,2,0),AW201,1),"")</f>
        <v>N</v>
      </c>
      <c r="AW201" s="9">
        <v>299</v>
      </c>
      <c r="AX201" s="9" t="str">
        <f>IFERROR(MID(VLOOKUP($B201,Seqs!$A:$B,2,0),AY201,1),"")</f>
        <v>T</v>
      </c>
      <c r="AY201" s="9">
        <v>315</v>
      </c>
      <c r="AZ201" s="110" t="str">
        <f>VLOOKUP(B201,Classification!A:D,2,0)</f>
        <v>A</v>
      </c>
      <c r="BA201" s="98" t="str">
        <f>VLOOKUP(B201,Classification!A:D,4,0)</f>
        <v>Melatonin</v>
      </c>
      <c r="BB201" s="36" t="b">
        <f t="shared" si="1064"/>
        <v>1</v>
      </c>
      <c r="BC201" s="109">
        <f t="shared" si="1065"/>
        <v>249</v>
      </c>
      <c r="BD201" s="13" t="s">
        <v>1376</v>
      </c>
      <c r="BE201" s="9" t="s">
        <v>1374</v>
      </c>
      <c r="BF201" s="120">
        <v>2.8</v>
      </c>
      <c r="BG201" s="51" t="s">
        <v>1</v>
      </c>
      <c r="BH201" s="51" t="s">
        <v>1</v>
      </c>
      <c r="BJ201" s="111" t="s">
        <v>1287</v>
      </c>
      <c r="BK201" s="112" t="s">
        <v>1287</v>
      </c>
      <c r="BL201" s="112" t="s">
        <v>1287</v>
      </c>
      <c r="BM201" s="112" t="s">
        <v>1287</v>
      </c>
      <c r="BN201" s="112" t="s">
        <v>1287</v>
      </c>
      <c r="BO201" s="112" t="s">
        <v>1287</v>
      </c>
      <c r="BP201" s="112" t="s">
        <v>1287</v>
      </c>
      <c r="BQ201" s="112" t="s">
        <v>1287</v>
      </c>
      <c r="BR201" s="112" t="s">
        <v>1287</v>
      </c>
      <c r="BS201" s="112" t="s">
        <v>1287</v>
      </c>
      <c r="BT201" s="112" t="s">
        <v>1287</v>
      </c>
      <c r="BU201" s="112" t="s">
        <v>1287</v>
      </c>
      <c r="BV201" s="111">
        <f t="shared" si="1066"/>
        <v>23</v>
      </c>
      <c r="BW201" s="113">
        <f t="shared" si="1067"/>
        <v>56</v>
      </c>
      <c r="BX201" s="114">
        <f t="shared" si="1068"/>
        <v>60</v>
      </c>
      <c r="BY201" s="113">
        <f t="shared" si="1069"/>
        <v>92</v>
      </c>
      <c r="BZ201" s="114">
        <f t="shared" si="1070"/>
        <v>96</v>
      </c>
      <c r="CA201" s="113" t="str">
        <f t="shared" si="1071"/>
        <v>-</v>
      </c>
      <c r="CB201" s="114">
        <f t="shared" si="1072"/>
        <v>143</v>
      </c>
      <c r="CC201" s="113">
        <f t="shared" si="1073"/>
        <v>177</v>
      </c>
      <c r="CD201" s="114">
        <f t="shared" si="1074"/>
        <v>184</v>
      </c>
      <c r="CE201" s="113">
        <f t="shared" si="1075"/>
        <v>235</v>
      </c>
      <c r="CF201" s="114">
        <f t="shared" si="1076"/>
        <v>273</v>
      </c>
      <c r="CG201" s="113">
        <f t="shared" si="1077"/>
        <v>299</v>
      </c>
      <c r="CH201" s="111">
        <f t="shared" si="1078"/>
        <v>55</v>
      </c>
      <c r="CI201" s="113">
        <f t="shared" si="1079"/>
        <v>59</v>
      </c>
      <c r="CJ201" s="114">
        <f t="shared" si="1080"/>
        <v>91</v>
      </c>
      <c r="CK201" s="114">
        <f t="shared" si="1081"/>
        <v>95</v>
      </c>
      <c r="CL201" s="114">
        <f t="shared" si="1082"/>
        <v>135</v>
      </c>
      <c r="CM201" s="114" t="str">
        <f t="shared" si="1083"/>
        <v>-</v>
      </c>
      <c r="CN201" s="114">
        <f t="shared" si="1084"/>
        <v>166</v>
      </c>
      <c r="CO201" s="114">
        <f t="shared" si="1085"/>
        <v>179</v>
      </c>
      <c r="CP201" s="114">
        <f t="shared" si="1086"/>
        <v>218</v>
      </c>
      <c r="CQ201" s="114">
        <f t="shared" si="1087"/>
        <v>264</v>
      </c>
      <c r="CR201" s="114">
        <f t="shared" si="1088"/>
        <v>298</v>
      </c>
      <c r="CS201" s="114">
        <f t="shared" si="1089"/>
        <v>315</v>
      </c>
      <c r="CT201" s="109">
        <f t="shared" si="1090"/>
        <v>1</v>
      </c>
    </row>
    <row r="202" spans="1:1029" s="12" customFormat="1" x14ac:dyDescent="0.2">
      <c r="A202" s="9" t="str">
        <f t="shared" ref="A202" si="1091">CONCATENATE(B202,"_",C202)</f>
        <v>mtr1a_human_6ME3</v>
      </c>
      <c r="B202" s="9" t="s">
        <v>311</v>
      </c>
      <c r="C202" s="9" t="s">
        <v>1565</v>
      </c>
      <c r="D202" s="9" t="str">
        <f>IFERROR(MID(VLOOKUP($B202,Seqs!$A:$B,2,0),E202,1),"")</f>
        <v>P</v>
      </c>
      <c r="E202" s="9">
        <v>23</v>
      </c>
      <c r="F202" s="9" t="str">
        <f>IFERROR(MID(VLOOKUP($B202,Seqs!$A:$B,2,0),G202,1),"")</f>
        <v>N</v>
      </c>
      <c r="G202" s="9">
        <v>55</v>
      </c>
      <c r="H202" s="9" t="str">
        <f>IFERROR(MID(VLOOKUP($B202,Seqs!$A:$B,2,0),I202,1),"")</f>
        <v>K</v>
      </c>
      <c r="I202" s="109">
        <v>56</v>
      </c>
      <c r="J202" s="9" t="str">
        <f>IFERROR(MID(VLOOKUP($B202,Seqs!$A:$B,2,0),K202,1),"")</f>
        <v>R</v>
      </c>
      <c r="K202" s="109">
        <v>59</v>
      </c>
      <c r="L202" s="9" t="str">
        <f>IFERROR(MID(VLOOKUP($B202,Seqs!$A:$B,2,0),M202,1),"")</f>
        <v>N</v>
      </c>
      <c r="M202" s="9">
        <v>60</v>
      </c>
      <c r="N202" s="9" t="str">
        <f>IFERROR(MID(VLOOKUP($B202,Seqs!$A:$B,2,0),O202,1),"")</f>
        <v>N</v>
      </c>
      <c r="O202" s="9">
        <v>91</v>
      </c>
      <c r="P202" s="9" t="str">
        <f>IFERROR(MID(VLOOKUP($B202,Seqs!$A:$B,2,0),Q202,1),"")</f>
        <v>G</v>
      </c>
      <c r="Q202" s="9">
        <v>92</v>
      </c>
      <c r="R202" s="9" t="str">
        <f>IFERROR(MID(VLOOKUP($B202,Seqs!$A:$B,2,0),S202,1),"")</f>
        <v>L</v>
      </c>
      <c r="S202" s="9">
        <v>95</v>
      </c>
      <c r="T202" s="9" t="str">
        <f>IFERROR(MID(VLOOKUP($B202,Seqs!$A:$B,2,0),U202,1),"")</f>
        <v>G</v>
      </c>
      <c r="U202" s="9">
        <v>96</v>
      </c>
      <c r="V202" s="9" t="str">
        <f>IFERROR(MID(VLOOKUP($B202,Seqs!$A:$B,2,0),W202,1),"")</f>
        <v>Y</v>
      </c>
      <c r="W202" s="9">
        <v>135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N</v>
      </c>
      <c r="AC202" s="9">
        <v>143</v>
      </c>
      <c r="AD202" s="9" t="str">
        <f>IFERROR(MID(VLOOKUP($B202,Seqs!$A:$B,2,0),AE202,1),"")</f>
        <v>G</v>
      </c>
      <c r="AE202" s="9">
        <v>166</v>
      </c>
      <c r="AF202" s="9" t="str">
        <f>IFERROR(MID(VLOOKUP($B202,Seqs!$A:$B,2,0),AG202,1),"")</f>
        <v>C</v>
      </c>
      <c r="AG202" s="9">
        <v>177</v>
      </c>
      <c r="AH202" s="9" t="str">
        <f>IFERROR(MID(VLOOKUP($B202,Seqs!$A:$B,2,0),AI202,1),"")</f>
        <v>F</v>
      </c>
      <c r="AI202" s="9">
        <v>179</v>
      </c>
      <c r="AJ202" s="9" t="str">
        <f>IFERROR(MID(VLOOKUP($B202,Seqs!$A:$B,2,0),AK202,1),"")</f>
        <v>S</v>
      </c>
      <c r="AK202" s="9">
        <v>184</v>
      </c>
      <c r="AL202" s="9" t="str">
        <f>IFERROR(MID(VLOOKUP($B202,Seqs!$A:$B,2,0),AM202,1),"")</f>
        <v>R</v>
      </c>
      <c r="AM202" s="9">
        <v>218</v>
      </c>
      <c r="AN202" s="9" t="str">
        <f>IFERROR(MID(VLOOKUP($B202,Seqs!$A:$B,2,0),AO202,1),"")</f>
        <v>R</v>
      </c>
      <c r="AO202" s="9">
        <v>235</v>
      </c>
      <c r="AP202" s="9" t="str">
        <f>IFERROR(MID(VLOOKUP($B202,Seqs!$A:$B,2,0),AQ202,1),"")</f>
        <v>D</v>
      </c>
      <c r="AQ202" s="9">
        <v>264</v>
      </c>
      <c r="AR202" s="9" t="str">
        <f>IFERROR(MID(VLOOKUP($B202,Seqs!$A:$B,2,0),AS202,1),"")</f>
        <v>P</v>
      </c>
      <c r="AS202" s="9">
        <v>273</v>
      </c>
      <c r="AT202" s="9" t="str">
        <f>IFERROR(MID(VLOOKUP($B202,Seqs!$A:$B,2,0),AU202,1),"")</f>
        <v>L</v>
      </c>
      <c r="AU202" s="9">
        <v>298</v>
      </c>
      <c r="AV202" s="9" t="str">
        <f>IFERROR(MID(VLOOKUP($B202,Seqs!$A:$B,2,0),AW202,1),"")</f>
        <v>N</v>
      </c>
      <c r="AW202" s="9">
        <v>299</v>
      </c>
      <c r="AX202" s="9" t="str">
        <f>IFERROR(MID(VLOOKUP($B202,Seqs!$A:$B,2,0),AY202,1),"")</f>
        <v>T</v>
      </c>
      <c r="AY202" s="9">
        <v>315</v>
      </c>
      <c r="AZ202" s="110" t="str">
        <f>VLOOKUP(B202,Classification!A:D,2,0)</f>
        <v>A</v>
      </c>
      <c r="BA202" s="98" t="str">
        <f>VLOOKUP(B202,Classification!A:D,4,0)</f>
        <v>Melatonin</v>
      </c>
      <c r="BB202" s="36" t="b">
        <f t="shared" ref="BB202" si="1092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 t="shared" si="1065"/>
        <v>249</v>
      </c>
      <c r="BD202" s="13" t="s">
        <v>23</v>
      </c>
      <c r="BE202" s="9" t="s">
        <v>1374</v>
      </c>
      <c r="BF202" s="120">
        <v>2.9</v>
      </c>
      <c r="BG202" s="51" t="s">
        <v>1</v>
      </c>
      <c r="BH202" s="51" t="s">
        <v>1</v>
      </c>
      <c r="BJ202" s="111" t="s">
        <v>1287</v>
      </c>
      <c r="BK202" s="112" t="s">
        <v>1287</v>
      </c>
      <c r="BL202" s="112" t="s">
        <v>1287</v>
      </c>
      <c r="BM202" s="112" t="s">
        <v>1287</v>
      </c>
      <c r="BN202" s="112" t="s">
        <v>1287</v>
      </c>
      <c r="BO202" s="112" t="s">
        <v>1287</v>
      </c>
      <c r="BP202" s="112" t="s">
        <v>1287</v>
      </c>
      <c r="BQ202" s="112" t="s">
        <v>1287</v>
      </c>
      <c r="BR202" s="112" t="s">
        <v>1287</v>
      </c>
      <c r="BS202" s="112" t="s">
        <v>1287</v>
      </c>
      <c r="BT202" s="112" t="s">
        <v>1287</v>
      </c>
      <c r="BU202" s="112" t="s">
        <v>1287</v>
      </c>
      <c r="BV202" s="111">
        <f t="shared" ref="BV202" si="1093">E202</f>
        <v>23</v>
      </c>
      <c r="BW202" s="113">
        <f t="shared" ref="BW202" si="1094">I202</f>
        <v>56</v>
      </c>
      <c r="BX202" s="114">
        <f t="shared" ref="BX202" si="1095">M202</f>
        <v>60</v>
      </c>
      <c r="BY202" s="113">
        <f t="shared" ref="BY202" si="1096">Q202</f>
        <v>92</v>
      </c>
      <c r="BZ202" s="114">
        <f t="shared" ref="BZ202" si="1097">U202</f>
        <v>96</v>
      </c>
      <c r="CA202" s="113" t="str">
        <f t="shared" ref="CA202" si="1098">Y202</f>
        <v>-</v>
      </c>
      <c r="CB202" s="114">
        <f t="shared" ref="CB202" si="1099">AC202</f>
        <v>143</v>
      </c>
      <c r="CC202" s="113">
        <f t="shared" ref="CC202" si="1100">AG202</f>
        <v>177</v>
      </c>
      <c r="CD202" s="114">
        <f t="shared" ref="CD202" si="1101">AK202</f>
        <v>184</v>
      </c>
      <c r="CE202" s="113">
        <f t="shared" ref="CE202" si="1102">AO202</f>
        <v>235</v>
      </c>
      <c r="CF202" s="114">
        <f t="shared" ref="CF202" si="1103">AS202</f>
        <v>273</v>
      </c>
      <c r="CG202" s="113">
        <f t="shared" ref="CG202" si="1104">AW202</f>
        <v>299</v>
      </c>
      <c r="CH202" s="111">
        <f t="shared" ref="CH202" si="1105">G202</f>
        <v>55</v>
      </c>
      <c r="CI202" s="113">
        <f t="shared" ref="CI202" si="1106">K202</f>
        <v>59</v>
      </c>
      <c r="CJ202" s="114">
        <f t="shared" ref="CJ202" si="1107">O202</f>
        <v>91</v>
      </c>
      <c r="CK202" s="114">
        <f t="shared" ref="CK202" si="1108">S202</f>
        <v>95</v>
      </c>
      <c r="CL202" s="114">
        <f t="shared" ref="CL202" si="1109">W202</f>
        <v>135</v>
      </c>
      <c r="CM202" s="114" t="str">
        <f t="shared" ref="CM202" si="1110">AA202</f>
        <v>-</v>
      </c>
      <c r="CN202" s="114">
        <f t="shared" ref="CN202" si="1111">AE202</f>
        <v>166</v>
      </c>
      <c r="CO202" s="114">
        <f t="shared" ref="CO202" si="1112">AI202</f>
        <v>179</v>
      </c>
      <c r="CP202" s="114">
        <f t="shared" ref="CP202" si="1113">AM202</f>
        <v>218</v>
      </c>
      <c r="CQ202" s="114">
        <f t="shared" ref="CQ202" si="1114">AQ202</f>
        <v>264</v>
      </c>
      <c r="CR202" s="114">
        <f t="shared" ref="CR202" si="1115">AU202</f>
        <v>298</v>
      </c>
      <c r="CS202" s="114">
        <f t="shared" ref="CS202" si="1116">AY202</f>
        <v>315</v>
      </c>
      <c r="CT202" s="109">
        <f t="shared" ref="CT202" si="1117">M202-K202</f>
        <v>1</v>
      </c>
    </row>
    <row r="203" spans="1:1029" s="12" customFormat="1" x14ac:dyDescent="0.2">
      <c r="A203" s="9" t="str">
        <f t="shared" ref="A203" si="1118">CONCATENATE(B203,"_",C203)</f>
        <v>mtr1a_human_6ME4</v>
      </c>
      <c r="B203" s="9" t="s">
        <v>311</v>
      </c>
      <c r="C203" s="9" t="s">
        <v>1566</v>
      </c>
      <c r="D203" s="9" t="str">
        <f>IFERROR(MID(VLOOKUP($B203,Seqs!$A:$B,2,0),E203,1),"")</f>
        <v>P</v>
      </c>
      <c r="E203" s="9">
        <v>23</v>
      </c>
      <c r="F203" s="9" t="str">
        <f>IFERROR(MID(VLOOKUP($B203,Seqs!$A:$B,2,0),G203,1),"")</f>
        <v>N</v>
      </c>
      <c r="G203" s="9">
        <v>55</v>
      </c>
      <c r="H203" s="9" t="str">
        <f>IFERROR(MID(VLOOKUP($B203,Seqs!$A:$B,2,0),I203,1),"")</f>
        <v>K</v>
      </c>
      <c r="I203" s="109">
        <v>56</v>
      </c>
      <c r="J203" s="9" t="str">
        <f>IFERROR(MID(VLOOKUP($B203,Seqs!$A:$B,2,0),K203,1),"")</f>
        <v>R</v>
      </c>
      <c r="K203" s="109">
        <v>59</v>
      </c>
      <c r="L203" s="9" t="str">
        <f>IFERROR(MID(VLOOKUP($B203,Seqs!$A:$B,2,0),M203,1),"")</f>
        <v>N</v>
      </c>
      <c r="M203" s="9">
        <v>60</v>
      </c>
      <c r="N203" s="9" t="str">
        <f>IFERROR(MID(VLOOKUP($B203,Seqs!$A:$B,2,0),O203,1),"")</f>
        <v>N</v>
      </c>
      <c r="O203" s="9">
        <v>91</v>
      </c>
      <c r="P203" s="9" t="str">
        <f>IFERROR(MID(VLOOKUP($B203,Seqs!$A:$B,2,0),Q203,1),"")</f>
        <v>G</v>
      </c>
      <c r="Q203" s="9">
        <v>92</v>
      </c>
      <c r="R203" s="9" t="str">
        <f>IFERROR(MID(VLOOKUP($B203,Seqs!$A:$B,2,0),S203,1),"")</f>
        <v>L</v>
      </c>
      <c r="S203" s="9">
        <v>95</v>
      </c>
      <c r="T203" s="9" t="str">
        <f>IFERROR(MID(VLOOKUP($B203,Seqs!$A:$B,2,0),U203,1),"")</f>
        <v>G</v>
      </c>
      <c r="U203" s="9">
        <v>96</v>
      </c>
      <c r="V203" s="9" t="str">
        <f>IFERROR(MID(VLOOKUP($B203,Seqs!$A:$B,2,0),W203,1),"")</f>
        <v>Y</v>
      </c>
      <c r="W203" s="9">
        <v>135</v>
      </c>
      <c r="X203" s="9" t="str">
        <f>IFERROR(MID(VLOOKUP($B203,Seqs!$A:$B,2,0),Y203,1),"")</f>
        <v/>
      </c>
      <c r="Y203" s="9" t="s">
        <v>23</v>
      </c>
      <c r="Z203" s="9" t="str">
        <f>IFERROR(MID(VLOOKUP($B203,Seqs!$A:$B,2,0),AA203,1),"")</f>
        <v/>
      </c>
      <c r="AA203" s="9" t="s">
        <v>23</v>
      </c>
      <c r="AB203" s="9" t="str">
        <f>IFERROR(MID(VLOOKUP($B203,Seqs!$A:$B,2,0),AC203,1),"")</f>
        <v>N</v>
      </c>
      <c r="AC203" s="9">
        <v>143</v>
      </c>
      <c r="AD203" s="9" t="str">
        <f>IFERROR(MID(VLOOKUP($B203,Seqs!$A:$B,2,0),AE203,1),"")</f>
        <v>G</v>
      </c>
      <c r="AE203" s="9">
        <v>166</v>
      </c>
      <c r="AF203" s="9" t="str">
        <f>IFERROR(MID(VLOOKUP($B203,Seqs!$A:$B,2,0),AG203,1),"")</f>
        <v>C</v>
      </c>
      <c r="AG203" s="9">
        <v>177</v>
      </c>
      <c r="AH203" s="9" t="str">
        <f>IFERROR(MID(VLOOKUP($B203,Seqs!$A:$B,2,0),AI203,1),"")</f>
        <v>F</v>
      </c>
      <c r="AI203" s="9">
        <v>179</v>
      </c>
      <c r="AJ203" s="9" t="str">
        <f>IFERROR(MID(VLOOKUP($B203,Seqs!$A:$B,2,0),AK203,1),"")</f>
        <v>S</v>
      </c>
      <c r="AK203" s="9">
        <v>184</v>
      </c>
      <c r="AL203" s="9" t="str">
        <f>IFERROR(MID(VLOOKUP($B203,Seqs!$A:$B,2,0),AM203,1),"")</f>
        <v>R</v>
      </c>
      <c r="AM203" s="9">
        <v>218</v>
      </c>
      <c r="AN203" s="9" t="str">
        <f>IFERROR(MID(VLOOKUP($B203,Seqs!$A:$B,2,0),AO203,1),"")</f>
        <v>R</v>
      </c>
      <c r="AO203" s="9">
        <v>235</v>
      </c>
      <c r="AP203" s="9" t="str">
        <f>IFERROR(MID(VLOOKUP($B203,Seqs!$A:$B,2,0),AQ203,1),"")</f>
        <v>D</v>
      </c>
      <c r="AQ203" s="9">
        <v>264</v>
      </c>
      <c r="AR203" s="9" t="str">
        <f>IFERROR(MID(VLOOKUP($B203,Seqs!$A:$B,2,0),AS203,1),"")</f>
        <v>P</v>
      </c>
      <c r="AS203" s="9">
        <v>273</v>
      </c>
      <c r="AT203" s="9" t="str">
        <f>IFERROR(MID(VLOOKUP($B203,Seqs!$A:$B,2,0),AU203,1),"")</f>
        <v>L</v>
      </c>
      <c r="AU203" s="9">
        <v>298</v>
      </c>
      <c r="AV203" s="9" t="str">
        <f>IFERROR(MID(VLOOKUP($B203,Seqs!$A:$B,2,0),AW203,1),"")</f>
        <v>N</v>
      </c>
      <c r="AW203" s="9">
        <v>299</v>
      </c>
      <c r="AX203" s="9" t="str">
        <f>IFERROR(MID(VLOOKUP($B203,Seqs!$A:$B,2,0),AY203,1),"")</f>
        <v>T</v>
      </c>
      <c r="AY203" s="9">
        <v>315</v>
      </c>
      <c r="AZ203" s="110" t="str">
        <f>VLOOKUP(B203,Classification!A:D,2,0)</f>
        <v>A</v>
      </c>
      <c r="BA203" s="98" t="str">
        <f>VLOOKUP(B203,Classification!A:D,4,0)</f>
        <v>Melatonin</v>
      </c>
      <c r="BB203" s="36" t="b">
        <f t="shared" ref="BB203" si="1119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120">_xlfn.AGGREGATE(9,6,CH203:CS203)-_xlfn.AGGREGATE(9,6,BV203:CG203)+12</f>
        <v>249</v>
      </c>
      <c r="BD203" s="13" t="s">
        <v>23</v>
      </c>
      <c r="BE203" s="9" t="s">
        <v>1374</v>
      </c>
      <c r="BF203" s="120">
        <v>3.2</v>
      </c>
      <c r="BG203" s="51" t="s">
        <v>1</v>
      </c>
      <c r="BH203" s="51" t="s">
        <v>1</v>
      </c>
      <c r="BJ203" s="111" t="s">
        <v>1287</v>
      </c>
      <c r="BK203" s="112" t="s">
        <v>1287</v>
      </c>
      <c r="BL203" s="112" t="s">
        <v>1287</v>
      </c>
      <c r="BM203" s="112" t="s">
        <v>1287</v>
      </c>
      <c r="BN203" s="112" t="s">
        <v>1287</v>
      </c>
      <c r="BO203" s="112" t="s">
        <v>1287</v>
      </c>
      <c r="BP203" s="112" t="s">
        <v>1287</v>
      </c>
      <c r="BQ203" s="112" t="s">
        <v>1287</v>
      </c>
      <c r="BR203" s="112" t="s">
        <v>1287</v>
      </c>
      <c r="BS203" s="112" t="s">
        <v>1287</v>
      </c>
      <c r="BT203" s="112" t="s">
        <v>1287</v>
      </c>
      <c r="BU203" s="112" t="s">
        <v>1287</v>
      </c>
      <c r="BV203" s="111">
        <f t="shared" ref="BV203" si="1121">E203</f>
        <v>23</v>
      </c>
      <c r="BW203" s="113">
        <f t="shared" ref="BW203" si="1122">I203</f>
        <v>56</v>
      </c>
      <c r="BX203" s="114">
        <f t="shared" ref="BX203" si="1123">M203</f>
        <v>60</v>
      </c>
      <c r="BY203" s="113">
        <f t="shared" ref="BY203" si="1124">Q203</f>
        <v>92</v>
      </c>
      <c r="BZ203" s="114">
        <f t="shared" ref="BZ203" si="1125">U203</f>
        <v>96</v>
      </c>
      <c r="CA203" s="113" t="str">
        <f t="shared" ref="CA203" si="1126">Y203</f>
        <v>-</v>
      </c>
      <c r="CB203" s="114">
        <f t="shared" ref="CB203" si="1127">AC203</f>
        <v>143</v>
      </c>
      <c r="CC203" s="113">
        <f t="shared" ref="CC203" si="1128">AG203</f>
        <v>177</v>
      </c>
      <c r="CD203" s="114">
        <f t="shared" ref="CD203" si="1129">AK203</f>
        <v>184</v>
      </c>
      <c r="CE203" s="113">
        <f t="shared" ref="CE203" si="1130">AO203</f>
        <v>235</v>
      </c>
      <c r="CF203" s="114">
        <f t="shared" ref="CF203" si="1131">AS203</f>
        <v>273</v>
      </c>
      <c r="CG203" s="113">
        <f t="shared" ref="CG203" si="1132">AW203</f>
        <v>299</v>
      </c>
      <c r="CH203" s="111">
        <f t="shared" ref="CH203" si="1133">G203</f>
        <v>55</v>
      </c>
      <c r="CI203" s="113">
        <f t="shared" ref="CI203" si="1134">K203</f>
        <v>59</v>
      </c>
      <c r="CJ203" s="114">
        <f t="shared" ref="CJ203" si="1135">O203</f>
        <v>91</v>
      </c>
      <c r="CK203" s="114">
        <f t="shared" ref="CK203" si="1136">S203</f>
        <v>95</v>
      </c>
      <c r="CL203" s="114">
        <f t="shared" ref="CL203" si="1137">W203</f>
        <v>135</v>
      </c>
      <c r="CM203" s="114" t="str">
        <f t="shared" ref="CM203" si="1138">AA203</f>
        <v>-</v>
      </c>
      <c r="CN203" s="114">
        <f t="shared" ref="CN203" si="1139">AE203</f>
        <v>166</v>
      </c>
      <c r="CO203" s="114">
        <f t="shared" ref="CO203" si="1140">AI203</f>
        <v>179</v>
      </c>
      <c r="CP203" s="114">
        <f t="shared" ref="CP203" si="1141">AM203</f>
        <v>218</v>
      </c>
      <c r="CQ203" s="114">
        <f t="shared" ref="CQ203" si="1142">AQ203</f>
        <v>264</v>
      </c>
      <c r="CR203" s="114">
        <f t="shared" ref="CR203" si="1143">AU203</f>
        <v>298</v>
      </c>
      <c r="CS203" s="114">
        <f t="shared" ref="CS203" si="1144">AY203</f>
        <v>315</v>
      </c>
      <c r="CT203" s="109">
        <f t="shared" ref="CT203" si="1145">M203-K203</f>
        <v>1</v>
      </c>
    </row>
    <row r="204" spans="1:1029" s="12" customFormat="1" x14ac:dyDescent="0.2">
      <c r="A204" s="9" t="str">
        <f t="shared" ref="A204" si="1146">CONCATENATE(B204,"_",C204)</f>
        <v>mtr1a_human_6ME5</v>
      </c>
      <c r="B204" s="9" t="s">
        <v>311</v>
      </c>
      <c r="C204" s="9" t="s">
        <v>1567</v>
      </c>
      <c r="D204" s="9" t="str">
        <f>IFERROR(MID(VLOOKUP($B204,Seqs!$A:$B,2,0),E204,1),"")</f>
        <v>P</v>
      </c>
      <c r="E204" s="9">
        <v>23</v>
      </c>
      <c r="F204" s="9" t="str">
        <f>IFERROR(MID(VLOOKUP($B204,Seqs!$A:$B,2,0),G204,1),"")</f>
        <v>N</v>
      </c>
      <c r="G204" s="9">
        <v>55</v>
      </c>
      <c r="H204" s="9" t="str">
        <f>IFERROR(MID(VLOOKUP($B204,Seqs!$A:$B,2,0),I204,1),"")</f>
        <v>K</v>
      </c>
      <c r="I204" s="109">
        <v>56</v>
      </c>
      <c r="J204" s="9" t="str">
        <f>IFERROR(MID(VLOOKUP($B204,Seqs!$A:$B,2,0),K204,1),"")</f>
        <v>R</v>
      </c>
      <c r="K204" s="109">
        <v>59</v>
      </c>
      <c r="L204" s="9" t="str">
        <f>IFERROR(MID(VLOOKUP($B204,Seqs!$A:$B,2,0),M204,1),"")</f>
        <v>N</v>
      </c>
      <c r="M204" s="9">
        <v>60</v>
      </c>
      <c r="N204" s="9" t="str">
        <f>IFERROR(MID(VLOOKUP($B204,Seqs!$A:$B,2,0),O204,1),"")</f>
        <v>N</v>
      </c>
      <c r="O204" s="9">
        <v>91</v>
      </c>
      <c r="P204" s="9" t="str">
        <f>IFERROR(MID(VLOOKUP($B204,Seqs!$A:$B,2,0),Q204,1),"")</f>
        <v>G</v>
      </c>
      <c r="Q204" s="9">
        <v>92</v>
      </c>
      <c r="R204" s="9" t="str">
        <f>IFERROR(MID(VLOOKUP($B204,Seqs!$A:$B,2,0),S204,1),"")</f>
        <v>L</v>
      </c>
      <c r="S204" s="9">
        <v>95</v>
      </c>
      <c r="T204" s="9" t="str">
        <f>IFERROR(MID(VLOOKUP($B204,Seqs!$A:$B,2,0),U204,1),"")</f>
        <v>G</v>
      </c>
      <c r="U204" s="9">
        <v>96</v>
      </c>
      <c r="V204" s="9" t="str">
        <f>IFERROR(MID(VLOOKUP($B204,Seqs!$A:$B,2,0),W204,1),"")</f>
        <v>Y</v>
      </c>
      <c r="W204" s="9">
        <v>135</v>
      </c>
      <c r="X204" s="9" t="str">
        <f>IFERROR(MID(VLOOKUP($B204,Seqs!$A:$B,2,0),Y204,1),"")</f>
        <v/>
      </c>
      <c r="Y204" s="9" t="s">
        <v>23</v>
      </c>
      <c r="Z204" s="9" t="str">
        <f>IFERROR(MID(VLOOKUP($B204,Seqs!$A:$B,2,0),AA204,1),"")</f>
        <v/>
      </c>
      <c r="AA204" s="9" t="s">
        <v>23</v>
      </c>
      <c r="AB204" s="9" t="str">
        <f>IFERROR(MID(VLOOKUP($B204,Seqs!$A:$B,2,0),AC204,1),"")</f>
        <v>N</v>
      </c>
      <c r="AC204" s="9">
        <v>143</v>
      </c>
      <c r="AD204" s="9" t="str">
        <f>IFERROR(MID(VLOOKUP($B204,Seqs!$A:$B,2,0),AE204,1),"")</f>
        <v>G</v>
      </c>
      <c r="AE204" s="9">
        <v>166</v>
      </c>
      <c r="AF204" s="9" t="str">
        <f>IFERROR(MID(VLOOKUP($B204,Seqs!$A:$B,2,0),AG204,1),"")</f>
        <v>C</v>
      </c>
      <c r="AG204" s="9">
        <v>177</v>
      </c>
      <c r="AH204" s="9" t="str">
        <f>IFERROR(MID(VLOOKUP($B204,Seqs!$A:$B,2,0),AI204,1),"")</f>
        <v>F</v>
      </c>
      <c r="AI204" s="9">
        <v>179</v>
      </c>
      <c r="AJ204" s="9" t="str">
        <f>IFERROR(MID(VLOOKUP($B204,Seqs!$A:$B,2,0),AK204,1),"")</f>
        <v>S</v>
      </c>
      <c r="AK204" s="9">
        <v>184</v>
      </c>
      <c r="AL204" s="9" t="str">
        <f>IFERROR(MID(VLOOKUP($B204,Seqs!$A:$B,2,0),AM204,1),"")</f>
        <v>R</v>
      </c>
      <c r="AM204" s="9">
        <v>218</v>
      </c>
      <c r="AN204" s="9" t="str">
        <f>IFERROR(MID(VLOOKUP($B204,Seqs!$A:$B,2,0),AO204,1),"")</f>
        <v>R</v>
      </c>
      <c r="AO204" s="9">
        <v>235</v>
      </c>
      <c r="AP204" s="9" t="str">
        <f>IFERROR(MID(VLOOKUP($B204,Seqs!$A:$B,2,0),AQ204,1),"")</f>
        <v>D</v>
      </c>
      <c r="AQ204" s="9">
        <v>264</v>
      </c>
      <c r="AR204" s="9" t="str">
        <f>IFERROR(MID(VLOOKUP($B204,Seqs!$A:$B,2,0),AS204,1),"")</f>
        <v>P</v>
      </c>
      <c r="AS204" s="9">
        <v>273</v>
      </c>
      <c r="AT204" s="9" t="str">
        <f>IFERROR(MID(VLOOKUP($B204,Seqs!$A:$B,2,0),AU204,1),"")</f>
        <v>L</v>
      </c>
      <c r="AU204" s="9">
        <v>298</v>
      </c>
      <c r="AV204" s="9" t="str">
        <f>IFERROR(MID(VLOOKUP($B204,Seqs!$A:$B,2,0),AW204,1),"")</f>
        <v>N</v>
      </c>
      <c r="AW204" s="9">
        <v>299</v>
      </c>
      <c r="AX204" s="9" t="str">
        <f>IFERROR(MID(VLOOKUP($B204,Seqs!$A:$B,2,0),AY204,1),"")</f>
        <v>T</v>
      </c>
      <c r="AY204" s="9">
        <v>315</v>
      </c>
      <c r="AZ204" s="110" t="str">
        <f>VLOOKUP(B204,Classification!A:D,2,0)</f>
        <v>A</v>
      </c>
      <c r="BA204" s="98" t="str">
        <f>VLOOKUP(B204,Classification!A:D,4,0)</f>
        <v>Melatonin</v>
      </c>
      <c r="BB204" s="36" t="b">
        <f t="shared" ref="BB204" si="1147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148">_xlfn.AGGREGATE(9,6,CH204:CS204)-_xlfn.AGGREGATE(9,6,BV204:CG204)+12</f>
        <v>249</v>
      </c>
      <c r="BD204" s="13" t="s">
        <v>23</v>
      </c>
      <c r="BE204" s="9" t="s">
        <v>1374</v>
      </c>
      <c r="BF204" s="120">
        <v>3.2</v>
      </c>
      <c r="BG204" s="51" t="s">
        <v>1</v>
      </c>
      <c r="BH204" s="51" t="s">
        <v>1</v>
      </c>
      <c r="BJ204" s="111" t="s">
        <v>1287</v>
      </c>
      <c r="BK204" s="112" t="s">
        <v>1287</v>
      </c>
      <c r="BL204" s="112" t="s">
        <v>1287</v>
      </c>
      <c r="BM204" s="112" t="s">
        <v>1287</v>
      </c>
      <c r="BN204" s="112" t="s">
        <v>1287</v>
      </c>
      <c r="BO204" s="112" t="s">
        <v>1287</v>
      </c>
      <c r="BP204" s="112" t="s">
        <v>1287</v>
      </c>
      <c r="BQ204" s="112" t="s">
        <v>1287</v>
      </c>
      <c r="BR204" s="112" t="s">
        <v>1287</v>
      </c>
      <c r="BS204" s="112" t="s">
        <v>1287</v>
      </c>
      <c r="BT204" s="112" t="s">
        <v>1287</v>
      </c>
      <c r="BU204" s="112" t="s">
        <v>1287</v>
      </c>
      <c r="BV204" s="111">
        <f t="shared" ref="BV204" si="1149">E204</f>
        <v>23</v>
      </c>
      <c r="BW204" s="113">
        <f t="shared" ref="BW204" si="1150">I204</f>
        <v>56</v>
      </c>
      <c r="BX204" s="114">
        <f t="shared" ref="BX204" si="1151">M204</f>
        <v>60</v>
      </c>
      <c r="BY204" s="113">
        <f t="shared" ref="BY204" si="1152">Q204</f>
        <v>92</v>
      </c>
      <c r="BZ204" s="114">
        <f t="shared" ref="BZ204" si="1153">U204</f>
        <v>96</v>
      </c>
      <c r="CA204" s="113" t="str">
        <f t="shared" ref="CA204" si="1154">Y204</f>
        <v>-</v>
      </c>
      <c r="CB204" s="114">
        <f t="shared" ref="CB204" si="1155">AC204</f>
        <v>143</v>
      </c>
      <c r="CC204" s="113">
        <f t="shared" ref="CC204" si="1156">AG204</f>
        <v>177</v>
      </c>
      <c r="CD204" s="114">
        <f t="shared" ref="CD204" si="1157">AK204</f>
        <v>184</v>
      </c>
      <c r="CE204" s="113">
        <f t="shared" ref="CE204" si="1158">AO204</f>
        <v>235</v>
      </c>
      <c r="CF204" s="114">
        <f t="shared" ref="CF204" si="1159">AS204</f>
        <v>273</v>
      </c>
      <c r="CG204" s="113">
        <f t="shared" ref="CG204" si="1160">AW204</f>
        <v>299</v>
      </c>
      <c r="CH204" s="111">
        <f t="shared" ref="CH204" si="1161">G204</f>
        <v>55</v>
      </c>
      <c r="CI204" s="113">
        <f t="shared" ref="CI204" si="1162">K204</f>
        <v>59</v>
      </c>
      <c r="CJ204" s="114">
        <f t="shared" ref="CJ204" si="1163">O204</f>
        <v>91</v>
      </c>
      <c r="CK204" s="114">
        <f t="shared" ref="CK204" si="1164">S204</f>
        <v>95</v>
      </c>
      <c r="CL204" s="114">
        <f t="shared" ref="CL204" si="1165">W204</f>
        <v>135</v>
      </c>
      <c r="CM204" s="114" t="str">
        <f t="shared" ref="CM204" si="1166">AA204</f>
        <v>-</v>
      </c>
      <c r="CN204" s="114">
        <f t="shared" ref="CN204" si="1167">AE204</f>
        <v>166</v>
      </c>
      <c r="CO204" s="114">
        <f t="shared" ref="CO204" si="1168">AI204</f>
        <v>179</v>
      </c>
      <c r="CP204" s="114">
        <f t="shared" ref="CP204" si="1169">AM204</f>
        <v>218</v>
      </c>
      <c r="CQ204" s="114">
        <f t="shared" ref="CQ204" si="1170">AQ204</f>
        <v>264</v>
      </c>
      <c r="CR204" s="114">
        <f t="shared" ref="CR204" si="1171">AU204</f>
        <v>298</v>
      </c>
      <c r="CS204" s="114">
        <f t="shared" ref="CS204" si="1172">AY204</f>
        <v>315</v>
      </c>
      <c r="CT204" s="109">
        <f t="shared" ref="CT204" si="1173">M204-K204</f>
        <v>1</v>
      </c>
    </row>
    <row r="205" spans="1:1029" s="12" customFormat="1" x14ac:dyDescent="0.2">
      <c r="A205" s="9" t="str">
        <f t="shared" ref="A205:A206" si="1174">CONCATENATE(B205,"_",C205)</f>
        <v>mtr1b_human__wt</v>
      </c>
      <c r="B205" s="9" t="s">
        <v>312</v>
      </c>
      <c r="C205" s="9" t="s">
        <v>100</v>
      </c>
      <c r="D205" s="9" t="str">
        <f>IFERROR(MID(VLOOKUP($B205,Seqs!$A:$B,2,0),E205,1),"")</f>
        <v>W</v>
      </c>
      <c r="E205" s="9">
        <v>38</v>
      </c>
      <c r="F205" s="9" t="str">
        <f>IFERROR(MID(VLOOKUP($B205,Seqs!$A:$B,2,0),G205,1),"")</f>
        <v>N</v>
      </c>
      <c r="G205" s="9">
        <v>68</v>
      </c>
      <c r="H205" s="9" t="str">
        <f>IFERROR(MID(VLOOKUP($B205,Seqs!$A:$B,2,0),I205,1),"")</f>
        <v>R</v>
      </c>
      <c r="I205" s="109">
        <v>69</v>
      </c>
      <c r="J205" s="9" t="str">
        <f>IFERROR(MID(VLOOKUP($B205,Seqs!$A:$B,2,0),K205,1),"")</f>
        <v>R</v>
      </c>
      <c r="K205" s="109">
        <v>72</v>
      </c>
      <c r="L205" s="9" t="str">
        <f>IFERROR(MID(VLOOKUP($B205,Seqs!$A:$B,2,0),M205,1),"")</f>
        <v>N</v>
      </c>
      <c r="M205" s="9">
        <v>73</v>
      </c>
      <c r="N205" s="9" t="str">
        <f>IFERROR(MID(VLOOKUP($B205,Seqs!$A:$B,2,0),O205,1),"")</f>
        <v>D</v>
      </c>
      <c r="O205" s="9">
        <v>104</v>
      </c>
      <c r="P205" s="9" t="str">
        <f>IFERROR(MID(VLOOKUP($B205,Seqs!$A:$B,2,0),Q205,1),"")</f>
        <v>G</v>
      </c>
      <c r="Q205" s="9">
        <v>105</v>
      </c>
      <c r="R205" s="9" t="str">
        <f>IFERROR(MID(VLOOKUP($B205,Seqs!$A:$B,2,0),S205,1),"")</f>
        <v>L</v>
      </c>
      <c r="S205" s="9">
        <v>108</v>
      </c>
      <c r="T205" s="9" t="str">
        <f>IFERROR(MID(VLOOKUP($B205,Seqs!$A:$B,2,0),U205,1),"")</f>
        <v>G</v>
      </c>
      <c r="U205" s="9">
        <v>109</v>
      </c>
      <c r="V205" s="9" t="str">
        <f>IFERROR(MID(VLOOKUP($B205,Seqs!$A:$B,2,0),W205,1),"")</f>
        <v>H</v>
      </c>
      <c r="W205" s="9">
        <v>144</v>
      </c>
      <c r="X205" s="9" t="str">
        <f>IFERROR(MID(VLOOKUP($B205,Seqs!$A:$B,2,0),Y205,1),"")</f>
        <v>S</v>
      </c>
      <c r="Y205" s="9">
        <v>145</v>
      </c>
      <c r="Z205" s="9" t="str">
        <f>IFERROR(MID(VLOOKUP($B205,Seqs!$A:$B,2,0),AA205,1),"")</f>
        <v>Y</v>
      </c>
      <c r="AA205" s="9">
        <v>152</v>
      </c>
      <c r="AB205" s="9" t="str">
        <f>IFERROR(MID(VLOOKUP($B205,Seqs!$A:$B,2,0),AC205,1),"")</f>
        <v>R</v>
      </c>
      <c r="AC205" s="9">
        <v>153</v>
      </c>
      <c r="AD205" s="9" t="str">
        <f>IFERROR(MID(VLOOKUP($B205,Seqs!$A:$B,2,0),AE205,1),"")</f>
        <v>G</v>
      </c>
      <c r="AE205" s="9">
        <v>179</v>
      </c>
      <c r="AF205" s="9" t="str">
        <f>IFERROR(MID(VLOOKUP($B205,Seqs!$A:$B,2,0),AG205,1),"")</f>
        <v>C</v>
      </c>
      <c r="AG205" s="9">
        <v>190</v>
      </c>
      <c r="AH205" s="9" t="str">
        <f>IFERROR(MID(VLOOKUP($B205,Seqs!$A:$B,2,0),AI205,1),"")</f>
        <v>F</v>
      </c>
      <c r="AI205" s="9">
        <v>192</v>
      </c>
      <c r="AJ205" s="9" t="str">
        <f>IFERROR(MID(VLOOKUP($B205,Seqs!$A:$B,2,0),AK205,1),"")</f>
        <v>S</v>
      </c>
      <c r="AK205" s="9">
        <v>197</v>
      </c>
      <c r="AL205" s="9" t="str">
        <f>IFERROR(MID(VLOOKUP($B205,Seqs!$A:$B,2,0),AM205,1),"")</f>
        <v>A</v>
      </c>
      <c r="AM205" s="9">
        <v>234</v>
      </c>
      <c r="AN205" s="9" t="str">
        <f>IFERROR(MID(VLOOKUP($B205,Seqs!$A:$B,2,0),AO205,1),"")</f>
        <v>L</v>
      </c>
      <c r="AO205" s="9">
        <v>240</v>
      </c>
      <c r="AP205" s="9" t="str">
        <f>IFERROR(MID(VLOOKUP($B205,Seqs!$A:$B,2,0),AQ205,1),"")</f>
        <v>N</v>
      </c>
      <c r="AQ205" s="9">
        <v>277</v>
      </c>
      <c r="AR205" s="9" t="str">
        <f>IFERROR(MID(VLOOKUP($B205,Seqs!$A:$B,2,0),AS205,1),"")</f>
        <v>P</v>
      </c>
      <c r="AS205" s="9">
        <v>286</v>
      </c>
      <c r="AT205" s="9" t="str">
        <f>IFERROR(MID(VLOOKUP($B205,Seqs!$A:$B,2,0),AU205,1),"")</f>
        <v>L</v>
      </c>
      <c r="AU205" s="9">
        <v>311</v>
      </c>
      <c r="AV205" s="9" t="str">
        <f>IFERROR(MID(VLOOKUP($B205,Seqs!$A:$B,2,0),AW205,1),"")</f>
        <v>N</v>
      </c>
      <c r="AW205" s="9">
        <v>312</v>
      </c>
      <c r="AX205" s="9" t="str">
        <f>IFERROR(MID(VLOOKUP($B205,Seqs!$A:$B,2,0),AY205,1),"")</f>
        <v>N</v>
      </c>
      <c r="AY205" s="9">
        <v>328</v>
      </c>
      <c r="AZ205" s="110" t="str">
        <f>VLOOKUP(B205,Classification!A:D,2,0)</f>
        <v>A</v>
      </c>
      <c r="BA205" s="98" t="str">
        <f>VLOOKUP(B205,Classification!A:D,4,0)</f>
        <v>Melatonin</v>
      </c>
      <c r="BB205" s="36" t="b">
        <f t="shared" ref="BB205:BB206" si="1175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:BC206" si="1176">_xlfn.AGGREGATE(9,6,CH205:CS205)-_xlfn.AGGREGATE(9,6,BV205:CG205)+12</f>
        <v>264</v>
      </c>
      <c r="BD205" s="13" t="s">
        <v>23</v>
      </c>
      <c r="BE205" s="9" t="s">
        <v>23</v>
      </c>
      <c r="BF205" s="120" t="s">
        <v>23</v>
      </c>
      <c r="BG205" s="51"/>
      <c r="BH205" s="51"/>
      <c r="BJ205" s="111" t="s">
        <v>1287</v>
      </c>
      <c r="BK205" s="112" t="s">
        <v>1287</v>
      </c>
      <c r="BL205" s="112" t="s">
        <v>1287</v>
      </c>
      <c r="BM205" s="112" t="s">
        <v>1287</v>
      </c>
      <c r="BN205" s="112" t="s">
        <v>1287</v>
      </c>
      <c r="BO205" s="112" t="s">
        <v>1287</v>
      </c>
      <c r="BP205" s="112" t="s">
        <v>1287</v>
      </c>
      <c r="BQ205" s="112" t="s">
        <v>1287</v>
      </c>
      <c r="BR205" s="112" t="s">
        <v>1287</v>
      </c>
      <c r="BS205" s="112" t="s">
        <v>1287</v>
      </c>
      <c r="BT205" s="112" t="s">
        <v>1287</v>
      </c>
      <c r="BU205" s="112" t="s">
        <v>1287</v>
      </c>
      <c r="BV205" s="111">
        <f t="shared" ref="BV205:BV206" si="1177">E205</f>
        <v>38</v>
      </c>
      <c r="BW205" s="113">
        <f t="shared" ref="BW205:BW206" si="1178">I205</f>
        <v>69</v>
      </c>
      <c r="BX205" s="114">
        <f t="shared" ref="BX205:BX206" si="1179">M205</f>
        <v>73</v>
      </c>
      <c r="BY205" s="113">
        <f t="shared" ref="BY205:BY206" si="1180">Q205</f>
        <v>105</v>
      </c>
      <c r="BZ205" s="114">
        <f t="shared" ref="BZ205:BZ206" si="1181">U205</f>
        <v>109</v>
      </c>
      <c r="CA205" s="113">
        <f t="shared" ref="CA205:CA206" si="1182">Y205</f>
        <v>145</v>
      </c>
      <c r="CB205" s="114">
        <f t="shared" ref="CB205:CB206" si="1183">AC205</f>
        <v>153</v>
      </c>
      <c r="CC205" s="113">
        <f t="shared" ref="CC205:CC206" si="1184">AG205</f>
        <v>190</v>
      </c>
      <c r="CD205" s="114">
        <f t="shared" ref="CD205:CD206" si="1185">AK205</f>
        <v>197</v>
      </c>
      <c r="CE205" s="113">
        <f t="shared" ref="CE205:CE206" si="1186">AO205</f>
        <v>240</v>
      </c>
      <c r="CF205" s="114">
        <f t="shared" ref="CF205:CF206" si="1187">AS205</f>
        <v>286</v>
      </c>
      <c r="CG205" s="113">
        <f t="shared" ref="CG205:CG206" si="1188">AW205</f>
        <v>312</v>
      </c>
      <c r="CH205" s="111">
        <f t="shared" ref="CH205:CH206" si="1189">G205</f>
        <v>68</v>
      </c>
      <c r="CI205" s="113">
        <f t="shared" ref="CI205:CI206" si="1190">K205</f>
        <v>72</v>
      </c>
      <c r="CJ205" s="114">
        <f t="shared" ref="CJ205:CJ206" si="1191">O205</f>
        <v>104</v>
      </c>
      <c r="CK205" s="114">
        <f t="shared" ref="CK205:CK206" si="1192">S205</f>
        <v>108</v>
      </c>
      <c r="CL205" s="114">
        <f t="shared" ref="CL205:CL206" si="1193">W205</f>
        <v>144</v>
      </c>
      <c r="CM205" s="114">
        <f t="shared" ref="CM205:CM206" si="1194">AA205</f>
        <v>152</v>
      </c>
      <c r="CN205" s="114">
        <f t="shared" ref="CN205:CN206" si="1195">AE205</f>
        <v>179</v>
      </c>
      <c r="CO205" s="114">
        <f t="shared" ref="CO205:CO206" si="1196">AI205</f>
        <v>192</v>
      </c>
      <c r="CP205" s="114">
        <f t="shared" ref="CP205:CP206" si="1197">AM205</f>
        <v>234</v>
      </c>
      <c r="CQ205" s="114">
        <f t="shared" ref="CQ205:CQ206" si="1198">AQ205</f>
        <v>277</v>
      </c>
      <c r="CR205" s="114">
        <f t="shared" ref="CR205:CR206" si="1199">AU205</f>
        <v>311</v>
      </c>
      <c r="CS205" s="114">
        <f t="shared" ref="CS205:CS206" si="1200">AY205</f>
        <v>328</v>
      </c>
      <c r="CT205" s="109">
        <f t="shared" ref="CT205:CT206" si="1201">M205-K205</f>
        <v>1</v>
      </c>
    </row>
    <row r="206" spans="1:1029" s="12" customFormat="1" x14ac:dyDescent="0.2">
      <c r="A206" s="9" t="str">
        <f t="shared" si="1174"/>
        <v>mtr1b_human_6ME6</v>
      </c>
      <c r="B206" s="9" t="s">
        <v>312</v>
      </c>
      <c r="C206" s="9" t="s">
        <v>1568</v>
      </c>
      <c r="D206" s="9" t="str">
        <f>IFERROR(MID(VLOOKUP($B206,Seqs!$A:$B,2,0),E206,1),"")</f>
        <v>W</v>
      </c>
      <c r="E206" s="9">
        <v>38</v>
      </c>
      <c r="F206" s="9" t="str">
        <f>IFERROR(MID(VLOOKUP($B206,Seqs!$A:$B,2,0),G206,1),"")</f>
        <v>R</v>
      </c>
      <c r="G206" s="9">
        <v>67</v>
      </c>
      <c r="H206" s="9" t="str">
        <f>IFERROR(MID(VLOOKUP($B206,Seqs!$A:$B,2,0),I206,1),"")</f>
        <v>R</v>
      </c>
      <c r="I206" s="109">
        <v>69</v>
      </c>
      <c r="J206" s="9" t="str">
        <f>IFERROR(MID(VLOOKUP($B206,Seqs!$A:$B,2,0),K206,1),"")</f>
        <v>R</v>
      </c>
      <c r="K206" s="109">
        <v>72</v>
      </c>
      <c r="L206" s="9" t="str">
        <f>IFERROR(MID(VLOOKUP($B206,Seqs!$A:$B,2,0),M206,1),"")</f>
        <v>N</v>
      </c>
      <c r="M206" s="9">
        <v>73</v>
      </c>
      <c r="N206" s="9" t="str">
        <f>IFERROR(MID(VLOOKUP($B206,Seqs!$A:$B,2,0),O206,1),"")</f>
        <v>D</v>
      </c>
      <c r="O206" s="9">
        <v>104</v>
      </c>
      <c r="P206" s="9" t="str">
        <f>IFERROR(MID(VLOOKUP($B206,Seqs!$A:$B,2,0),Q206,1),"")</f>
        <v>G</v>
      </c>
      <c r="Q206" s="9">
        <v>105</v>
      </c>
      <c r="R206" s="9" t="str">
        <f>IFERROR(MID(VLOOKUP($B206,Seqs!$A:$B,2,0),S206,1),"")</f>
        <v>L</v>
      </c>
      <c r="S206" s="9">
        <v>108</v>
      </c>
      <c r="T206" s="9" t="str">
        <f>IFERROR(MID(VLOOKUP($B206,Seqs!$A:$B,2,0),U206,1),"")</f>
        <v>E</v>
      </c>
      <c r="U206" s="9">
        <v>110</v>
      </c>
      <c r="V206" s="9" t="str">
        <f>IFERROR(MID(VLOOKUP($B206,Seqs!$A:$B,2,0),W206,1),"")</f>
        <v>H</v>
      </c>
      <c r="W206" s="9">
        <v>144</v>
      </c>
      <c r="X206" s="9" t="str">
        <f>IFERROR(MID(VLOOKUP($B206,Seqs!$A:$B,2,0),Y206,1),"")</f>
        <v>S</v>
      </c>
      <c r="Y206" s="9">
        <v>145</v>
      </c>
      <c r="Z206" s="9" t="str">
        <f>IFERROR(MID(VLOOKUP($B206,Seqs!$A:$B,2,0),AA206,1),"")</f>
        <v>Y</v>
      </c>
      <c r="AA206" s="9">
        <v>152</v>
      </c>
      <c r="AB206" s="9" t="str">
        <f>IFERROR(MID(VLOOKUP($B206,Seqs!$A:$B,2,0),AC206,1),"")</f>
        <v>R</v>
      </c>
      <c r="AC206" s="9">
        <v>153</v>
      </c>
      <c r="AD206" s="9" t="str">
        <f>IFERROR(MID(VLOOKUP($B206,Seqs!$A:$B,2,0),AE206,1),"")</f>
        <v>V</v>
      </c>
      <c r="AE206" s="9">
        <v>178</v>
      </c>
      <c r="AF206" s="9" t="str">
        <f>IFERROR(MID(VLOOKUP($B206,Seqs!$A:$B,2,0),AG206,1),"")</f>
        <v>C</v>
      </c>
      <c r="AG206" s="9">
        <v>190</v>
      </c>
      <c r="AH206" s="9" t="str">
        <f>IFERROR(MID(VLOOKUP($B206,Seqs!$A:$B,2,0),AI206,1),"")</f>
        <v>F</v>
      </c>
      <c r="AI206" s="9">
        <v>192</v>
      </c>
      <c r="AJ206" s="9" t="str">
        <f>IFERROR(MID(VLOOKUP($B206,Seqs!$A:$B,2,0),AK206,1),"")</f>
        <v>S</v>
      </c>
      <c r="AK206" s="9">
        <v>197</v>
      </c>
      <c r="AL206" s="9" t="str">
        <f>IFERROR(MID(VLOOKUP($B206,Seqs!$A:$B,2,0),AM206,1),"")</f>
        <v>R</v>
      </c>
      <c r="AM206" s="9">
        <v>231</v>
      </c>
      <c r="AN206" s="9" t="str">
        <f>IFERROR(MID(VLOOKUP($B206,Seqs!$A:$B,2,0),AO206,1),"")</f>
        <v>F</v>
      </c>
      <c r="AO206" s="9">
        <v>250</v>
      </c>
      <c r="AP206" s="9" t="str">
        <f>IFERROR(MID(VLOOKUP($B206,Seqs!$A:$B,2,0),AQ206,1),"")</f>
        <v>N</v>
      </c>
      <c r="AQ206" s="9">
        <v>277</v>
      </c>
      <c r="AR206" s="9" t="str">
        <f>IFERROR(MID(VLOOKUP($B206,Seqs!$A:$B,2,0),AS206,1),"")</f>
        <v>P</v>
      </c>
      <c r="AS206" s="9">
        <v>286</v>
      </c>
      <c r="AT206" s="9" t="str">
        <f>IFERROR(MID(VLOOKUP($B206,Seqs!$A:$B,2,0),AU206,1),"")</f>
        <v>L</v>
      </c>
      <c r="AU206" s="9">
        <v>311</v>
      </c>
      <c r="AV206" s="9" t="str">
        <f>IFERROR(MID(VLOOKUP($B206,Seqs!$A:$B,2,0),AW206,1),"")</f>
        <v>N</v>
      </c>
      <c r="AW206" s="9">
        <v>312</v>
      </c>
      <c r="AX206" s="9" t="str">
        <f>IFERROR(MID(VLOOKUP($B206,Seqs!$A:$B,2,0),AY206,1),"")</f>
        <v>N</v>
      </c>
      <c r="AY206" s="9">
        <v>328</v>
      </c>
      <c r="AZ206" s="110" t="str">
        <f>VLOOKUP(B206,Classification!A:D,2,0)</f>
        <v>A</v>
      </c>
      <c r="BA206" s="98" t="str">
        <f>VLOOKUP(B206,Classification!A:D,4,0)</f>
        <v>Melatonin</v>
      </c>
      <c r="BB206" s="36" t="b">
        <f t="shared" si="1175"/>
        <v>1</v>
      </c>
      <c r="BC206" s="109">
        <f t="shared" si="1176"/>
        <v>248</v>
      </c>
      <c r="BD206" s="13" t="s">
        <v>23</v>
      </c>
      <c r="BE206" s="9" t="s">
        <v>1374</v>
      </c>
      <c r="BF206" s="120">
        <v>2.8</v>
      </c>
      <c r="BG206" s="51" t="s">
        <v>1281</v>
      </c>
      <c r="BH206" s="51" t="s">
        <v>1281</v>
      </c>
      <c r="BJ206" s="111" t="s">
        <v>1287</v>
      </c>
      <c r="BK206" s="112" t="s">
        <v>1287</v>
      </c>
      <c r="BL206" s="112" t="s">
        <v>1287</v>
      </c>
      <c r="BM206" s="112" t="s">
        <v>1287</v>
      </c>
      <c r="BN206" s="112" t="s">
        <v>1287</v>
      </c>
      <c r="BO206" s="112" t="s">
        <v>1287</v>
      </c>
      <c r="BP206" s="112" t="s">
        <v>1287</v>
      </c>
      <c r="BQ206" s="112" t="s">
        <v>1287</v>
      </c>
      <c r="BR206" s="112" t="s">
        <v>1287</v>
      </c>
      <c r="BS206" s="112" t="s">
        <v>1287</v>
      </c>
      <c r="BT206" s="112" t="s">
        <v>1287</v>
      </c>
      <c r="BU206" s="112" t="s">
        <v>1287</v>
      </c>
      <c r="BV206" s="111">
        <f t="shared" si="1177"/>
        <v>38</v>
      </c>
      <c r="BW206" s="113">
        <f t="shared" si="1178"/>
        <v>69</v>
      </c>
      <c r="BX206" s="114">
        <f t="shared" si="1179"/>
        <v>73</v>
      </c>
      <c r="BY206" s="113">
        <f t="shared" si="1180"/>
        <v>105</v>
      </c>
      <c r="BZ206" s="114">
        <f t="shared" si="1181"/>
        <v>110</v>
      </c>
      <c r="CA206" s="113">
        <f t="shared" si="1182"/>
        <v>145</v>
      </c>
      <c r="CB206" s="114">
        <f t="shared" si="1183"/>
        <v>153</v>
      </c>
      <c r="CC206" s="113">
        <f t="shared" si="1184"/>
        <v>190</v>
      </c>
      <c r="CD206" s="114">
        <f t="shared" si="1185"/>
        <v>197</v>
      </c>
      <c r="CE206" s="113">
        <f t="shared" si="1186"/>
        <v>250</v>
      </c>
      <c r="CF206" s="114">
        <f t="shared" si="1187"/>
        <v>286</v>
      </c>
      <c r="CG206" s="113">
        <f t="shared" si="1188"/>
        <v>312</v>
      </c>
      <c r="CH206" s="111">
        <f t="shared" si="1189"/>
        <v>67</v>
      </c>
      <c r="CI206" s="113">
        <f t="shared" si="1190"/>
        <v>72</v>
      </c>
      <c r="CJ206" s="114">
        <f t="shared" si="1191"/>
        <v>104</v>
      </c>
      <c r="CK206" s="114">
        <f t="shared" si="1192"/>
        <v>108</v>
      </c>
      <c r="CL206" s="114">
        <f t="shared" si="1193"/>
        <v>144</v>
      </c>
      <c r="CM206" s="114">
        <f t="shared" si="1194"/>
        <v>152</v>
      </c>
      <c r="CN206" s="114">
        <f t="shared" si="1195"/>
        <v>178</v>
      </c>
      <c r="CO206" s="114">
        <f t="shared" si="1196"/>
        <v>192</v>
      </c>
      <c r="CP206" s="114">
        <f t="shared" si="1197"/>
        <v>231</v>
      </c>
      <c r="CQ206" s="114">
        <f t="shared" si="1198"/>
        <v>277</v>
      </c>
      <c r="CR206" s="114">
        <f t="shared" si="1199"/>
        <v>311</v>
      </c>
      <c r="CS206" s="114">
        <f t="shared" si="1200"/>
        <v>328</v>
      </c>
      <c r="CT206" s="109">
        <f t="shared" si="1201"/>
        <v>1</v>
      </c>
    </row>
    <row r="207" spans="1:1029" s="12" customFormat="1" x14ac:dyDescent="0.2">
      <c r="A207" s="9" t="str">
        <f t="shared" ref="A207" si="1202">CONCATENATE(B207,"_",C207)</f>
        <v>mtr1b_human_6ME7</v>
      </c>
      <c r="B207" s="9" t="s">
        <v>312</v>
      </c>
      <c r="C207" s="9" t="s">
        <v>1569</v>
      </c>
      <c r="D207" s="9" t="str">
        <f>IFERROR(MID(VLOOKUP($B207,Seqs!$A:$B,2,0),E207,1),"")</f>
        <v>W</v>
      </c>
      <c r="E207" s="9">
        <v>38</v>
      </c>
      <c r="F207" s="9" t="str">
        <f>IFERROR(MID(VLOOKUP($B207,Seqs!$A:$B,2,0),G207,1),"")</f>
        <v>N</v>
      </c>
      <c r="G207" s="9">
        <v>68</v>
      </c>
      <c r="H207" s="9" t="str">
        <f>IFERROR(MID(VLOOKUP($B207,Seqs!$A:$B,2,0),I207,1),"")</f>
        <v>R</v>
      </c>
      <c r="I207" s="109">
        <v>69</v>
      </c>
      <c r="J207" s="9" t="str">
        <f>IFERROR(MID(VLOOKUP($B207,Seqs!$A:$B,2,0),K207,1),"")</f>
        <v>R</v>
      </c>
      <c r="K207" s="109">
        <v>72</v>
      </c>
      <c r="L207" s="9" t="str">
        <f>IFERROR(MID(VLOOKUP($B207,Seqs!$A:$B,2,0),M207,1),"")</f>
        <v>G</v>
      </c>
      <c r="M207" s="9">
        <v>75</v>
      </c>
      <c r="N207" s="9" t="str">
        <f>IFERROR(MID(VLOOKUP($B207,Seqs!$A:$B,2,0),O207,1),"")</f>
        <v>D</v>
      </c>
      <c r="O207" s="9">
        <v>104</v>
      </c>
      <c r="P207" s="9" t="str">
        <f>IFERROR(MID(VLOOKUP($B207,Seqs!$A:$B,2,0),Q207,1),"")</f>
        <v>G</v>
      </c>
      <c r="Q207" s="9">
        <v>105</v>
      </c>
      <c r="R207" s="9" t="str">
        <f>IFERROR(MID(VLOOKUP($B207,Seqs!$A:$B,2,0),S207,1),"")</f>
        <v>L</v>
      </c>
      <c r="S207" s="9">
        <v>108</v>
      </c>
      <c r="T207" s="9" t="str">
        <f>IFERROR(MID(VLOOKUP($B207,Seqs!$A:$B,2,0),U207,1),"")</f>
        <v>G</v>
      </c>
      <c r="U207" s="9">
        <v>109</v>
      </c>
      <c r="V207" s="9" t="str">
        <f>IFERROR(MID(VLOOKUP($B207,Seqs!$A:$B,2,0),W207,1),"")</f>
        <v>H</v>
      </c>
      <c r="W207" s="9">
        <v>144</v>
      </c>
      <c r="X207" s="9" t="str">
        <f>IFERROR(MID(VLOOKUP($B207,Seqs!$A:$B,2,0),Y207,1),"")</f>
        <v>S</v>
      </c>
      <c r="Y207" s="9">
        <v>145</v>
      </c>
      <c r="Z207" s="9" t="str">
        <f>IFERROR(MID(VLOOKUP($B207,Seqs!$A:$B,2,0),AA207,1),"")</f>
        <v>Y</v>
      </c>
      <c r="AA207" s="9">
        <v>152</v>
      </c>
      <c r="AB207" s="9" t="str">
        <f>IFERROR(MID(VLOOKUP($B207,Seqs!$A:$B,2,0),AC207,1),"")</f>
        <v>R</v>
      </c>
      <c r="AC207" s="9">
        <v>153</v>
      </c>
      <c r="AD207" s="9" t="str">
        <f>IFERROR(MID(VLOOKUP($B207,Seqs!$A:$B,2,0),AE207,1),"")</f>
        <v>G</v>
      </c>
      <c r="AE207" s="9">
        <v>179</v>
      </c>
      <c r="AF207" s="9" t="str">
        <f>IFERROR(MID(VLOOKUP($B207,Seqs!$A:$B,2,0),AG207,1),"")</f>
        <v>C</v>
      </c>
      <c r="AG207" s="9">
        <v>190</v>
      </c>
      <c r="AH207" s="9" t="str">
        <f>IFERROR(MID(VLOOKUP($B207,Seqs!$A:$B,2,0),AI207,1),"")</f>
        <v>F</v>
      </c>
      <c r="AI207" s="9">
        <v>192</v>
      </c>
      <c r="AJ207" s="9" t="str">
        <f>IFERROR(MID(VLOOKUP($B207,Seqs!$A:$B,2,0),AK207,1),"")</f>
        <v>S</v>
      </c>
      <c r="AK207" s="9">
        <v>197</v>
      </c>
      <c r="AL207" s="9" t="str">
        <f>IFERROR(MID(VLOOKUP($B207,Seqs!$A:$B,2,0),AM207,1),"")</f>
        <v>A</v>
      </c>
      <c r="AM207" s="9">
        <v>230</v>
      </c>
      <c r="AN207" s="9" t="str">
        <f>IFERROR(MID(VLOOKUP($B207,Seqs!$A:$B,2,0),AO207,1),"")</f>
        <v>S</v>
      </c>
      <c r="AO207" s="9">
        <v>249</v>
      </c>
      <c r="AP207" s="9" t="str">
        <f>IFERROR(MID(VLOOKUP($B207,Seqs!$A:$B,2,0),AQ207,1),"")</f>
        <v>N</v>
      </c>
      <c r="AQ207" s="9">
        <v>277</v>
      </c>
      <c r="AR207" s="9" t="str">
        <f>IFERROR(MID(VLOOKUP($B207,Seqs!$A:$B,2,0),AS207,1),"")</f>
        <v>P</v>
      </c>
      <c r="AS207" s="9">
        <v>286</v>
      </c>
      <c r="AT207" s="9" t="str">
        <f>IFERROR(MID(VLOOKUP($B207,Seqs!$A:$B,2,0),AU207,1),"")</f>
        <v>L</v>
      </c>
      <c r="AU207" s="9">
        <v>311</v>
      </c>
      <c r="AV207" s="9" t="str">
        <f>IFERROR(MID(VLOOKUP($B207,Seqs!$A:$B,2,0),AW207,1),"")</f>
        <v>N</v>
      </c>
      <c r="AW207" s="9">
        <v>312</v>
      </c>
      <c r="AX207" s="9" t="str">
        <f>IFERROR(MID(VLOOKUP($B207,Seqs!$A:$B,2,0),AY207,1),"")</f>
        <v>N</v>
      </c>
      <c r="AY207" s="9">
        <v>328</v>
      </c>
      <c r="AZ207" s="110" t="str">
        <f>VLOOKUP(B207,Classification!A:D,2,0)</f>
        <v>A</v>
      </c>
      <c r="BA207" s="98" t="str">
        <f>VLOOKUP(B207,Classification!A:D,4,0)</f>
        <v>Melatonin</v>
      </c>
      <c r="BB207" s="36" t="b">
        <f t="shared" ref="BB207" si="1203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 t="shared" ref="BC207" si="1204">_xlfn.AGGREGATE(9,6,CH207:CS207)-_xlfn.AGGREGATE(9,6,BV207:CG207)+12</f>
        <v>249</v>
      </c>
      <c r="BD207" s="13" t="s">
        <v>1376</v>
      </c>
      <c r="BE207" s="9" t="s">
        <v>1374</v>
      </c>
      <c r="BF207" s="120">
        <v>3.2</v>
      </c>
      <c r="BG207" s="51" t="s">
        <v>1</v>
      </c>
      <c r="BH207" s="51" t="s">
        <v>1</v>
      </c>
      <c r="BJ207" s="111" t="s">
        <v>1287</v>
      </c>
      <c r="BK207" s="112" t="s">
        <v>1287</v>
      </c>
      <c r="BL207" s="112" t="s">
        <v>1287</v>
      </c>
      <c r="BM207" s="112" t="s">
        <v>1287</v>
      </c>
      <c r="BN207" s="112" t="s">
        <v>1287</v>
      </c>
      <c r="BO207" s="112" t="s">
        <v>1287</v>
      </c>
      <c r="BP207" s="112" t="s">
        <v>1287</v>
      </c>
      <c r="BQ207" s="112" t="s">
        <v>1287</v>
      </c>
      <c r="BR207" s="112" t="s">
        <v>1287</v>
      </c>
      <c r="BS207" s="112" t="s">
        <v>1287</v>
      </c>
      <c r="BT207" s="112" t="s">
        <v>1287</v>
      </c>
      <c r="BU207" s="112" t="s">
        <v>1287</v>
      </c>
      <c r="BV207" s="111">
        <f t="shared" ref="BV207" si="1205">E207</f>
        <v>38</v>
      </c>
      <c r="BW207" s="113">
        <f t="shared" ref="BW207" si="1206">I207</f>
        <v>69</v>
      </c>
      <c r="BX207" s="114">
        <f t="shared" ref="BX207" si="1207">M207</f>
        <v>75</v>
      </c>
      <c r="BY207" s="113">
        <f t="shared" ref="BY207" si="1208">Q207</f>
        <v>105</v>
      </c>
      <c r="BZ207" s="114">
        <f t="shared" ref="BZ207" si="1209">U207</f>
        <v>109</v>
      </c>
      <c r="CA207" s="113">
        <f t="shared" ref="CA207" si="1210">Y207</f>
        <v>145</v>
      </c>
      <c r="CB207" s="114">
        <f t="shared" ref="CB207" si="1211">AC207</f>
        <v>153</v>
      </c>
      <c r="CC207" s="113">
        <f t="shared" ref="CC207" si="1212">AG207</f>
        <v>190</v>
      </c>
      <c r="CD207" s="114">
        <f t="shared" ref="CD207" si="1213">AK207</f>
        <v>197</v>
      </c>
      <c r="CE207" s="113">
        <f t="shared" ref="CE207" si="1214">AO207</f>
        <v>249</v>
      </c>
      <c r="CF207" s="114">
        <f t="shared" ref="CF207" si="1215">AS207</f>
        <v>286</v>
      </c>
      <c r="CG207" s="113">
        <f t="shared" ref="CG207" si="1216">AW207</f>
        <v>312</v>
      </c>
      <c r="CH207" s="111">
        <f t="shared" ref="CH207" si="1217">G207</f>
        <v>68</v>
      </c>
      <c r="CI207" s="113">
        <f t="shared" ref="CI207" si="1218">K207</f>
        <v>72</v>
      </c>
      <c r="CJ207" s="114">
        <f t="shared" ref="CJ207" si="1219">O207</f>
        <v>104</v>
      </c>
      <c r="CK207" s="114">
        <f t="shared" ref="CK207" si="1220">S207</f>
        <v>108</v>
      </c>
      <c r="CL207" s="114">
        <f t="shared" ref="CL207" si="1221">W207</f>
        <v>144</v>
      </c>
      <c r="CM207" s="114">
        <f t="shared" ref="CM207" si="1222">AA207</f>
        <v>152</v>
      </c>
      <c r="CN207" s="114">
        <f t="shared" ref="CN207" si="1223">AE207</f>
        <v>179</v>
      </c>
      <c r="CO207" s="114">
        <f t="shared" ref="CO207" si="1224">AI207</f>
        <v>192</v>
      </c>
      <c r="CP207" s="114">
        <f t="shared" ref="CP207" si="1225">AM207</f>
        <v>230</v>
      </c>
      <c r="CQ207" s="114">
        <f t="shared" ref="CQ207" si="1226">AQ207</f>
        <v>277</v>
      </c>
      <c r="CR207" s="114">
        <f t="shared" ref="CR207" si="1227">AU207</f>
        <v>311</v>
      </c>
      <c r="CS207" s="114">
        <f t="shared" ref="CS207" si="1228">AY207</f>
        <v>328</v>
      </c>
      <c r="CT207" s="109">
        <f t="shared" ref="CT207" si="1229">M207-K207</f>
        <v>3</v>
      </c>
    </row>
    <row r="208" spans="1:1029" s="12" customFormat="1" x14ac:dyDescent="0.2">
      <c r="A208" s="9" t="str">
        <f t="shared" ref="A208" si="1230">CONCATENATE(B208,"_",C208)</f>
        <v>mtr1b_human_6ME8</v>
      </c>
      <c r="B208" s="9" t="s">
        <v>312</v>
      </c>
      <c r="C208" s="9" t="s">
        <v>1570</v>
      </c>
      <c r="D208" s="9" t="str">
        <f>IFERROR(MID(VLOOKUP($B208,Seqs!$A:$B,2,0),E208,1),"")</f>
        <v>W</v>
      </c>
      <c r="E208" s="9">
        <v>38</v>
      </c>
      <c r="F208" s="9" t="str">
        <f>IFERROR(MID(VLOOKUP($B208,Seqs!$A:$B,2,0),G208,1),"")</f>
        <v>R</v>
      </c>
      <c r="G208" s="9">
        <v>67</v>
      </c>
      <c r="H208" s="9" t="str">
        <f>IFERROR(MID(VLOOKUP($B208,Seqs!$A:$B,2,0),I208,1),"")</f>
        <v>R</v>
      </c>
      <c r="I208" s="109">
        <v>69</v>
      </c>
      <c r="J208" s="9" t="str">
        <f>IFERROR(MID(VLOOKUP($B208,Seqs!$A:$B,2,0),K208,1),"")</f>
        <v>R</v>
      </c>
      <c r="K208" s="109">
        <v>72</v>
      </c>
      <c r="L208" s="9" t="str">
        <f>IFERROR(MID(VLOOKUP($B208,Seqs!$A:$B,2,0),M208,1),"")</f>
        <v>N</v>
      </c>
      <c r="M208" s="9">
        <v>73</v>
      </c>
      <c r="N208" s="9" t="str">
        <f>IFERROR(MID(VLOOKUP($B208,Seqs!$A:$B,2,0),O208,1),"")</f>
        <v>D</v>
      </c>
      <c r="O208" s="9">
        <v>104</v>
      </c>
      <c r="P208" s="9" t="str">
        <f>IFERROR(MID(VLOOKUP($B208,Seqs!$A:$B,2,0),Q208,1),"")</f>
        <v>G</v>
      </c>
      <c r="Q208" s="9">
        <v>105</v>
      </c>
      <c r="R208" s="9" t="str">
        <f>IFERROR(MID(VLOOKUP($B208,Seqs!$A:$B,2,0),S208,1),"")</f>
        <v>L</v>
      </c>
      <c r="S208" s="9">
        <v>108</v>
      </c>
      <c r="T208" s="9" t="str">
        <f>IFERROR(MID(VLOOKUP($B208,Seqs!$A:$B,2,0),U208,1),"")</f>
        <v>G</v>
      </c>
      <c r="U208" s="9">
        <v>109</v>
      </c>
      <c r="V208" s="9" t="str">
        <f>IFERROR(MID(VLOOKUP($B208,Seqs!$A:$B,2,0),W208,1),"")</f>
        <v>C</v>
      </c>
      <c r="W208" s="9">
        <v>143</v>
      </c>
      <c r="X208" s="9" t="str">
        <f>IFERROR(MID(VLOOKUP($B208,Seqs!$A:$B,2,0),Y208,1),"")</f>
        <v>S</v>
      </c>
      <c r="Y208" s="9">
        <v>145</v>
      </c>
      <c r="Z208" s="9" t="str">
        <f>IFERROR(MID(VLOOKUP($B208,Seqs!$A:$B,2,0),AA208,1),"")</f>
        <v>Y</v>
      </c>
      <c r="AA208" s="9">
        <v>152</v>
      </c>
      <c r="AB208" s="9" t="str">
        <f>IFERROR(MID(VLOOKUP($B208,Seqs!$A:$B,2,0),AC208,1),"")</f>
        <v>H</v>
      </c>
      <c r="AC208" s="9">
        <v>156</v>
      </c>
      <c r="AD208" s="9" t="str">
        <f>IFERROR(MID(VLOOKUP($B208,Seqs!$A:$B,2,0),AE208,1),"")</f>
        <v>G</v>
      </c>
      <c r="AE208" s="9">
        <v>179</v>
      </c>
      <c r="AF208" s="9" t="str">
        <f>IFERROR(MID(VLOOKUP($B208,Seqs!$A:$B,2,0),AG208,1),"")</f>
        <v>C</v>
      </c>
      <c r="AG208" s="9">
        <v>190</v>
      </c>
      <c r="AH208" s="9" t="str">
        <f>IFERROR(MID(VLOOKUP($B208,Seqs!$A:$B,2,0),AI208,1),"")</f>
        <v>F</v>
      </c>
      <c r="AI208" s="9">
        <v>192</v>
      </c>
      <c r="AJ208" s="9" t="str">
        <f>IFERROR(MID(VLOOKUP($B208,Seqs!$A:$B,2,0),AK208,1),"")</f>
        <v>S</v>
      </c>
      <c r="AK208" s="9">
        <v>197</v>
      </c>
      <c r="AL208" s="9" t="str">
        <f>IFERROR(MID(VLOOKUP($B208,Seqs!$A:$B,2,0),AM208,1),"")</f>
        <v>A</v>
      </c>
      <c r="AM208" s="9">
        <v>230</v>
      </c>
      <c r="AN208" s="9" t="str">
        <f>IFERROR(MID(VLOOKUP($B208,Seqs!$A:$B,2,0),AO208,1),"")</f>
        <v>F</v>
      </c>
      <c r="AO208" s="9">
        <v>250</v>
      </c>
      <c r="AP208" s="9" t="str">
        <f>IFERROR(MID(VLOOKUP($B208,Seqs!$A:$B,2,0),AQ208,1),"")</f>
        <v>N</v>
      </c>
      <c r="AQ208" s="9">
        <v>277</v>
      </c>
      <c r="AR208" s="9" t="str">
        <f>IFERROR(MID(VLOOKUP($B208,Seqs!$A:$B,2,0),AS208,1),"")</f>
        <v>P</v>
      </c>
      <c r="AS208" s="9">
        <v>286</v>
      </c>
      <c r="AT208" s="9" t="str">
        <f>IFERROR(MID(VLOOKUP($B208,Seqs!$A:$B,2,0),AU208,1),"")</f>
        <v>L</v>
      </c>
      <c r="AU208" s="9">
        <v>311</v>
      </c>
      <c r="AV208" s="9" t="str">
        <f>IFERROR(MID(VLOOKUP($B208,Seqs!$A:$B,2,0),AW208,1),"")</f>
        <v>N</v>
      </c>
      <c r="AW208" s="9">
        <v>312</v>
      </c>
      <c r="AX208" s="9" t="str">
        <f>IFERROR(MID(VLOOKUP($B208,Seqs!$A:$B,2,0),AY208,1),"")</f>
        <v>N</v>
      </c>
      <c r="AY208" s="9">
        <v>328</v>
      </c>
      <c r="AZ208" s="110" t="str">
        <f>VLOOKUP(B208,Classification!A:D,2,0)</f>
        <v>A</v>
      </c>
      <c r="BA208" s="98" t="str">
        <f>VLOOKUP(B208,Classification!A:D,4,0)</f>
        <v>Melatonin</v>
      </c>
      <c r="BB208" s="36" t="b">
        <f t="shared" ref="BB208" si="1231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09">
        <f t="shared" ref="BC208" si="1232">_xlfn.AGGREGATE(9,6,CH208:CS208)-_xlfn.AGGREGATE(9,6,BV208:CG208)+12</f>
        <v>245</v>
      </c>
      <c r="BD208" s="13" t="s">
        <v>23</v>
      </c>
      <c r="BE208" s="9" t="s">
        <v>1374</v>
      </c>
      <c r="BF208" s="120">
        <v>3.1</v>
      </c>
      <c r="BG208" s="51" t="s">
        <v>1281</v>
      </c>
      <c r="BH208" s="51" t="s">
        <v>1281</v>
      </c>
      <c r="BJ208" s="111" t="s">
        <v>1287</v>
      </c>
      <c r="BK208" s="112" t="s">
        <v>1287</v>
      </c>
      <c r="BL208" s="112" t="s">
        <v>1287</v>
      </c>
      <c r="BM208" s="112" t="s">
        <v>1287</v>
      </c>
      <c r="BN208" s="112" t="s">
        <v>1287</v>
      </c>
      <c r="BO208" s="112" t="s">
        <v>1287</v>
      </c>
      <c r="BP208" s="112" t="s">
        <v>1287</v>
      </c>
      <c r="BQ208" s="112" t="s">
        <v>1287</v>
      </c>
      <c r="BR208" s="112" t="s">
        <v>1287</v>
      </c>
      <c r="BS208" s="112" t="s">
        <v>1287</v>
      </c>
      <c r="BT208" s="112" t="s">
        <v>1287</v>
      </c>
      <c r="BU208" s="112" t="s">
        <v>1287</v>
      </c>
      <c r="BV208" s="111">
        <f t="shared" ref="BV208" si="1233">E208</f>
        <v>38</v>
      </c>
      <c r="BW208" s="113">
        <f t="shared" ref="BW208" si="1234">I208</f>
        <v>69</v>
      </c>
      <c r="BX208" s="114">
        <f t="shared" ref="BX208" si="1235">M208</f>
        <v>73</v>
      </c>
      <c r="BY208" s="113">
        <f t="shared" ref="BY208" si="1236">Q208</f>
        <v>105</v>
      </c>
      <c r="BZ208" s="114">
        <f t="shared" ref="BZ208" si="1237">U208</f>
        <v>109</v>
      </c>
      <c r="CA208" s="113">
        <f t="shared" ref="CA208" si="1238">Y208</f>
        <v>145</v>
      </c>
      <c r="CB208" s="114">
        <f t="shared" ref="CB208" si="1239">AC208</f>
        <v>156</v>
      </c>
      <c r="CC208" s="113">
        <f t="shared" ref="CC208" si="1240">AG208</f>
        <v>190</v>
      </c>
      <c r="CD208" s="114">
        <f t="shared" ref="CD208" si="1241">AK208</f>
        <v>197</v>
      </c>
      <c r="CE208" s="113">
        <f t="shared" ref="CE208" si="1242">AO208</f>
        <v>250</v>
      </c>
      <c r="CF208" s="114">
        <f t="shared" ref="CF208" si="1243">AS208</f>
        <v>286</v>
      </c>
      <c r="CG208" s="113">
        <f t="shared" ref="CG208" si="1244">AW208</f>
        <v>312</v>
      </c>
      <c r="CH208" s="111">
        <f t="shared" ref="CH208" si="1245">G208</f>
        <v>67</v>
      </c>
      <c r="CI208" s="113">
        <f t="shared" ref="CI208" si="1246">K208</f>
        <v>72</v>
      </c>
      <c r="CJ208" s="114">
        <f t="shared" ref="CJ208" si="1247">O208</f>
        <v>104</v>
      </c>
      <c r="CK208" s="114">
        <f t="shared" ref="CK208" si="1248">S208</f>
        <v>108</v>
      </c>
      <c r="CL208" s="114">
        <f t="shared" ref="CL208" si="1249">W208</f>
        <v>143</v>
      </c>
      <c r="CM208" s="114">
        <f t="shared" ref="CM208" si="1250">AA208</f>
        <v>152</v>
      </c>
      <c r="CN208" s="114">
        <f t="shared" ref="CN208" si="1251">AE208</f>
        <v>179</v>
      </c>
      <c r="CO208" s="114">
        <f t="shared" ref="CO208" si="1252">AI208</f>
        <v>192</v>
      </c>
      <c r="CP208" s="114">
        <f t="shared" ref="CP208" si="1253">AM208</f>
        <v>230</v>
      </c>
      <c r="CQ208" s="114">
        <f t="shared" ref="CQ208" si="1254">AQ208</f>
        <v>277</v>
      </c>
      <c r="CR208" s="114">
        <f t="shared" ref="CR208" si="1255">AU208</f>
        <v>311</v>
      </c>
      <c r="CS208" s="114">
        <f t="shared" ref="CS208" si="1256">AY208</f>
        <v>328</v>
      </c>
      <c r="CT208" s="109">
        <f t="shared" ref="CT208" si="1257">M208-K208</f>
        <v>1</v>
      </c>
    </row>
    <row r="209" spans="1:1029" s="12" customFormat="1" x14ac:dyDescent="0.2">
      <c r="A209" s="9" t="str">
        <f t="shared" ref="A209" si="1258">CONCATENATE(B209,"_",C209)</f>
        <v>mtr1b_human_6ME9</v>
      </c>
      <c r="B209" s="9" t="s">
        <v>312</v>
      </c>
      <c r="C209" s="9" t="s">
        <v>1571</v>
      </c>
      <c r="D209" s="9" t="str">
        <f>IFERROR(MID(VLOOKUP($B209,Seqs!$A:$B,2,0),E209,1),"")</f>
        <v>W</v>
      </c>
      <c r="E209" s="9">
        <v>38</v>
      </c>
      <c r="F209" s="9" t="str">
        <f>IFERROR(MID(VLOOKUP($B209,Seqs!$A:$B,2,0),G209,1),"")</f>
        <v>R</v>
      </c>
      <c r="G209" s="9">
        <v>67</v>
      </c>
      <c r="H209" s="9" t="str">
        <f>IFERROR(MID(VLOOKUP($B209,Seqs!$A:$B,2,0),I209,1),"")</f>
        <v>R</v>
      </c>
      <c r="I209" s="109">
        <v>69</v>
      </c>
      <c r="J209" s="9" t="str">
        <f>IFERROR(MID(VLOOKUP($B209,Seqs!$A:$B,2,0),K209,1),"")</f>
        <v>R</v>
      </c>
      <c r="K209" s="109">
        <v>72</v>
      </c>
      <c r="L209" s="9" t="str">
        <f>IFERROR(MID(VLOOKUP($B209,Seqs!$A:$B,2,0),M209,1),"")</f>
        <v>N</v>
      </c>
      <c r="M209" s="9">
        <v>73</v>
      </c>
      <c r="N209" s="9" t="str">
        <f>IFERROR(MID(VLOOKUP($B209,Seqs!$A:$B,2,0),O209,1),"")</f>
        <v>D</v>
      </c>
      <c r="O209" s="9">
        <v>104</v>
      </c>
      <c r="P209" s="9" t="str">
        <f>IFERROR(MID(VLOOKUP($B209,Seqs!$A:$B,2,0),Q209,1),"")</f>
        <v>G</v>
      </c>
      <c r="Q209" s="9">
        <v>105</v>
      </c>
      <c r="R209" s="9" t="str">
        <f>IFERROR(MID(VLOOKUP($B209,Seqs!$A:$B,2,0),S209,1),"")</f>
        <v>L</v>
      </c>
      <c r="S209" s="9">
        <v>108</v>
      </c>
      <c r="T209" s="9" t="str">
        <f>IFERROR(MID(VLOOKUP($B209,Seqs!$A:$B,2,0),U209,1),"")</f>
        <v>G</v>
      </c>
      <c r="U209" s="9">
        <v>109</v>
      </c>
      <c r="V209" s="9" t="str">
        <f>IFERROR(MID(VLOOKUP($B209,Seqs!$A:$B,2,0),W209,1),"")</f>
        <v>C</v>
      </c>
      <c r="W209" s="9">
        <v>143</v>
      </c>
      <c r="X209" s="9" t="str">
        <f>IFERROR(MID(VLOOKUP($B209,Seqs!$A:$B,2,0),Y209,1),"")</f>
        <v>S</v>
      </c>
      <c r="Y209" s="9">
        <v>145</v>
      </c>
      <c r="Z209" s="9" t="str">
        <f>IFERROR(MID(VLOOKUP($B209,Seqs!$A:$B,2,0),AA209,1),"")</f>
        <v>Y</v>
      </c>
      <c r="AA209" s="9">
        <v>152</v>
      </c>
      <c r="AB209" s="9" t="str">
        <f>IFERROR(MID(VLOOKUP($B209,Seqs!$A:$B,2,0),AC209,1),"")</f>
        <v>H</v>
      </c>
      <c r="AC209" s="9">
        <v>156</v>
      </c>
      <c r="AD209" s="9" t="str">
        <f>IFERROR(MID(VLOOKUP($B209,Seqs!$A:$B,2,0),AE209,1),"")</f>
        <v>G</v>
      </c>
      <c r="AE209" s="9">
        <v>179</v>
      </c>
      <c r="AF209" s="9" t="str">
        <f>IFERROR(MID(VLOOKUP($B209,Seqs!$A:$B,2,0),AG209,1),"")</f>
        <v>C</v>
      </c>
      <c r="AG209" s="9">
        <v>190</v>
      </c>
      <c r="AH209" s="9" t="str">
        <f>IFERROR(MID(VLOOKUP($B209,Seqs!$A:$B,2,0),AI209,1),"")</f>
        <v>F</v>
      </c>
      <c r="AI209" s="9">
        <v>192</v>
      </c>
      <c r="AJ209" s="9" t="str">
        <f>IFERROR(MID(VLOOKUP($B209,Seqs!$A:$B,2,0),AK209,1),"")</f>
        <v>S</v>
      </c>
      <c r="AK209" s="9">
        <v>197</v>
      </c>
      <c r="AL209" s="9" t="str">
        <f>IFERROR(MID(VLOOKUP($B209,Seqs!$A:$B,2,0),AM209,1),"")</f>
        <v>A</v>
      </c>
      <c r="AM209" s="9">
        <v>230</v>
      </c>
      <c r="AN209" s="9" t="str">
        <f>IFERROR(MID(VLOOKUP($B209,Seqs!$A:$B,2,0),AO209,1),"")</f>
        <v>F</v>
      </c>
      <c r="AO209" s="9">
        <v>250</v>
      </c>
      <c r="AP209" s="9" t="str">
        <f>IFERROR(MID(VLOOKUP($B209,Seqs!$A:$B,2,0),AQ209,1),"")</f>
        <v>N</v>
      </c>
      <c r="AQ209" s="9">
        <v>277</v>
      </c>
      <c r="AR209" s="9" t="str">
        <f>IFERROR(MID(VLOOKUP($B209,Seqs!$A:$B,2,0),AS209,1),"")</f>
        <v>P</v>
      </c>
      <c r="AS209" s="9">
        <v>286</v>
      </c>
      <c r="AT209" s="9" t="str">
        <f>IFERROR(MID(VLOOKUP($B209,Seqs!$A:$B,2,0),AU209,1),"")</f>
        <v>L</v>
      </c>
      <c r="AU209" s="9">
        <v>311</v>
      </c>
      <c r="AV209" s="9" t="str">
        <f>IFERROR(MID(VLOOKUP($B209,Seqs!$A:$B,2,0),AW209,1),"")</f>
        <v>N</v>
      </c>
      <c r="AW209" s="9">
        <v>312</v>
      </c>
      <c r="AX209" s="9" t="str">
        <f>IFERROR(MID(VLOOKUP($B209,Seqs!$A:$B,2,0),AY209,1),"")</f>
        <v>N</v>
      </c>
      <c r="AY209" s="9">
        <v>328</v>
      </c>
      <c r="AZ209" s="110" t="str">
        <f>VLOOKUP(B209,Classification!A:D,2,0)</f>
        <v>A</v>
      </c>
      <c r="BA209" s="98" t="str">
        <f>VLOOKUP(B209,Classification!A:D,4,0)</f>
        <v>Melatonin</v>
      </c>
      <c r="BB209" s="36" t="b">
        <f t="shared" ref="BB209" si="1259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109">
        <f t="shared" ref="BC209" si="1260">_xlfn.AGGREGATE(9,6,CH209:CS209)-_xlfn.AGGREGATE(9,6,BV209:CG209)+12</f>
        <v>245</v>
      </c>
      <c r="BD209" s="13" t="s">
        <v>23</v>
      </c>
      <c r="BE209" s="9" t="s">
        <v>1374</v>
      </c>
      <c r="BF209" s="120">
        <v>3.3</v>
      </c>
      <c r="BG209" s="51" t="s">
        <v>1281</v>
      </c>
      <c r="BH209" s="51" t="s">
        <v>1281</v>
      </c>
      <c r="BJ209" s="111" t="s">
        <v>1287</v>
      </c>
      <c r="BK209" s="112" t="s">
        <v>1287</v>
      </c>
      <c r="BL209" s="112" t="s">
        <v>1287</v>
      </c>
      <c r="BM209" s="112" t="s">
        <v>1287</v>
      </c>
      <c r="BN209" s="112" t="s">
        <v>1287</v>
      </c>
      <c r="BO209" s="112" t="s">
        <v>1287</v>
      </c>
      <c r="BP209" s="112" t="s">
        <v>1287</v>
      </c>
      <c r="BQ209" s="112" t="s">
        <v>1287</v>
      </c>
      <c r="BR209" s="112" t="s">
        <v>1287</v>
      </c>
      <c r="BS209" s="112" t="s">
        <v>1287</v>
      </c>
      <c r="BT209" s="112" t="s">
        <v>1287</v>
      </c>
      <c r="BU209" s="112" t="s">
        <v>1287</v>
      </c>
      <c r="BV209" s="111">
        <f t="shared" ref="BV209" si="1261">E209</f>
        <v>38</v>
      </c>
      <c r="BW209" s="113">
        <f t="shared" ref="BW209" si="1262">I209</f>
        <v>69</v>
      </c>
      <c r="BX209" s="114">
        <f t="shared" ref="BX209" si="1263">M209</f>
        <v>73</v>
      </c>
      <c r="BY209" s="113">
        <f t="shared" ref="BY209" si="1264">Q209</f>
        <v>105</v>
      </c>
      <c r="BZ209" s="114">
        <f t="shared" ref="BZ209" si="1265">U209</f>
        <v>109</v>
      </c>
      <c r="CA209" s="113">
        <f t="shared" ref="CA209" si="1266">Y209</f>
        <v>145</v>
      </c>
      <c r="CB209" s="114">
        <f t="shared" ref="CB209" si="1267">AC209</f>
        <v>156</v>
      </c>
      <c r="CC209" s="113">
        <f t="shared" ref="CC209" si="1268">AG209</f>
        <v>190</v>
      </c>
      <c r="CD209" s="114">
        <f t="shared" ref="CD209" si="1269">AK209</f>
        <v>197</v>
      </c>
      <c r="CE209" s="113">
        <f t="shared" ref="CE209" si="1270">AO209</f>
        <v>250</v>
      </c>
      <c r="CF209" s="114">
        <f t="shared" ref="CF209" si="1271">AS209</f>
        <v>286</v>
      </c>
      <c r="CG209" s="113">
        <f t="shared" ref="CG209" si="1272">AW209</f>
        <v>312</v>
      </c>
      <c r="CH209" s="111">
        <f t="shared" ref="CH209" si="1273">G209</f>
        <v>67</v>
      </c>
      <c r="CI209" s="113">
        <f t="shared" ref="CI209" si="1274">K209</f>
        <v>72</v>
      </c>
      <c r="CJ209" s="114">
        <f t="shared" ref="CJ209" si="1275">O209</f>
        <v>104</v>
      </c>
      <c r="CK209" s="114">
        <f t="shared" ref="CK209" si="1276">S209</f>
        <v>108</v>
      </c>
      <c r="CL209" s="114">
        <f t="shared" ref="CL209" si="1277">W209</f>
        <v>143</v>
      </c>
      <c r="CM209" s="114">
        <f t="shared" ref="CM209" si="1278">AA209</f>
        <v>152</v>
      </c>
      <c r="CN209" s="114">
        <f t="shared" ref="CN209" si="1279">AE209</f>
        <v>179</v>
      </c>
      <c r="CO209" s="114">
        <f t="shared" ref="CO209" si="1280">AI209</f>
        <v>192</v>
      </c>
      <c r="CP209" s="114">
        <f t="shared" ref="CP209" si="1281">AM209</f>
        <v>230</v>
      </c>
      <c r="CQ209" s="114">
        <f t="shared" ref="CQ209" si="1282">AQ209</f>
        <v>277</v>
      </c>
      <c r="CR209" s="114">
        <f t="shared" ref="CR209" si="1283">AU209</f>
        <v>311</v>
      </c>
      <c r="CS209" s="114">
        <f t="shared" ref="CS209" si="1284">AY209</f>
        <v>328</v>
      </c>
      <c r="CT209" s="109">
        <f t="shared" ref="CT209" si="1285">M209-K209</f>
        <v>1</v>
      </c>
    </row>
    <row r="210" spans="1:1029" x14ac:dyDescent="0.2">
      <c r="A210" s="3" t="str">
        <f t="shared" ref="A210" si="1286">CONCATENATE(B210,"_",C210)</f>
        <v>nk1r_human__wt</v>
      </c>
      <c r="B210" s="3" t="s">
        <v>314</v>
      </c>
      <c r="C210" s="133" t="s">
        <v>100</v>
      </c>
      <c r="D210" s="3" t="str">
        <f>IFERROR(MID(VLOOKUP($B210,Seqs!$A:$B,2,0),E210,1),"")</f>
        <v>P</v>
      </c>
      <c r="E210" s="3">
        <v>28</v>
      </c>
      <c r="F210" s="3" t="str">
        <f>IFERROR(MID(VLOOKUP($B210,Seqs!$A:$B,2,0),G210,1),"")</f>
        <v>H</v>
      </c>
      <c r="G210" s="3">
        <v>60</v>
      </c>
      <c r="H210" s="3" t="str">
        <f>IFERROR(MID(VLOOKUP($B210,Seqs!$A:$B,2,0),I210,1),"")</f>
        <v>K</v>
      </c>
      <c r="I210" s="23">
        <v>61</v>
      </c>
      <c r="J210" s="3" t="str">
        <f>IFERROR(MID(VLOOKUP($B210,Seqs!$A:$B,2,0),K210,1),"")</f>
        <v>R</v>
      </c>
      <c r="K210" s="23">
        <v>64</v>
      </c>
      <c r="L210" s="3" t="str">
        <f>IFERROR(MID(VLOOKUP($B210,Seqs!$A:$B,2,0),M210,1),"")</f>
        <v>T</v>
      </c>
      <c r="M210" s="3">
        <v>65</v>
      </c>
      <c r="N210" s="3" t="str">
        <f>IFERROR(MID(VLOOKUP($B210,Seqs!$A:$B,2,0),O210,1),"")</f>
        <v>N</v>
      </c>
      <c r="O210" s="3">
        <v>96</v>
      </c>
      <c r="P210" s="3" t="str">
        <f>IFERROR(MID(VLOOKUP($B210,Seqs!$A:$B,2,0),Q210,1),"")</f>
        <v>E</v>
      </c>
      <c r="Q210" s="3">
        <v>97</v>
      </c>
      <c r="R210" s="3" t="str">
        <f>IFERROR(MID(VLOOKUP($B210,Seqs!$A:$B,2,0),S210,1),"")</f>
        <v>Y</v>
      </c>
      <c r="S210" s="3">
        <v>100</v>
      </c>
      <c r="T210" s="3" t="str">
        <f>IFERROR(MID(VLOOKUP($B210,Seqs!$A:$B,2,0),U210,1),"")</f>
        <v>G</v>
      </c>
      <c r="U210" s="3">
        <v>101</v>
      </c>
      <c r="V210" s="3" t="str">
        <f>IFERROR(MID(VLOOKUP($B210,Seqs!$A:$B,2,0),W210,1),"")</f>
        <v>H</v>
      </c>
      <c r="W210" s="3">
        <v>136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3">
        <v>143</v>
      </c>
      <c r="AD210" s="3" t="str">
        <f>IFERROR(MID(VLOOKUP($B210,Seqs!$A:$B,2,0),AE210,1),"")</f>
        <v>S</v>
      </c>
      <c r="AE210" s="3">
        <v>169</v>
      </c>
      <c r="AF210" s="3" t="str">
        <f>IFERROR(MID(VLOOKUP($B210,Seqs!$A:$B,2,0),AG210,1),"")</f>
        <v>C</v>
      </c>
      <c r="AG210" s="3">
        <v>180</v>
      </c>
      <c r="AH210" s="3" t="str">
        <f>IFERROR(MID(VLOOKUP($B210,Seqs!$A:$B,2,0),AI210,1),"")</f>
        <v>I</v>
      </c>
      <c r="AI210" s="3">
        <v>182</v>
      </c>
      <c r="AJ210" s="3" t="str">
        <f>IFERROR(MID(VLOOKUP($B210,Seqs!$A:$B,2,0),AK210,1),"")</f>
        <v>P</v>
      </c>
      <c r="AK210" s="3">
        <v>188</v>
      </c>
      <c r="AL210" s="3" t="str">
        <f>IFERROR(MID(VLOOKUP($B210,Seqs!$A:$B,2,0),AM210,1),"")</f>
        <v>D</v>
      </c>
      <c r="AM210" s="3">
        <v>231</v>
      </c>
      <c r="AN210" s="3" t="str">
        <f>IFERROR(MID(VLOOKUP($B210,Seqs!$A:$B,2,0),AO210,1),"")</f>
        <v>R</v>
      </c>
      <c r="AO210" s="3">
        <v>235</v>
      </c>
      <c r="AP210" s="3" t="str">
        <f>IFERROR(MID(VLOOKUP($B210,Seqs!$A:$B,2,0),AQ210,1),"")</f>
        <v>N</v>
      </c>
      <c r="AQ210" s="3">
        <v>274</v>
      </c>
      <c r="AR210" s="3" t="str">
        <f>IFERROR(MID(VLOOKUP($B210,Seqs!$A:$B,2,0),AS210,1),"")</f>
        <v>F</v>
      </c>
      <c r="AS210" s="3">
        <v>282</v>
      </c>
      <c r="AT210" s="3" t="str">
        <f>IFERROR(MID(VLOOKUP($B210,Seqs!$A:$B,2,0),AU210,1),"")</f>
        <v>L</v>
      </c>
      <c r="AU210" s="3">
        <v>308</v>
      </c>
      <c r="AV210" s="3" t="str">
        <f>IFERROR(MID(VLOOKUP($B210,Seqs!$A:$B,2,0),AW210,1),"")</f>
        <v>N</v>
      </c>
      <c r="AW210" s="3">
        <v>309</v>
      </c>
      <c r="AX210" s="3" t="str">
        <f>IFERROR(MID(VLOOKUP($B210,Seqs!$A:$B,2,0),AY210,1),"")</f>
        <v>F</v>
      </c>
      <c r="AY210" s="3">
        <v>320</v>
      </c>
      <c r="AZ210" s="77" t="str">
        <f>VLOOKUP(B210,Classification!A:D,2,0)</f>
        <v>A</v>
      </c>
      <c r="BA210" s="94" t="str">
        <f>VLOOKUP(B210,Classification!A:D,4,0)</f>
        <v>Tachykinin</v>
      </c>
      <c r="BB210" s="27" t="b">
        <f t="shared" ref="BB210" si="1287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288">_xlfn.AGGREGATE(9,6,CH210:CS210)-_xlfn.AGGREGATE(9,6,BV210:CG210)+12</f>
        <v>263</v>
      </c>
      <c r="BD210" s="5" t="s">
        <v>23</v>
      </c>
      <c r="BE210" s="3" t="s">
        <v>23</v>
      </c>
      <c r="BF210" s="119" t="s">
        <v>23</v>
      </c>
      <c r="BG210" s="49" t="s">
        <v>1377</v>
      </c>
      <c r="BH210" s="49" t="s">
        <v>1377</v>
      </c>
      <c r="BI210" s="1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 t="shared" ref="BV210" si="1289">E210</f>
        <v>28</v>
      </c>
      <c r="BW210" s="71">
        <f t="shared" ref="BW210" si="1290">I210</f>
        <v>61</v>
      </c>
      <c r="BX210" s="72">
        <f t="shared" ref="BX210" si="1291">M210</f>
        <v>65</v>
      </c>
      <c r="BY210" s="71">
        <f t="shared" ref="BY210" si="1292">Q210</f>
        <v>97</v>
      </c>
      <c r="BZ210" s="72">
        <f t="shared" ref="BZ210" si="1293">U210</f>
        <v>101</v>
      </c>
      <c r="CA210" s="71" t="str">
        <f t="shared" ref="CA210" si="1294">Y210</f>
        <v>-</v>
      </c>
      <c r="CB210" s="72">
        <f t="shared" ref="CB210" si="1295">AC210</f>
        <v>143</v>
      </c>
      <c r="CC210" s="71">
        <f t="shared" ref="CC210" si="1296">AG210</f>
        <v>180</v>
      </c>
      <c r="CD210" s="72">
        <f t="shared" ref="CD210" si="1297">AK210</f>
        <v>188</v>
      </c>
      <c r="CE210" s="71">
        <f t="shared" ref="CE210" si="1298">AO210</f>
        <v>235</v>
      </c>
      <c r="CF210" s="72">
        <f t="shared" ref="CF210" si="1299">AS210</f>
        <v>282</v>
      </c>
      <c r="CG210" s="71">
        <f t="shared" ref="CG210" si="1300">AW210</f>
        <v>309</v>
      </c>
      <c r="CH210" s="70">
        <f t="shared" ref="CH210" si="1301">G210</f>
        <v>60</v>
      </c>
      <c r="CI210" s="71">
        <f t="shared" ref="CI210" si="1302">K210</f>
        <v>64</v>
      </c>
      <c r="CJ210" s="72">
        <f t="shared" ref="CJ210" si="1303">O210</f>
        <v>96</v>
      </c>
      <c r="CK210" s="72">
        <f t="shared" ref="CK210" si="1304">S210</f>
        <v>100</v>
      </c>
      <c r="CL210" s="72">
        <f t="shared" ref="CL210" si="1305">W210</f>
        <v>136</v>
      </c>
      <c r="CM210" s="72" t="str">
        <f t="shared" ref="CM210" si="1306">AA210</f>
        <v>-</v>
      </c>
      <c r="CN210" s="72">
        <f t="shared" ref="CN210" si="1307">AE210</f>
        <v>169</v>
      </c>
      <c r="CO210" s="72">
        <f t="shared" ref="CO210" si="1308">AI210</f>
        <v>182</v>
      </c>
      <c r="CP210" s="72">
        <f t="shared" ref="CP210" si="1309">AM210</f>
        <v>231</v>
      </c>
      <c r="CQ210" s="72">
        <f t="shared" ref="CQ210" si="1310">AQ210</f>
        <v>274</v>
      </c>
      <c r="CR210" s="72">
        <f t="shared" ref="CR210" si="1311">AU210</f>
        <v>308</v>
      </c>
      <c r="CS210" s="72">
        <f t="shared" ref="CS210" si="1312">AY210</f>
        <v>320</v>
      </c>
      <c r="CT210" s="23">
        <f t="shared" ref="CT210" si="1313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314">CONCATENATE(B211,"_",C211)</f>
        <v>nk1r_human_6E59</v>
      </c>
      <c r="B211" s="3" t="s">
        <v>314</v>
      </c>
      <c r="C211" s="134" t="s">
        <v>1535</v>
      </c>
      <c r="D211" s="3" t="str">
        <f>IFERROR(MID(VLOOKUP($B211,Seqs!$A:$B,2,0),E211,1),"")</f>
        <v>V</v>
      </c>
      <c r="E211" s="3">
        <v>33</v>
      </c>
      <c r="F211" s="3" t="str">
        <f>IFERROR(MID(VLOOKUP($B211,Seqs!$A:$B,2,0),G211,1),"")</f>
        <v>H</v>
      </c>
      <c r="G211" s="3">
        <v>60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65</v>
      </c>
      <c r="N211" s="3" t="str">
        <f>IFERROR(MID(VLOOKUP($B211,Seqs!$A:$B,2,0),O211,1),"")</f>
        <v>V</v>
      </c>
      <c r="O211" s="3">
        <v>94</v>
      </c>
      <c r="P211" s="3" t="str">
        <f>IFERROR(MID(VLOOKUP($B211,Seqs!$A:$B,2,0),Q211,1),"")</f>
        <v>E</v>
      </c>
      <c r="Q211" s="3">
        <v>97</v>
      </c>
      <c r="R211" s="3" t="str">
        <f>IFERROR(MID(VLOOKUP($B211,Seqs!$A:$B,2,0),S211,1),"")</f>
        <v>Y</v>
      </c>
      <c r="S211" s="3">
        <v>100</v>
      </c>
      <c r="T211" s="3" t="str">
        <f>IFERROR(MID(VLOOKUP($B211,Seqs!$A:$B,2,0),U211,1),"")</f>
        <v>F</v>
      </c>
      <c r="U211" s="3">
        <v>103</v>
      </c>
      <c r="V211" s="3" t="str">
        <f>IFERROR(MID(VLOOKUP($B211,Seqs!$A:$B,2,0),W211,1),"")</f>
        <v>H</v>
      </c>
      <c r="W211" s="3">
        <v>136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143</v>
      </c>
      <c r="AD211" s="3" t="str">
        <f>IFERROR(MID(VLOOKUP($B211,Seqs!$A:$B,2,0),AE211,1),"")</f>
        <v>S</v>
      </c>
      <c r="AE211" s="3">
        <v>169</v>
      </c>
      <c r="AF211" s="3" t="str">
        <f>IFERROR(MID(VLOOKUP($B211,Seqs!$A:$B,2,0),AG211,1),"")</f>
        <v>C</v>
      </c>
      <c r="AG211" s="3">
        <v>180</v>
      </c>
      <c r="AH211" s="3" t="str">
        <f>IFERROR(MID(VLOOKUP($B211,Seqs!$A:$B,2,0),AI211,1),"")</f>
        <v>I</v>
      </c>
      <c r="AI211" s="3">
        <v>182</v>
      </c>
      <c r="AJ211" s="3" t="str">
        <f>IFERROR(MID(VLOOKUP($B211,Seqs!$A:$B,2,0),AK211,1),"")</f>
        <v>P</v>
      </c>
      <c r="AK211" s="3">
        <v>188</v>
      </c>
      <c r="AL211" s="3" t="str">
        <f>IFERROR(MID(VLOOKUP($B211,Seqs!$A:$B,2,0),AM211,1),"")</f>
        <v>W</v>
      </c>
      <c r="AM211" s="3">
        <v>224</v>
      </c>
      <c r="AN211" s="3" t="str">
        <f>IFERROR(MID(VLOOKUP($B211,Seqs!$A:$B,2,0),AO211,1),"")</f>
        <v>E</v>
      </c>
      <c r="AO211" s="3">
        <v>238</v>
      </c>
      <c r="AP211" s="3" t="str">
        <f>IFERROR(MID(VLOOKUP($B211,Seqs!$A:$B,2,0),AQ211,1),"")</f>
        <v>N</v>
      </c>
      <c r="AQ211" s="3">
        <v>274</v>
      </c>
      <c r="AR211" s="3" t="str">
        <f>IFERROR(MID(VLOOKUP($B211,Seqs!$A:$B,2,0),AS211,1),"")</f>
        <v>I</v>
      </c>
      <c r="AS211" s="3">
        <v>283</v>
      </c>
      <c r="AT211" s="3" t="str">
        <f>IFERROR(MID(VLOOKUP($B211,Seqs!$A:$B,2,0),AU211,1),"")</f>
        <v>L</v>
      </c>
      <c r="AU211" s="3">
        <v>308</v>
      </c>
      <c r="AV211" s="3" t="str">
        <f>IFERROR(MID(VLOOKUP($B211,Seqs!$A:$B,2,0),AW211,1),"")</f>
        <v>N</v>
      </c>
      <c r="AW211" s="3">
        <v>309</v>
      </c>
      <c r="AX211" s="3" t="str">
        <f>IFERROR(MID(VLOOKUP($B211,Seqs!$A:$B,2,0),AY211,1),"")</f>
        <v>H</v>
      </c>
      <c r="AY211" s="3">
        <v>318</v>
      </c>
      <c r="AZ211" s="77" t="str">
        <f>VLOOKUP(B211,Classification!A:D,2,0)</f>
        <v>A</v>
      </c>
      <c r="BA211" s="94" t="str">
        <f>VLOOKUP(B211,Classification!A:D,4,0)</f>
        <v>Tachykinin</v>
      </c>
      <c r="BB211" s="27" t="b">
        <f t="shared" ref="BB211" si="1315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316">_xlfn.AGGREGATE(9,6,CH211:CS211)-_xlfn.AGGREGATE(9,6,BV211:CG211)+12</f>
        <v>238</v>
      </c>
      <c r="BD211" s="5" t="s">
        <v>23</v>
      </c>
      <c r="BE211" s="3" t="s">
        <v>1374</v>
      </c>
      <c r="BF211" s="119">
        <v>3.4</v>
      </c>
      <c r="BG211" s="49" t="s">
        <v>1</v>
      </c>
      <c r="BH211" s="49" t="s">
        <v>1</v>
      </c>
      <c r="BI211" s="1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 t="shared" ref="BV211" si="1317">E211</f>
        <v>33</v>
      </c>
      <c r="BW211" s="71" t="str">
        <f t="shared" ref="BW211" si="1318">I211</f>
        <v>-</v>
      </c>
      <c r="BX211" s="72">
        <f t="shared" ref="BX211" si="1319">M211</f>
        <v>65</v>
      </c>
      <c r="BY211" s="71">
        <f t="shared" ref="BY211" si="1320">Q211</f>
        <v>97</v>
      </c>
      <c r="BZ211" s="72">
        <f t="shared" ref="BZ211" si="1321">U211</f>
        <v>103</v>
      </c>
      <c r="CA211" s="71" t="str">
        <f t="shared" ref="CA211" si="1322">Y211</f>
        <v>-</v>
      </c>
      <c r="CB211" s="72">
        <f t="shared" ref="CB211" si="1323">AC211</f>
        <v>143</v>
      </c>
      <c r="CC211" s="71">
        <f t="shared" ref="CC211" si="1324">AG211</f>
        <v>180</v>
      </c>
      <c r="CD211" s="72">
        <f t="shared" ref="CD211" si="1325">AK211</f>
        <v>188</v>
      </c>
      <c r="CE211" s="71">
        <f t="shared" ref="CE211" si="1326">AO211</f>
        <v>238</v>
      </c>
      <c r="CF211" s="72">
        <f t="shared" ref="CF211" si="1327">AS211</f>
        <v>283</v>
      </c>
      <c r="CG211" s="71">
        <f t="shared" ref="CG211" si="1328">AW211</f>
        <v>309</v>
      </c>
      <c r="CH211" s="70">
        <f t="shared" ref="CH211" si="1329">G211</f>
        <v>60</v>
      </c>
      <c r="CI211" s="71" t="str">
        <f t="shared" ref="CI211" si="1330">K211</f>
        <v>-</v>
      </c>
      <c r="CJ211" s="72">
        <f t="shared" ref="CJ211" si="1331">O211</f>
        <v>94</v>
      </c>
      <c r="CK211" s="72">
        <f t="shared" ref="CK211" si="1332">S211</f>
        <v>100</v>
      </c>
      <c r="CL211" s="72">
        <f t="shared" ref="CL211" si="1333">W211</f>
        <v>136</v>
      </c>
      <c r="CM211" s="72" t="str">
        <f t="shared" ref="CM211" si="1334">AA211</f>
        <v>-</v>
      </c>
      <c r="CN211" s="72">
        <f t="shared" ref="CN211" si="1335">AE211</f>
        <v>169</v>
      </c>
      <c r="CO211" s="72">
        <f t="shared" ref="CO211" si="1336">AI211</f>
        <v>182</v>
      </c>
      <c r="CP211" s="72">
        <f t="shared" ref="CP211" si="1337">AM211</f>
        <v>224</v>
      </c>
      <c r="CQ211" s="72">
        <f t="shared" ref="CQ211" si="1338">AQ211</f>
        <v>274</v>
      </c>
      <c r="CR211" s="72">
        <f t="shared" ref="CR211" si="1339">AU211</f>
        <v>308</v>
      </c>
      <c r="CS211" s="72">
        <f t="shared" ref="CS211" si="1340">AY211</f>
        <v>318</v>
      </c>
      <c r="CT211" s="23" t="e">
        <f t="shared" ref="CT211" si="1341">M211-K211</f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" si="1342">CONCATENATE(B212,"_",C212)</f>
        <v>nk1r_human_6HLL</v>
      </c>
      <c r="B212" s="3" t="s">
        <v>314</v>
      </c>
      <c r="C212" s="134" t="s">
        <v>1543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A</v>
      </c>
      <c r="G212" s="3">
        <v>59</v>
      </c>
      <c r="H212" s="3" t="str">
        <f>IFERROR(MID(VLOOKUP($B212,Seqs!$A:$B,2,0),I212,1),"")</f>
        <v>K</v>
      </c>
      <c r="I212" s="23">
        <v>61</v>
      </c>
      <c r="J212" s="3" t="str">
        <f>IFERROR(MID(VLOOKUP($B212,Seqs!$A:$B,2,0),K212,1),"")</f>
        <v>R</v>
      </c>
      <c r="K212" s="23">
        <v>64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N</v>
      </c>
      <c r="O212" s="3">
        <v>96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K</v>
      </c>
      <c r="AK212" s="3">
        <v>190</v>
      </c>
      <c r="AL212" s="3" t="str">
        <f>IFERROR(MID(VLOOKUP($B212,Seqs!$A:$B,2,0),AM212,1),"")</f>
        <v>S</v>
      </c>
      <c r="AM212" s="3">
        <v>226</v>
      </c>
      <c r="AN212" s="3" t="str">
        <f>IFERROR(MID(VLOOKUP($B212,Seqs!$A:$B,2,0),AO212,1),"")</f>
        <v>E</v>
      </c>
      <c r="AO212" s="3">
        <v>238</v>
      </c>
      <c r="AP212" s="3" t="str">
        <f>IFERROR(MID(VLOOKUP($B212,Seqs!$A:$B,2,0),AQ212,1),"")</f>
        <v>L</v>
      </c>
      <c r="AQ212" s="3">
        <v>270</v>
      </c>
      <c r="AR212" s="3" t="str">
        <f>IFERROR(MID(VLOOKUP($B212,Seqs!$A:$B,2,0),AS212,1),"")</f>
        <v>I</v>
      </c>
      <c r="AS212" s="3">
        <v>283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F</v>
      </c>
      <c r="AY212" s="3">
        <v>320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43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344">_xlfn.AGGREGATE(9,6,CH212:CS212)-_xlfn.AGGREGATE(9,6,BV212:CG212)+12</f>
        <v>247</v>
      </c>
      <c r="BD212" s="5" t="s">
        <v>23</v>
      </c>
      <c r="BE212" s="3" t="s">
        <v>1374</v>
      </c>
      <c r="BF212" s="119">
        <v>3.27</v>
      </c>
      <c r="BG212" s="49" t="s">
        <v>1</v>
      </c>
      <c r="BH212" s="49" t="s">
        <v>1</v>
      </c>
      <c r="BI212" s="1"/>
      <c r="BJ212" s="70" t="s">
        <v>1287</v>
      </c>
      <c r="BK212" s="57" t="s">
        <v>1287</v>
      </c>
      <c r="BL212" s="57" t="s">
        <v>1287</v>
      </c>
      <c r="BM212" s="57" t="s">
        <v>1287</v>
      </c>
      <c r="BN212" s="57" t="s">
        <v>1287</v>
      </c>
      <c r="BO212" s="57" t="s">
        <v>1287</v>
      </c>
      <c r="BP212" s="57" t="s">
        <v>1287</v>
      </c>
      <c r="BQ212" s="57" t="s">
        <v>1287</v>
      </c>
      <c r="BR212" s="57" t="s">
        <v>1287</v>
      </c>
      <c r="BS212" s="57" t="s">
        <v>1287</v>
      </c>
      <c r="BT212" s="57" t="s">
        <v>1287</v>
      </c>
      <c r="BU212" s="57" t="s">
        <v>1287</v>
      </c>
      <c r="BV212" s="70">
        <f t="shared" ref="BV212" si="1345">E212</f>
        <v>28</v>
      </c>
      <c r="BW212" s="71">
        <f t="shared" ref="BW212" si="1346">I212</f>
        <v>61</v>
      </c>
      <c r="BX212" s="72">
        <f t="shared" ref="BX212" si="1347">M212</f>
        <v>65</v>
      </c>
      <c r="BY212" s="71">
        <f t="shared" ref="BY212" si="1348">Q212</f>
        <v>97</v>
      </c>
      <c r="BZ212" s="72">
        <f t="shared" ref="BZ212" si="1349">U212</f>
        <v>101</v>
      </c>
      <c r="CA212" s="71" t="str">
        <f t="shared" ref="CA212" si="1350">Y212</f>
        <v>-</v>
      </c>
      <c r="CB212" s="72">
        <f t="shared" ref="CB212" si="1351">AC212</f>
        <v>143</v>
      </c>
      <c r="CC212" s="71">
        <f t="shared" ref="CC212" si="1352">AG212</f>
        <v>180</v>
      </c>
      <c r="CD212" s="72">
        <f t="shared" ref="CD212" si="1353">AK212</f>
        <v>190</v>
      </c>
      <c r="CE212" s="71">
        <f t="shared" ref="CE212" si="1354">AO212</f>
        <v>238</v>
      </c>
      <c r="CF212" s="72">
        <f t="shared" ref="CF212" si="1355">AS212</f>
        <v>283</v>
      </c>
      <c r="CG212" s="71">
        <f t="shared" ref="CG212" si="1356">AW212</f>
        <v>309</v>
      </c>
      <c r="CH212" s="70">
        <f t="shared" ref="CH212" si="1357">G212</f>
        <v>59</v>
      </c>
      <c r="CI212" s="71">
        <f t="shared" ref="CI212" si="1358">K212</f>
        <v>64</v>
      </c>
      <c r="CJ212" s="72">
        <f t="shared" ref="CJ212" si="1359">O212</f>
        <v>96</v>
      </c>
      <c r="CK212" s="72">
        <f t="shared" ref="CK212" si="1360">S212</f>
        <v>100</v>
      </c>
      <c r="CL212" s="72">
        <f t="shared" ref="CL212" si="1361">W212</f>
        <v>136</v>
      </c>
      <c r="CM212" s="72" t="str">
        <f t="shared" ref="CM212" si="1362">AA212</f>
        <v>-</v>
      </c>
      <c r="CN212" s="72">
        <f t="shared" ref="CN212" si="1363">AE212</f>
        <v>169</v>
      </c>
      <c r="CO212" s="72">
        <f t="shared" ref="CO212" si="1364">AI212</f>
        <v>182</v>
      </c>
      <c r="CP212" s="72">
        <f t="shared" ref="CP212" si="1365">AM212</f>
        <v>226</v>
      </c>
      <c r="CQ212" s="72">
        <f t="shared" ref="CQ212" si="1366">AQ212</f>
        <v>270</v>
      </c>
      <c r="CR212" s="72">
        <f t="shared" ref="CR212" si="1367">AU212</f>
        <v>308</v>
      </c>
      <c r="CS212" s="72">
        <f t="shared" ref="CS212" si="1368">AY212</f>
        <v>320</v>
      </c>
      <c r="CT212" s="23">
        <f t="shared" ref="CT212" si="1369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ref="A213" si="1370">CONCATENATE(B213,"_",C213)</f>
        <v>nk1r_human_6HLO</v>
      </c>
      <c r="B213" s="3" t="s">
        <v>314</v>
      </c>
      <c r="C213" s="134" t="s">
        <v>1544</v>
      </c>
      <c r="D213" s="3" t="str">
        <f>IFERROR(MID(VLOOKUP($B213,Seqs!$A:$B,2,0),E213,1),"")</f>
        <v>P</v>
      </c>
      <c r="E213" s="3">
        <v>28</v>
      </c>
      <c r="F213" s="3" t="str">
        <f>IFERROR(MID(VLOOKUP($B213,Seqs!$A:$B,2,0),G213,1),"")</f>
        <v>H</v>
      </c>
      <c r="G213" s="3">
        <v>60</v>
      </c>
      <c r="H213" s="3" t="str">
        <f>IFERROR(MID(VLOOKUP($B213,Seqs!$A:$B,2,0),I213,1),"")</f>
        <v>K</v>
      </c>
      <c r="I213" s="23">
        <v>61</v>
      </c>
      <c r="J213" s="3" t="str">
        <f>IFERROR(MID(VLOOKUP($B213,Seqs!$A:$B,2,0),K213,1),"")</f>
        <v>R</v>
      </c>
      <c r="K213" s="23">
        <v>64</v>
      </c>
      <c r="L213" s="3" t="str">
        <f>IFERROR(MID(VLOOKUP($B213,Seqs!$A:$B,2,0),M213,1),"")</f>
        <v>T</v>
      </c>
      <c r="M213" s="3">
        <v>65</v>
      </c>
      <c r="N213" s="3" t="str">
        <f>IFERROR(MID(VLOOKUP($B213,Seqs!$A:$B,2,0),O213,1),"")</f>
        <v>H</v>
      </c>
      <c r="O213" s="3">
        <v>95</v>
      </c>
      <c r="P213" s="3" t="str">
        <f>IFERROR(MID(VLOOKUP($B213,Seqs!$A:$B,2,0),Q213,1),"")</f>
        <v>E</v>
      </c>
      <c r="Q213" s="3">
        <v>97</v>
      </c>
      <c r="R213" s="3" t="str">
        <f>IFERROR(MID(VLOOKUP($B213,Seqs!$A:$B,2,0),S213,1),"")</f>
        <v>Y</v>
      </c>
      <c r="S213" s="3">
        <v>100</v>
      </c>
      <c r="T213" s="3" t="str">
        <f>IFERROR(MID(VLOOKUP($B213,Seqs!$A:$B,2,0),U213,1),"")</f>
        <v>G</v>
      </c>
      <c r="U213" s="3">
        <v>101</v>
      </c>
      <c r="V213" s="3" t="str">
        <f>IFERROR(MID(VLOOKUP($B213,Seqs!$A:$B,2,0),W213,1),"")</f>
        <v>H</v>
      </c>
      <c r="W213" s="3">
        <v>136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143</v>
      </c>
      <c r="AD213" s="3" t="str">
        <f>IFERROR(MID(VLOOKUP($B213,Seqs!$A:$B,2,0),AE213,1),"")</f>
        <v>S</v>
      </c>
      <c r="AE213" s="3">
        <v>169</v>
      </c>
      <c r="AF213" s="3" t="str">
        <f>IFERROR(MID(VLOOKUP($B213,Seqs!$A:$B,2,0),AG213,1),"")</f>
        <v>C</v>
      </c>
      <c r="AG213" s="3">
        <v>180</v>
      </c>
      <c r="AH213" s="3" t="str">
        <f>IFERROR(MID(VLOOKUP($B213,Seqs!$A:$B,2,0),AI213,1),"")</f>
        <v>I</v>
      </c>
      <c r="AI213" s="3">
        <v>182</v>
      </c>
      <c r="AJ213" s="3" t="str">
        <f>IFERROR(MID(VLOOKUP($B213,Seqs!$A:$B,2,0),AK213,1),"")</f>
        <v>K</v>
      </c>
      <c r="AK213" s="3">
        <v>190</v>
      </c>
      <c r="AL213" s="3" t="str">
        <f>IFERROR(MID(VLOOKUP($B213,Seqs!$A:$B,2,0),AM213,1),"")</f>
        <v>S</v>
      </c>
      <c r="AM213" s="3">
        <v>226</v>
      </c>
      <c r="AN213" s="3" t="str">
        <f>IFERROR(MID(VLOOKUP($B213,Seqs!$A:$B,2,0),AO213,1),"")</f>
        <v>E</v>
      </c>
      <c r="AO213" s="3">
        <v>238</v>
      </c>
      <c r="AP213" s="3" t="str">
        <f>IFERROR(MID(VLOOKUP($B213,Seqs!$A:$B,2,0),AQ213,1),"")</f>
        <v>N</v>
      </c>
      <c r="AQ213" s="3">
        <v>274</v>
      </c>
      <c r="AR213" s="3" t="str">
        <f>IFERROR(MID(VLOOKUP($B213,Seqs!$A:$B,2,0),AS213,1),"")</f>
        <v>F</v>
      </c>
      <c r="AS213" s="3">
        <v>282</v>
      </c>
      <c r="AT213" s="3" t="str">
        <f>IFERROR(MID(VLOOKUP($B213,Seqs!$A:$B,2,0),AU213,1),"")</f>
        <v>L</v>
      </c>
      <c r="AU213" s="3">
        <v>308</v>
      </c>
      <c r="AV213" s="3" t="str">
        <f>IFERROR(MID(VLOOKUP($B213,Seqs!$A:$B,2,0),AW213,1),"")</f>
        <v>N</v>
      </c>
      <c r="AW213" s="3">
        <v>309</v>
      </c>
      <c r="AX213" s="3" t="str">
        <f>IFERROR(MID(VLOOKUP($B213,Seqs!$A:$B,2,0),AY213,1),"")</f>
        <v>F</v>
      </c>
      <c r="AY213" s="3">
        <v>320</v>
      </c>
      <c r="AZ213" s="77" t="str">
        <f>VLOOKUP(B213,Classification!A:D,2,0)</f>
        <v>A</v>
      </c>
      <c r="BA213" s="94" t="str">
        <f>VLOOKUP(B213,Classification!A:D,4,0)</f>
        <v>Tachykinin</v>
      </c>
      <c r="BB213" s="27" t="b">
        <f t="shared" ref="BB213" si="1371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372">_xlfn.AGGREGATE(9,6,CH213:CS213)-_xlfn.AGGREGATE(9,6,BV213:CG213)+12</f>
        <v>252</v>
      </c>
      <c r="BD213" s="5" t="s">
        <v>23</v>
      </c>
      <c r="BE213" s="3" t="s">
        <v>1374</v>
      </c>
      <c r="BF213" s="119">
        <v>2.4</v>
      </c>
      <c r="BG213" s="49" t="s">
        <v>1</v>
      </c>
      <c r="BH213" s="49" t="s">
        <v>1</v>
      </c>
      <c r="BI213" s="1"/>
      <c r="BJ213" s="70" t="s">
        <v>1287</v>
      </c>
      <c r="BK213" s="57" t="s">
        <v>1287</v>
      </c>
      <c r="BL213" s="57" t="s">
        <v>1287</v>
      </c>
      <c r="BM213" s="57" t="s">
        <v>1287</v>
      </c>
      <c r="BN213" s="57" t="s">
        <v>1287</v>
      </c>
      <c r="BO213" s="57" t="s">
        <v>1287</v>
      </c>
      <c r="BP213" s="57" t="s">
        <v>1287</v>
      </c>
      <c r="BQ213" s="57" t="s">
        <v>1287</v>
      </c>
      <c r="BR213" s="57" t="s">
        <v>1287</v>
      </c>
      <c r="BS213" s="57" t="s">
        <v>1287</v>
      </c>
      <c r="BT213" s="57" t="s">
        <v>1287</v>
      </c>
      <c r="BU213" s="57" t="s">
        <v>1287</v>
      </c>
      <c r="BV213" s="70">
        <f t="shared" ref="BV213" si="1373">E213</f>
        <v>28</v>
      </c>
      <c r="BW213" s="71">
        <f t="shared" ref="BW213" si="1374">I213</f>
        <v>61</v>
      </c>
      <c r="BX213" s="72">
        <f t="shared" ref="BX213" si="1375">M213</f>
        <v>65</v>
      </c>
      <c r="BY213" s="71">
        <f t="shared" ref="BY213" si="1376">Q213</f>
        <v>97</v>
      </c>
      <c r="BZ213" s="72">
        <f t="shared" ref="BZ213" si="1377">U213</f>
        <v>101</v>
      </c>
      <c r="CA213" s="71" t="str">
        <f t="shared" ref="CA213" si="1378">Y213</f>
        <v>-</v>
      </c>
      <c r="CB213" s="72">
        <f t="shared" ref="CB213" si="1379">AC213</f>
        <v>143</v>
      </c>
      <c r="CC213" s="71">
        <f t="shared" ref="CC213" si="1380">AG213</f>
        <v>180</v>
      </c>
      <c r="CD213" s="72">
        <f t="shared" ref="CD213" si="1381">AK213</f>
        <v>190</v>
      </c>
      <c r="CE213" s="71">
        <f t="shared" ref="CE213" si="1382">AO213</f>
        <v>238</v>
      </c>
      <c r="CF213" s="72">
        <f t="shared" ref="CF213" si="1383">AS213</f>
        <v>282</v>
      </c>
      <c r="CG213" s="71">
        <f t="shared" ref="CG213" si="1384">AW213</f>
        <v>309</v>
      </c>
      <c r="CH213" s="70">
        <f t="shared" ref="CH213" si="1385">G213</f>
        <v>60</v>
      </c>
      <c r="CI213" s="71">
        <f t="shared" ref="CI213" si="1386">K213</f>
        <v>64</v>
      </c>
      <c r="CJ213" s="72">
        <f t="shared" ref="CJ213" si="1387">O213</f>
        <v>95</v>
      </c>
      <c r="CK213" s="72">
        <f t="shared" ref="CK213" si="1388">S213</f>
        <v>100</v>
      </c>
      <c r="CL213" s="72">
        <f t="shared" ref="CL213" si="1389">W213</f>
        <v>136</v>
      </c>
      <c r="CM213" s="72" t="str">
        <f t="shared" ref="CM213" si="1390">AA213</f>
        <v>-</v>
      </c>
      <c r="CN213" s="72">
        <f t="shared" ref="CN213" si="1391">AE213</f>
        <v>169</v>
      </c>
      <c r="CO213" s="72">
        <f t="shared" ref="CO213" si="1392">AI213</f>
        <v>182</v>
      </c>
      <c r="CP213" s="72">
        <f t="shared" ref="CP213" si="1393">AM213</f>
        <v>226</v>
      </c>
      <c r="CQ213" s="72">
        <f t="shared" ref="CQ213" si="1394">AQ213</f>
        <v>274</v>
      </c>
      <c r="CR213" s="72">
        <f t="shared" ref="CR213" si="1395">AU213</f>
        <v>308</v>
      </c>
      <c r="CS213" s="72">
        <f t="shared" ref="CS213" si="1396">AY213</f>
        <v>320</v>
      </c>
      <c r="CT213" s="23">
        <f t="shared" ref="CT213" si="1397">M213-K213</f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398">CONCATENATE(B214,"_",C214)</f>
        <v>nk1r_human_6HLP</v>
      </c>
      <c r="B214" s="3" t="s">
        <v>314</v>
      </c>
      <c r="C214" s="134" t="s">
        <v>1545</v>
      </c>
      <c r="D214" s="3" t="str">
        <f>IFERROR(MID(VLOOKUP($B214,Seqs!$A:$B,2,0),E214,1),"")</f>
        <v>P</v>
      </c>
      <c r="E214" s="3">
        <v>28</v>
      </c>
      <c r="F214" s="3" t="str">
        <f>IFERROR(MID(VLOOKUP($B214,Seqs!$A:$B,2,0),G214,1),"")</f>
        <v>H</v>
      </c>
      <c r="G214" s="3">
        <v>60</v>
      </c>
      <c r="H214" s="3" t="str">
        <f>IFERROR(MID(VLOOKUP($B214,Seqs!$A:$B,2,0),I214,1),"")</f>
        <v>K</v>
      </c>
      <c r="I214" s="23">
        <v>61</v>
      </c>
      <c r="J214" s="3" t="str">
        <f>IFERROR(MID(VLOOKUP($B214,Seqs!$A:$B,2,0),K214,1),"")</f>
        <v>R</v>
      </c>
      <c r="K214" s="23">
        <v>64</v>
      </c>
      <c r="L214" s="3" t="str">
        <f>IFERROR(MID(VLOOKUP($B214,Seqs!$A:$B,2,0),M214,1),"")</f>
        <v>T</v>
      </c>
      <c r="M214" s="3">
        <v>65</v>
      </c>
      <c r="N214" s="3" t="str">
        <f>IFERROR(MID(VLOOKUP($B214,Seqs!$A:$B,2,0),O214,1),"")</f>
        <v>H</v>
      </c>
      <c r="O214" s="3">
        <v>95</v>
      </c>
      <c r="P214" s="3" t="str">
        <f>IFERROR(MID(VLOOKUP($B214,Seqs!$A:$B,2,0),Q214,1),"")</f>
        <v>E</v>
      </c>
      <c r="Q214" s="3">
        <v>97</v>
      </c>
      <c r="R214" s="3" t="str">
        <f>IFERROR(MID(VLOOKUP($B214,Seqs!$A:$B,2,0),S214,1),"")</f>
        <v>Y</v>
      </c>
      <c r="S214" s="3">
        <v>100</v>
      </c>
      <c r="T214" s="3" t="str">
        <f>IFERROR(MID(VLOOKUP($B214,Seqs!$A:$B,2,0),U214,1),"")</f>
        <v>G</v>
      </c>
      <c r="U214" s="3">
        <v>101</v>
      </c>
      <c r="V214" s="3" t="str">
        <f>IFERROR(MID(VLOOKUP($B214,Seqs!$A:$B,2,0),W214,1),"")</f>
        <v>H</v>
      </c>
      <c r="W214" s="3">
        <v>136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3">
        <v>143</v>
      </c>
      <c r="AD214" s="3" t="str">
        <f>IFERROR(MID(VLOOKUP($B214,Seqs!$A:$B,2,0),AE214,1),"")</f>
        <v>S</v>
      </c>
      <c r="AE214" s="3">
        <v>169</v>
      </c>
      <c r="AF214" s="3" t="str">
        <f>IFERROR(MID(VLOOKUP($B214,Seqs!$A:$B,2,0),AG214,1),"")</f>
        <v>C</v>
      </c>
      <c r="AG214" s="3">
        <v>180</v>
      </c>
      <c r="AH214" s="3" t="str">
        <f>IFERROR(MID(VLOOKUP($B214,Seqs!$A:$B,2,0),AI214,1),"")</f>
        <v>I</v>
      </c>
      <c r="AI214" s="3">
        <v>182</v>
      </c>
      <c r="AJ214" s="3" t="str">
        <f>IFERROR(MID(VLOOKUP($B214,Seqs!$A:$B,2,0),AK214,1),"")</f>
        <v>K</v>
      </c>
      <c r="AK214" s="3">
        <v>190</v>
      </c>
      <c r="AL214" s="3" t="str">
        <f>IFERROR(MID(VLOOKUP($B214,Seqs!$A:$B,2,0),AM214,1),"")</f>
        <v>S</v>
      </c>
      <c r="AM214" s="3">
        <v>226</v>
      </c>
      <c r="AN214" s="3" t="str">
        <f>IFERROR(MID(VLOOKUP($B214,Seqs!$A:$B,2,0),AO214,1),"")</f>
        <v>E</v>
      </c>
      <c r="AO214" s="3">
        <v>238</v>
      </c>
      <c r="AP214" s="3" t="str">
        <f>IFERROR(MID(VLOOKUP($B214,Seqs!$A:$B,2,0),AQ214,1),"")</f>
        <v>N</v>
      </c>
      <c r="AQ214" s="3">
        <v>274</v>
      </c>
      <c r="AR214" s="3" t="str">
        <f>IFERROR(MID(VLOOKUP($B214,Seqs!$A:$B,2,0),AS214,1),"")</f>
        <v>F</v>
      </c>
      <c r="AS214" s="3">
        <v>282</v>
      </c>
      <c r="AT214" s="3" t="str">
        <f>IFERROR(MID(VLOOKUP($B214,Seqs!$A:$B,2,0),AU214,1),"")</f>
        <v>L</v>
      </c>
      <c r="AU214" s="3">
        <v>308</v>
      </c>
      <c r="AV214" s="3" t="str">
        <f>IFERROR(MID(VLOOKUP($B214,Seqs!$A:$B,2,0),AW214,1),"")</f>
        <v>N</v>
      </c>
      <c r="AW214" s="3">
        <v>309</v>
      </c>
      <c r="AX214" s="3" t="str">
        <f>IFERROR(MID(VLOOKUP($B214,Seqs!$A:$B,2,0),AY214,1),"")</f>
        <v>F</v>
      </c>
      <c r="AY214" s="3">
        <v>320</v>
      </c>
      <c r="AZ214" s="77" t="str">
        <f>VLOOKUP(B214,Classification!A:D,2,0)</f>
        <v>A</v>
      </c>
      <c r="BA214" s="94" t="str">
        <f>VLOOKUP(B214,Classification!A:D,4,0)</f>
        <v>Tachykinin</v>
      </c>
      <c r="BB214" s="27" t="b">
        <f t="shared" ref="BB214" si="1399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400">_xlfn.AGGREGATE(9,6,CH214:CS214)-_xlfn.AGGREGATE(9,6,BV214:CG214)+12</f>
        <v>252</v>
      </c>
      <c r="BD214" s="5" t="s">
        <v>1376</v>
      </c>
      <c r="BE214" s="3" t="s">
        <v>1374</v>
      </c>
      <c r="BF214" s="119">
        <v>2.2000000000000002</v>
      </c>
      <c r="BG214" s="49" t="s">
        <v>1</v>
      </c>
      <c r="BH214" s="49" t="s">
        <v>1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ref="BV214" si="1401">E214</f>
        <v>28</v>
      </c>
      <c r="BW214" s="71">
        <f t="shared" ref="BW214" si="1402">I214</f>
        <v>61</v>
      </c>
      <c r="BX214" s="72">
        <f t="shared" ref="BX214" si="1403">M214</f>
        <v>65</v>
      </c>
      <c r="BY214" s="71">
        <f t="shared" ref="BY214" si="1404">Q214</f>
        <v>97</v>
      </c>
      <c r="BZ214" s="72">
        <f t="shared" ref="BZ214" si="1405">U214</f>
        <v>101</v>
      </c>
      <c r="CA214" s="71" t="str">
        <f t="shared" ref="CA214" si="1406">Y214</f>
        <v>-</v>
      </c>
      <c r="CB214" s="72">
        <f t="shared" ref="CB214" si="1407">AC214</f>
        <v>143</v>
      </c>
      <c r="CC214" s="71">
        <f t="shared" ref="CC214" si="1408">AG214</f>
        <v>180</v>
      </c>
      <c r="CD214" s="72">
        <f t="shared" ref="CD214" si="1409">AK214</f>
        <v>190</v>
      </c>
      <c r="CE214" s="71">
        <f t="shared" ref="CE214" si="1410">AO214</f>
        <v>238</v>
      </c>
      <c r="CF214" s="72">
        <f t="shared" ref="CF214" si="1411">AS214</f>
        <v>282</v>
      </c>
      <c r="CG214" s="71">
        <f t="shared" ref="CG214" si="1412">AW214</f>
        <v>309</v>
      </c>
      <c r="CH214" s="70">
        <f t="shared" ref="CH214" si="1413">G214</f>
        <v>60</v>
      </c>
      <c r="CI214" s="71">
        <f t="shared" ref="CI214" si="1414">K214</f>
        <v>64</v>
      </c>
      <c r="CJ214" s="72">
        <f t="shared" ref="CJ214" si="1415">O214</f>
        <v>95</v>
      </c>
      <c r="CK214" s="72">
        <f t="shared" ref="CK214" si="1416">S214</f>
        <v>100</v>
      </c>
      <c r="CL214" s="72">
        <f t="shared" ref="CL214" si="1417">W214</f>
        <v>136</v>
      </c>
      <c r="CM214" s="72" t="str">
        <f t="shared" ref="CM214" si="1418">AA214</f>
        <v>-</v>
      </c>
      <c r="CN214" s="72">
        <f t="shared" ref="CN214" si="1419">AE214</f>
        <v>169</v>
      </c>
      <c r="CO214" s="72">
        <f t="shared" ref="CO214" si="1420">AI214</f>
        <v>182</v>
      </c>
      <c r="CP214" s="72">
        <f t="shared" ref="CP214" si="1421">AM214</f>
        <v>226</v>
      </c>
      <c r="CQ214" s="72">
        <f t="shared" ref="CQ214" si="1422">AQ214</f>
        <v>274</v>
      </c>
      <c r="CR214" s="72">
        <f t="shared" ref="CR214" si="1423">AU214</f>
        <v>308</v>
      </c>
      <c r="CS214" s="72">
        <f t="shared" ref="CS214" si="1424">AY214</f>
        <v>320</v>
      </c>
      <c r="CT214" s="23">
        <f t="shared" ref="CT214" si="1425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ref="A215" si="1426">CONCATENATE(B215,"_",C215)</f>
        <v>nk1r_human_6J20</v>
      </c>
      <c r="B215" s="3" t="s">
        <v>314</v>
      </c>
      <c r="C215" s="134" t="s">
        <v>1562</v>
      </c>
      <c r="D215" s="3" t="str">
        <f>IFERROR(MID(VLOOKUP($B215,Seqs!$A:$B,2,0),E215,1),"")</f>
        <v>P</v>
      </c>
      <c r="E215" s="3">
        <v>28</v>
      </c>
      <c r="F215" s="3" t="str">
        <f>IFERROR(MID(VLOOKUP($B215,Seqs!$A:$B,2,0),G215,1),"")</f>
        <v>A</v>
      </c>
      <c r="G215" s="3">
        <v>59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V</v>
      </c>
      <c r="M215" s="3">
        <v>66</v>
      </c>
      <c r="N215" s="3" t="str">
        <f>IFERROR(MID(VLOOKUP($B215,Seqs!$A:$B,2,0),O215,1),"")</f>
        <v>N</v>
      </c>
      <c r="O215" s="3">
        <v>96</v>
      </c>
      <c r="P215" s="3" t="str">
        <f>IFERROR(MID(VLOOKUP($B215,Seqs!$A:$B,2,0),Q215,1),"")</f>
        <v>E</v>
      </c>
      <c r="Q215" s="3">
        <v>97</v>
      </c>
      <c r="R215" s="3" t="str">
        <f>IFERROR(MID(VLOOKUP($B215,Seqs!$A:$B,2,0),S215,1),"")</f>
        <v>Y</v>
      </c>
      <c r="S215" s="3">
        <v>100</v>
      </c>
      <c r="T215" s="3" t="str">
        <f>IFERROR(MID(VLOOKUP($B215,Seqs!$A:$B,2,0),U215,1),"")</f>
        <v>G</v>
      </c>
      <c r="U215" s="3">
        <v>101</v>
      </c>
      <c r="V215" s="3" t="str">
        <f>IFERROR(MID(VLOOKUP($B215,Seqs!$A:$B,2,0),W215,1),"")</f>
        <v>H</v>
      </c>
      <c r="W215" s="3">
        <v>136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S</v>
      </c>
      <c r="AC215" s="3">
        <v>143</v>
      </c>
      <c r="AD215" s="3" t="str">
        <f>IFERROR(MID(VLOOKUP($B215,Seqs!$A:$B,2,0),AE215,1),"")</f>
        <v>S</v>
      </c>
      <c r="AE215" s="3">
        <v>169</v>
      </c>
      <c r="AF215" s="3" t="str">
        <f>IFERROR(MID(VLOOKUP($B215,Seqs!$A:$B,2,0),AG215,1),"")</f>
        <v>C</v>
      </c>
      <c r="AG215" s="3">
        <v>180</v>
      </c>
      <c r="AH215" s="3" t="str">
        <f>IFERROR(MID(VLOOKUP($B215,Seqs!$A:$B,2,0),AI215,1),"")</f>
        <v>I</v>
      </c>
      <c r="AI215" s="3">
        <v>182</v>
      </c>
      <c r="AJ215" s="3" t="str">
        <f>IFERROR(MID(VLOOKUP($B215,Seqs!$A:$B,2,0),AK215,1),"")</f>
        <v>K</v>
      </c>
      <c r="AK215" s="3">
        <v>190</v>
      </c>
      <c r="AL215" s="3" t="str">
        <f>IFERROR(MID(VLOOKUP($B215,Seqs!$A:$B,2,0),AM215,1),"")</f>
        <v>A</v>
      </c>
      <c r="AM215" s="3">
        <v>225</v>
      </c>
      <c r="AN215" s="3" t="str">
        <f>IFERROR(MID(VLOOKUP($B215,Seqs!$A:$B,2,0),AO215,1),"")</f>
        <v>S</v>
      </c>
      <c r="AO215" s="3">
        <v>241</v>
      </c>
      <c r="AP215" s="3" t="str">
        <f>IFERROR(MID(VLOOKUP($B215,Seqs!$A:$B,2,0),AQ215,1),"")</f>
        <v>N</v>
      </c>
      <c r="AQ215" s="3">
        <v>274</v>
      </c>
      <c r="AR215" s="3" t="str">
        <f>IFERROR(MID(VLOOKUP($B215,Seqs!$A:$B,2,0),AS215,1),"")</f>
        <v>I</v>
      </c>
      <c r="AS215" s="3">
        <v>283</v>
      </c>
      <c r="AT215" s="3" t="str">
        <f>IFERROR(MID(VLOOKUP($B215,Seqs!$A:$B,2,0),AU215,1),"")</f>
        <v>L</v>
      </c>
      <c r="AU215" s="3">
        <v>308</v>
      </c>
      <c r="AV215" s="3" t="str">
        <f>IFERROR(MID(VLOOKUP($B215,Seqs!$A:$B,2,0),AW215,1),"")</f>
        <v>N</v>
      </c>
      <c r="AW215" s="3">
        <v>309</v>
      </c>
      <c r="AX215" s="3" t="str">
        <f>IFERROR(MID(VLOOKUP($B215,Seqs!$A:$B,2,0),AY215,1),"")</f>
        <v>A</v>
      </c>
      <c r="AY215" s="3">
        <v>319</v>
      </c>
      <c r="AZ215" s="77" t="str">
        <f>VLOOKUP(B215,Classification!A:D,2,0)</f>
        <v>A</v>
      </c>
      <c r="BA215" s="94" t="str">
        <f>VLOOKUP(B215,Classification!A:D,4,0)</f>
        <v>Tachykinin</v>
      </c>
      <c r="BB215" s="27" t="b">
        <f t="shared" ref="BB215" si="1427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" si="1428">_xlfn.AGGREGATE(9,6,CH215:CS215)-_xlfn.AGGREGATE(9,6,BV215:CG215)+12</f>
        <v>242</v>
      </c>
      <c r="BD215" s="5" t="s">
        <v>23</v>
      </c>
      <c r="BE215" s="3" t="s">
        <v>1374</v>
      </c>
      <c r="BF215" s="119">
        <v>2.7</v>
      </c>
      <c r="BG215" s="49" t="s">
        <v>1</v>
      </c>
      <c r="BH215" s="49" t="s">
        <v>1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ref="BV215" si="1429">E215</f>
        <v>28</v>
      </c>
      <c r="BW215" s="71" t="str">
        <f t="shared" ref="BW215" si="1430">I215</f>
        <v>-</v>
      </c>
      <c r="BX215" s="72">
        <f t="shared" ref="BX215" si="1431">M215</f>
        <v>66</v>
      </c>
      <c r="BY215" s="71">
        <f t="shared" ref="BY215" si="1432">Q215</f>
        <v>97</v>
      </c>
      <c r="BZ215" s="72">
        <f t="shared" ref="BZ215" si="1433">U215</f>
        <v>101</v>
      </c>
      <c r="CA215" s="71" t="str">
        <f t="shared" ref="CA215" si="1434">Y215</f>
        <v>-</v>
      </c>
      <c r="CB215" s="72">
        <f t="shared" ref="CB215" si="1435">AC215</f>
        <v>143</v>
      </c>
      <c r="CC215" s="71">
        <f t="shared" ref="CC215" si="1436">AG215</f>
        <v>180</v>
      </c>
      <c r="CD215" s="72">
        <f t="shared" ref="CD215" si="1437">AK215</f>
        <v>190</v>
      </c>
      <c r="CE215" s="71">
        <f t="shared" ref="CE215" si="1438">AO215</f>
        <v>241</v>
      </c>
      <c r="CF215" s="72">
        <f t="shared" ref="CF215" si="1439">AS215</f>
        <v>283</v>
      </c>
      <c r="CG215" s="71">
        <f t="shared" ref="CG215" si="1440">AW215</f>
        <v>309</v>
      </c>
      <c r="CH215" s="70">
        <f t="shared" ref="CH215" si="1441">G215</f>
        <v>59</v>
      </c>
      <c r="CI215" s="71" t="str">
        <f t="shared" ref="CI215" si="1442">K215</f>
        <v>-</v>
      </c>
      <c r="CJ215" s="72">
        <f t="shared" ref="CJ215" si="1443">O215</f>
        <v>96</v>
      </c>
      <c r="CK215" s="72">
        <f t="shared" ref="CK215" si="1444">S215</f>
        <v>100</v>
      </c>
      <c r="CL215" s="72">
        <f t="shared" ref="CL215" si="1445">W215</f>
        <v>136</v>
      </c>
      <c r="CM215" s="72" t="str">
        <f t="shared" ref="CM215" si="1446">AA215</f>
        <v>-</v>
      </c>
      <c r="CN215" s="72">
        <f t="shared" ref="CN215" si="1447">AE215</f>
        <v>169</v>
      </c>
      <c r="CO215" s="72">
        <f t="shared" ref="CO215" si="1448">AI215</f>
        <v>182</v>
      </c>
      <c r="CP215" s="72">
        <f t="shared" ref="CP215" si="1449">AM215</f>
        <v>225</v>
      </c>
      <c r="CQ215" s="72">
        <f t="shared" ref="CQ215" si="1450">AQ215</f>
        <v>274</v>
      </c>
      <c r="CR215" s="72">
        <f t="shared" ref="CR215" si="1451">AU215</f>
        <v>308</v>
      </c>
      <c r="CS215" s="72">
        <f t="shared" ref="CS215" si="1452">AY215</f>
        <v>319</v>
      </c>
      <c r="CT215" s="23" t="e">
        <f t="shared" ref="CT215" si="1453">M215-K215</f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ref="A216" si="1454">CONCATENATE(B216,"_",C216)</f>
        <v>nk1r_human_6J21</v>
      </c>
      <c r="B216" s="3" t="s">
        <v>314</v>
      </c>
      <c r="C216" s="134" t="s">
        <v>1563</v>
      </c>
      <c r="D216" s="3" t="str">
        <f>IFERROR(MID(VLOOKUP($B216,Seqs!$A:$B,2,0),E216,1),"")</f>
        <v>P</v>
      </c>
      <c r="E216" s="3">
        <v>28</v>
      </c>
      <c r="F216" s="3" t="str">
        <f>IFERROR(MID(VLOOKUP($B216,Seqs!$A:$B,2,0),G216,1),"")</f>
        <v>A</v>
      </c>
      <c r="G216" s="3">
        <v>59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T</v>
      </c>
      <c r="M216" s="3">
        <v>65</v>
      </c>
      <c r="N216" s="3" t="str">
        <f>IFERROR(MID(VLOOKUP($B216,Seqs!$A:$B,2,0),O216,1),"")</f>
        <v>N</v>
      </c>
      <c r="O216" s="3">
        <v>96</v>
      </c>
      <c r="P216" s="3" t="str">
        <f>IFERROR(MID(VLOOKUP($B216,Seqs!$A:$B,2,0),Q216,1),"")</f>
        <v>E</v>
      </c>
      <c r="Q216" s="3">
        <v>97</v>
      </c>
      <c r="R216" s="3" t="str">
        <f>IFERROR(MID(VLOOKUP($B216,Seqs!$A:$B,2,0),S216,1),"")</f>
        <v>Y</v>
      </c>
      <c r="S216" s="3">
        <v>100</v>
      </c>
      <c r="T216" s="3" t="str">
        <f>IFERROR(MID(VLOOKUP($B216,Seqs!$A:$B,2,0),U216,1),"")</f>
        <v>G</v>
      </c>
      <c r="U216" s="3">
        <v>101</v>
      </c>
      <c r="V216" s="3" t="str">
        <f>IFERROR(MID(VLOOKUP($B216,Seqs!$A:$B,2,0),W216,1),"")</f>
        <v>H</v>
      </c>
      <c r="W216" s="3">
        <v>136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S</v>
      </c>
      <c r="AC216" s="3">
        <v>143</v>
      </c>
      <c r="AD216" s="3" t="str">
        <f>IFERROR(MID(VLOOKUP($B216,Seqs!$A:$B,2,0),AE216,1),"")</f>
        <v>S</v>
      </c>
      <c r="AE216" s="3">
        <v>169</v>
      </c>
      <c r="AF216" s="3" t="str">
        <f>IFERROR(MID(VLOOKUP($B216,Seqs!$A:$B,2,0),AG216,1),"")</f>
        <v>C</v>
      </c>
      <c r="AG216" s="3">
        <v>180</v>
      </c>
      <c r="AH216" s="3" t="str">
        <f>IFERROR(MID(VLOOKUP($B216,Seqs!$A:$B,2,0),AI216,1),"")</f>
        <v>I</v>
      </c>
      <c r="AI216" s="3">
        <v>182</v>
      </c>
      <c r="AJ216" s="3" t="str">
        <f>IFERROR(MID(VLOOKUP($B216,Seqs!$A:$B,2,0),AK216,1),"")</f>
        <v>I</v>
      </c>
      <c r="AK216" s="3">
        <v>191</v>
      </c>
      <c r="AL216" s="3" t="str">
        <f>IFERROR(MID(VLOOKUP($B216,Seqs!$A:$B,2,0),AM216,1),"")</f>
        <v>A</v>
      </c>
      <c r="AM216" s="3">
        <v>225</v>
      </c>
      <c r="AN216" s="3" t="str">
        <f>IFERROR(MID(VLOOKUP($B216,Seqs!$A:$B,2,0),AO216,1),"")</f>
        <v>A</v>
      </c>
      <c r="AO216" s="3">
        <v>242</v>
      </c>
      <c r="AP216" s="3" t="str">
        <f>IFERROR(MID(VLOOKUP($B216,Seqs!$A:$B,2,0),AQ216,1),"")</f>
        <v>N</v>
      </c>
      <c r="AQ216" s="3">
        <v>274</v>
      </c>
      <c r="AR216" s="3" t="str">
        <f>IFERROR(MID(VLOOKUP($B216,Seqs!$A:$B,2,0),AS216,1),"")</f>
        <v>F</v>
      </c>
      <c r="AS216" s="3">
        <v>282</v>
      </c>
      <c r="AT216" s="3" t="str">
        <f>IFERROR(MID(VLOOKUP($B216,Seqs!$A:$B,2,0),AU216,1),"")</f>
        <v>L</v>
      </c>
      <c r="AU216" s="3">
        <v>308</v>
      </c>
      <c r="AV216" s="3" t="str">
        <f>IFERROR(MID(VLOOKUP($B216,Seqs!$A:$B,2,0),AW216,1),"")</f>
        <v>N</v>
      </c>
      <c r="AW216" s="3">
        <v>309</v>
      </c>
      <c r="AX216" s="3" t="str">
        <f>IFERROR(MID(VLOOKUP($B216,Seqs!$A:$B,2,0),AY216,1),"")</f>
        <v>A</v>
      </c>
      <c r="AY216" s="3">
        <v>319</v>
      </c>
      <c r="AZ216" s="77" t="str">
        <f>VLOOKUP(B216,Classification!A:D,2,0)</f>
        <v>A</v>
      </c>
      <c r="BA216" s="94" t="str">
        <f>VLOOKUP(B216,Classification!A:D,4,0)</f>
        <v>Tachykinin</v>
      </c>
      <c r="BB216" s="27" t="b">
        <f t="shared" ref="BB216" si="1455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456">_xlfn.AGGREGATE(9,6,CH216:CS216)-_xlfn.AGGREGATE(9,6,BV216:CG216)+12</f>
        <v>242</v>
      </c>
      <c r="BD216" s="5" t="s">
        <v>23</v>
      </c>
      <c r="BE216" s="3" t="s">
        <v>1374</v>
      </c>
      <c r="BF216" s="119">
        <v>3.2</v>
      </c>
      <c r="BG216" s="49" t="s">
        <v>1</v>
      </c>
      <c r="BH216" s="49" t="s">
        <v>1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 t="shared" ref="BV216" si="1457">E216</f>
        <v>28</v>
      </c>
      <c r="BW216" s="71" t="str">
        <f t="shared" ref="BW216" si="1458">I216</f>
        <v>-</v>
      </c>
      <c r="BX216" s="72">
        <f t="shared" ref="BX216" si="1459">M216</f>
        <v>65</v>
      </c>
      <c r="BY216" s="71">
        <f t="shared" ref="BY216" si="1460">Q216</f>
        <v>97</v>
      </c>
      <c r="BZ216" s="72">
        <f t="shared" ref="BZ216" si="1461">U216</f>
        <v>101</v>
      </c>
      <c r="CA216" s="71" t="str">
        <f t="shared" ref="CA216" si="1462">Y216</f>
        <v>-</v>
      </c>
      <c r="CB216" s="72">
        <f t="shared" ref="CB216" si="1463">AC216</f>
        <v>143</v>
      </c>
      <c r="CC216" s="71">
        <f t="shared" ref="CC216" si="1464">AG216</f>
        <v>180</v>
      </c>
      <c r="CD216" s="72">
        <f t="shared" ref="CD216" si="1465">AK216</f>
        <v>191</v>
      </c>
      <c r="CE216" s="71">
        <f t="shared" ref="CE216" si="1466">AO216</f>
        <v>242</v>
      </c>
      <c r="CF216" s="72">
        <f t="shared" ref="CF216" si="1467">AS216</f>
        <v>282</v>
      </c>
      <c r="CG216" s="71">
        <f t="shared" ref="CG216" si="1468">AW216</f>
        <v>309</v>
      </c>
      <c r="CH216" s="70">
        <f t="shared" ref="CH216" si="1469">G216</f>
        <v>59</v>
      </c>
      <c r="CI216" s="71" t="str">
        <f t="shared" ref="CI216" si="1470">K216</f>
        <v>-</v>
      </c>
      <c r="CJ216" s="72">
        <f t="shared" ref="CJ216" si="1471">O216</f>
        <v>96</v>
      </c>
      <c r="CK216" s="72">
        <f t="shared" ref="CK216" si="1472">S216</f>
        <v>100</v>
      </c>
      <c r="CL216" s="72">
        <f t="shared" ref="CL216" si="1473">W216</f>
        <v>136</v>
      </c>
      <c r="CM216" s="72" t="str">
        <f t="shared" ref="CM216" si="1474">AA216</f>
        <v>-</v>
      </c>
      <c r="CN216" s="72">
        <f t="shared" ref="CN216" si="1475">AE216</f>
        <v>169</v>
      </c>
      <c r="CO216" s="72">
        <f t="shared" ref="CO216" si="1476">AI216</f>
        <v>182</v>
      </c>
      <c r="CP216" s="72">
        <f t="shared" ref="CP216" si="1477">AM216</f>
        <v>225</v>
      </c>
      <c r="CQ216" s="72">
        <f t="shared" ref="CQ216" si="1478">AQ216</f>
        <v>274</v>
      </c>
      <c r="CR216" s="72">
        <f t="shared" ref="CR216" si="1479">AU216</f>
        <v>308</v>
      </c>
      <c r="CS216" s="72">
        <f t="shared" ref="CS216" si="1480">AY216</f>
        <v>319</v>
      </c>
      <c r="CT216" s="23" t="e">
        <f t="shared" ref="CT216" si="1481">M216-K216</f>
        <v>#VALUE!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npy1r_human__wt</v>
      </c>
      <c r="B217" s="3" t="s">
        <v>325</v>
      </c>
      <c r="C217" s="3" t="s">
        <v>100</v>
      </c>
      <c r="D217" s="3" t="str">
        <f>IFERROR(MID(VLOOKUP($B217,Seqs!$A:$B,2,0),E217,1),"")</f>
        <v>P</v>
      </c>
      <c r="E217" s="3">
        <v>36</v>
      </c>
      <c r="F217" s="3" t="str">
        <f>IFERROR(MID(VLOOKUP($B217,Seqs!$A:$B,2,0),G217,1),"")</f>
        <v>Q</v>
      </c>
      <c r="G217" s="3">
        <v>68</v>
      </c>
      <c r="H217" s="3" t="str">
        <f>IFERROR(MID(VLOOKUP($B217,Seqs!$A:$B,2,0),I217,1),"")</f>
        <v>K</v>
      </c>
      <c r="I217" s="23">
        <v>69</v>
      </c>
      <c r="J217" s="3" t="str">
        <f>IFERROR(MID(VLOOKUP($B217,Seqs!$A:$B,2,0),K217,1),"")</f>
        <v>R</v>
      </c>
      <c r="K217" s="23">
        <v>72</v>
      </c>
      <c r="L217" s="3" t="str">
        <f>IFERROR(MID(VLOOKUP($B217,Seqs!$A:$B,2,0),M217,1),"")</f>
        <v>N</v>
      </c>
      <c r="M217" s="3">
        <v>73</v>
      </c>
      <c r="N217" s="3" t="str">
        <f>IFERROR(MID(VLOOKUP($B217,Seqs!$A:$B,2,0),O217,1),"")</f>
        <v>D</v>
      </c>
      <c r="O217" s="3">
        <v>104</v>
      </c>
      <c r="P217" s="3" t="str">
        <f>IFERROR(MID(VLOOKUP($B217,Seqs!$A:$B,2,0),Q217,1),"")</f>
        <v>H</v>
      </c>
      <c r="Q217" s="3">
        <v>105</v>
      </c>
      <c r="R217" s="3" t="str">
        <f>IFERROR(MID(VLOOKUP($B217,Seqs!$A:$B,2,0),S217,1),"")</f>
        <v>F</v>
      </c>
      <c r="S217" s="3">
        <v>108</v>
      </c>
      <c r="T217" s="3" t="str">
        <f>IFERROR(MID(VLOOKUP($B217,Seqs!$A:$B,2,0),U217,1),"")</f>
        <v>G</v>
      </c>
      <c r="U217" s="3">
        <v>109</v>
      </c>
      <c r="V217" s="3" t="str">
        <f>IFERROR(MID(VLOOKUP($B217,Seqs!$A:$B,2,0),W217,1),"")</f>
        <v>N</v>
      </c>
      <c r="W217" s="3">
        <v>144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N</v>
      </c>
      <c r="AC217" s="3">
        <v>151</v>
      </c>
      <c r="AD217" s="3" t="str">
        <f>IFERROR(MID(VLOOKUP($B217,Seqs!$A:$B,2,0),AE217,1),"")</f>
        <v>Q</v>
      </c>
      <c r="AE217" s="3">
        <v>177</v>
      </c>
      <c r="AF217" s="3" t="str">
        <f>IFERROR(MID(VLOOKUP($B217,Seqs!$A:$B,2,0),AG217,1),"")</f>
        <v>C</v>
      </c>
      <c r="AG217" s="3">
        <v>198</v>
      </c>
      <c r="AH217" s="3" t="str">
        <f>IFERROR(MID(VLOOKUP($B217,Seqs!$A:$B,2,0),AI217,1),"")</f>
        <v>D</v>
      </c>
      <c r="AI217" s="3">
        <v>200</v>
      </c>
      <c r="AJ217" s="3" t="str">
        <f>IFERROR(MID(VLOOKUP($B217,Seqs!$A:$B,2,0),AK217,1),"")</f>
        <v>S</v>
      </c>
      <c r="AK217" s="3">
        <v>204</v>
      </c>
      <c r="AL217" s="3" t="str">
        <f>IFERROR(MID(VLOOKUP($B217,Seqs!$A:$B,2,0),AM217,1),"")</f>
        <v>M</v>
      </c>
      <c r="AM217" s="3">
        <v>245</v>
      </c>
      <c r="AN217" s="3" t="str">
        <f>IFERROR(MID(VLOOKUP($B217,Seqs!$A:$B,2,0),AO217,1),"")</f>
        <v>D</v>
      </c>
      <c r="AO217" s="3">
        <v>250</v>
      </c>
      <c r="AP217" s="3" t="str">
        <f>IFERROR(MID(VLOOKUP($B217,Seqs!$A:$B,2,0),AQ217,1),"")</f>
        <v>N</v>
      </c>
      <c r="AQ217" s="3">
        <v>289</v>
      </c>
      <c r="AR217" s="3" t="str">
        <f>IFERROR(MID(VLOOKUP($B217,Seqs!$A:$B,2,0),AS217,1),"")</f>
        <v>T</v>
      </c>
      <c r="AS217" s="3">
        <v>295</v>
      </c>
      <c r="AT217" s="3" t="str">
        <f>IFERROR(MID(VLOOKUP($B217,Seqs!$A:$B,2,0),AU217,1),"")</f>
        <v>L</v>
      </c>
      <c r="AU217" s="3">
        <v>323</v>
      </c>
      <c r="AV217" s="3" t="str">
        <f>IFERROR(MID(VLOOKUP($B217,Seqs!$A:$B,2,0),AW217,1),"")</f>
        <v>N</v>
      </c>
      <c r="AW217" s="3">
        <v>324</v>
      </c>
      <c r="AX217" s="3" t="str">
        <f>IFERROR(MID(VLOOKUP($B217,Seqs!$A:$B,2,0),AY217,1),"")</f>
        <v>F</v>
      </c>
      <c r="AY217" s="3">
        <v>335</v>
      </c>
      <c r="AZ217" s="77" t="str">
        <f>VLOOKUP(B217,Classification!A:D,2,0)</f>
        <v>A</v>
      </c>
      <c r="BA217" s="94" t="str">
        <f>VLOOKUP(B217,Classification!A:D,4,0)</f>
        <v>NeuropeptideY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263</v>
      </c>
      <c r="BD217" s="5" t="s">
        <v>23</v>
      </c>
      <c r="BE217" s="3" t="s">
        <v>1374</v>
      </c>
      <c r="BF217" s="119" t="s">
        <v>23</v>
      </c>
      <c r="BG217" s="49" t="s">
        <v>1377</v>
      </c>
      <c r="BH217" s="49" t="s">
        <v>1377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36</v>
      </c>
      <c r="BW217" s="71">
        <f>I217</f>
        <v>69</v>
      </c>
      <c r="BX217" s="72">
        <f>M217</f>
        <v>73</v>
      </c>
      <c r="BY217" s="71">
        <f>Q217</f>
        <v>105</v>
      </c>
      <c r="BZ217" s="72">
        <f>U217</f>
        <v>109</v>
      </c>
      <c r="CA217" s="71" t="str">
        <f>Y217</f>
        <v>-</v>
      </c>
      <c r="CB217" s="72">
        <f>AC217</f>
        <v>151</v>
      </c>
      <c r="CC217" s="71">
        <f>AG217</f>
        <v>198</v>
      </c>
      <c r="CD217" s="72">
        <f>AK217</f>
        <v>204</v>
      </c>
      <c r="CE217" s="71">
        <f>AO217</f>
        <v>250</v>
      </c>
      <c r="CF217" s="72">
        <f>AS217</f>
        <v>295</v>
      </c>
      <c r="CG217" s="71">
        <f>AW217</f>
        <v>324</v>
      </c>
      <c r="CH217" s="70">
        <f>G217</f>
        <v>68</v>
      </c>
      <c r="CI217" s="71">
        <f>K217</f>
        <v>72</v>
      </c>
      <c r="CJ217" s="72">
        <f>O217</f>
        <v>104</v>
      </c>
      <c r="CK217" s="72">
        <f>S217</f>
        <v>108</v>
      </c>
      <c r="CL217" s="72">
        <f>W217</f>
        <v>144</v>
      </c>
      <c r="CM217" s="72" t="str">
        <f>AA217</f>
        <v>-</v>
      </c>
      <c r="CN217" s="72">
        <f>AE217</f>
        <v>177</v>
      </c>
      <c r="CO217" s="72">
        <f>AI217</f>
        <v>200</v>
      </c>
      <c r="CP217" s="72">
        <f>AM217</f>
        <v>245</v>
      </c>
      <c r="CQ217" s="72">
        <f>AQ217</f>
        <v>289</v>
      </c>
      <c r="CR217" s="72">
        <f>AU217</f>
        <v>323</v>
      </c>
      <c r="CS217" s="72">
        <f>AY217</f>
        <v>335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>CONCATENATE(B218,"_",C218)</f>
        <v>npy1r_human_5ZBH</v>
      </c>
      <c r="B218" s="3" t="s">
        <v>325</v>
      </c>
      <c r="C218" s="3" t="s">
        <v>1490</v>
      </c>
      <c r="D218" s="3" t="str">
        <f>IFERROR(MID(VLOOKUP($B218,Seqs!$A:$B,2,0),E218,1),"")</f>
        <v>P</v>
      </c>
      <c r="E218" s="3">
        <v>36</v>
      </c>
      <c r="F218" s="3" t="str">
        <f>IFERROR(MID(VLOOKUP($B218,Seqs!$A:$B,2,0),G218,1),"")</f>
        <v>Q</v>
      </c>
      <c r="G218" s="3">
        <v>68</v>
      </c>
      <c r="H218" s="3" t="str">
        <f>IFERROR(MID(VLOOKUP($B218,Seqs!$A:$B,2,0),I218,1),"")</f>
        <v>K</v>
      </c>
      <c r="I218" s="23">
        <v>69</v>
      </c>
      <c r="J218" s="3" t="str">
        <f>IFERROR(MID(VLOOKUP($B218,Seqs!$A:$B,2,0),K218,1),"")</f>
        <v>R</v>
      </c>
      <c r="K218" s="23">
        <v>72</v>
      </c>
      <c r="L218" s="3" t="str">
        <f>IFERROR(MID(VLOOKUP($B218,Seqs!$A:$B,2,0),M218,1),"")</f>
        <v>N</v>
      </c>
      <c r="M218" s="3">
        <v>73</v>
      </c>
      <c r="N218" s="3" t="str">
        <f>IFERROR(MID(VLOOKUP($B218,Seqs!$A:$B,2,0),O218,1),"")</f>
        <v>M</v>
      </c>
      <c r="O218" s="3">
        <v>103</v>
      </c>
      <c r="P218" s="3" t="str">
        <f>IFERROR(MID(VLOOKUP($B218,Seqs!$A:$B,2,0),Q218,1),"")</f>
        <v>H</v>
      </c>
      <c r="Q218" s="3">
        <v>105</v>
      </c>
      <c r="R218" s="3" t="str">
        <f>IFERROR(MID(VLOOKUP($B218,Seqs!$A:$B,2,0),S218,1),"")</f>
        <v>F</v>
      </c>
      <c r="S218" s="3">
        <v>108</v>
      </c>
      <c r="T218" s="3" t="str">
        <f>IFERROR(MID(VLOOKUP($B218,Seqs!$A:$B,2,0),U218,1),"")</f>
        <v>G</v>
      </c>
      <c r="U218" s="3">
        <v>109</v>
      </c>
      <c r="V218" s="3" t="str">
        <f>IFERROR(MID(VLOOKUP($B218,Seqs!$A:$B,2,0),W218,1),"")</f>
        <v>N</v>
      </c>
      <c r="W218" s="3">
        <v>144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N</v>
      </c>
      <c r="AC218" s="3">
        <v>151</v>
      </c>
      <c r="AD218" s="3" t="str">
        <f>IFERROR(MID(VLOOKUP($B218,Seqs!$A:$B,2,0),AE218,1),"")</f>
        <v>Y</v>
      </c>
      <c r="AE218" s="3">
        <v>176</v>
      </c>
      <c r="AF218" s="3" t="str">
        <f>IFERROR(MID(VLOOKUP($B218,Seqs!$A:$B,2,0),AG218,1),"")</f>
        <v>C</v>
      </c>
      <c r="AG218" s="3">
        <v>198</v>
      </c>
      <c r="AH218" s="3" t="str">
        <f>IFERROR(MID(VLOOKUP($B218,Seqs!$A:$B,2,0),AI218,1),"")</f>
        <v>D</v>
      </c>
      <c r="AI218" s="3">
        <v>200</v>
      </c>
      <c r="AJ218" s="3" t="str">
        <f>IFERROR(MID(VLOOKUP($B218,Seqs!$A:$B,2,0),AK218,1),"")</f>
        <v>S</v>
      </c>
      <c r="AK218" s="3">
        <v>204</v>
      </c>
      <c r="AL218" s="3" t="str">
        <f>IFERROR(MID(VLOOKUP($B218,Seqs!$A:$B,2,0),AM218,1),"")</f>
        <v>R</v>
      </c>
      <c r="AM218" s="3">
        <v>241</v>
      </c>
      <c r="AN218" s="3" t="str">
        <f>IFERROR(MID(VLOOKUP($B218,Seqs!$A:$B,2,0),AO218,1),"")</f>
        <v>Y</v>
      </c>
      <c r="AO218" s="3">
        <v>253</v>
      </c>
      <c r="AP218" s="3" t="str">
        <f>IFERROR(MID(VLOOKUP($B218,Seqs!$A:$B,2,0),AQ218,1),"")</f>
        <v>N</v>
      </c>
      <c r="AQ218" s="3">
        <v>289</v>
      </c>
      <c r="AR218" s="3" t="str">
        <f>IFERROR(MID(VLOOKUP($B218,Seqs!$A:$B,2,0),AS218,1),"")</f>
        <v>T</v>
      </c>
      <c r="AS218" s="3">
        <v>295</v>
      </c>
      <c r="AT218" s="3" t="str">
        <f>IFERROR(MID(VLOOKUP($B218,Seqs!$A:$B,2,0),AU218,1),"")</f>
        <v>L</v>
      </c>
      <c r="AU218" s="3">
        <v>323</v>
      </c>
      <c r="AV218" s="3" t="str">
        <f>IFERROR(MID(VLOOKUP($B218,Seqs!$A:$B,2,0),AW218,1),"")</f>
        <v>N</v>
      </c>
      <c r="AW218" s="3">
        <v>324</v>
      </c>
      <c r="AX218" s="3" t="str">
        <f>IFERROR(MID(VLOOKUP($B218,Seqs!$A:$B,2,0),AY218,1),"")</f>
        <v>F</v>
      </c>
      <c r="AY218" s="3">
        <v>335</v>
      </c>
      <c r="AZ218" s="77" t="str">
        <f>VLOOKUP(B218,Classification!A:D,2,0)</f>
        <v>A</v>
      </c>
      <c r="BA218" s="94" t="str">
        <f>VLOOKUP(B218,Classification!A:D,4,0)</f>
        <v>NeuropeptideY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254</v>
      </c>
      <c r="BD218" s="5" t="s">
        <v>1376</v>
      </c>
      <c r="BE218" s="3" t="s">
        <v>1374</v>
      </c>
      <c r="BF218" s="119">
        <v>3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>E218</f>
        <v>36</v>
      </c>
      <c r="BW218" s="71">
        <f>I218</f>
        <v>69</v>
      </c>
      <c r="BX218" s="72">
        <f>M218</f>
        <v>73</v>
      </c>
      <c r="BY218" s="71">
        <f>Q218</f>
        <v>105</v>
      </c>
      <c r="BZ218" s="72">
        <f>U218</f>
        <v>109</v>
      </c>
      <c r="CA218" s="71" t="str">
        <f>Y218</f>
        <v>-</v>
      </c>
      <c r="CB218" s="72">
        <f>AC218</f>
        <v>151</v>
      </c>
      <c r="CC218" s="71">
        <f>AG218</f>
        <v>198</v>
      </c>
      <c r="CD218" s="72">
        <f>AK218</f>
        <v>204</v>
      </c>
      <c r="CE218" s="71">
        <f>AO218</f>
        <v>253</v>
      </c>
      <c r="CF218" s="72">
        <f>AS218</f>
        <v>295</v>
      </c>
      <c r="CG218" s="71">
        <f>AW218</f>
        <v>324</v>
      </c>
      <c r="CH218" s="70">
        <f>G218</f>
        <v>68</v>
      </c>
      <c r="CI218" s="71">
        <f>K218</f>
        <v>72</v>
      </c>
      <c r="CJ218" s="72">
        <f>O218</f>
        <v>103</v>
      </c>
      <c r="CK218" s="72">
        <f>S218</f>
        <v>108</v>
      </c>
      <c r="CL218" s="72">
        <f>W218</f>
        <v>144</v>
      </c>
      <c r="CM218" s="72" t="str">
        <f>AA218</f>
        <v>-</v>
      </c>
      <c r="CN218" s="72">
        <f>AE218</f>
        <v>176</v>
      </c>
      <c r="CO218" s="72">
        <f>AI218</f>
        <v>200</v>
      </c>
      <c r="CP218" s="72">
        <f>AM218</f>
        <v>241</v>
      </c>
      <c r="CQ218" s="72">
        <f>AQ218</f>
        <v>289</v>
      </c>
      <c r="CR218" s="72">
        <f>AU218</f>
        <v>323</v>
      </c>
      <c r="CS218" s="72">
        <f>AY218</f>
        <v>335</v>
      </c>
      <c r="CT218" s="23">
        <f>M218-K218</f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>CONCATENATE(B219,"_",C219)</f>
        <v>npy1r_human_5ZBQ</v>
      </c>
      <c r="B219" s="3" t="s">
        <v>325</v>
      </c>
      <c r="C219" s="3" t="s">
        <v>1489</v>
      </c>
      <c r="D219" s="3" t="str">
        <f>IFERROR(MID(VLOOKUP($B219,Seqs!$A:$B,2,0),E219,1),"")</f>
        <v>P</v>
      </c>
      <c r="E219" s="3">
        <v>36</v>
      </c>
      <c r="F219" s="3" t="str">
        <f>IFERROR(MID(VLOOKUP($B219,Seqs!$A:$B,2,0),G219,1),"")</f>
        <v>Q</v>
      </c>
      <c r="G219" s="3">
        <v>68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V</v>
      </c>
      <c r="M219" s="3">
        <v>74</v>
      </c>
      <c r="N219" s="3" t="str">
        <f>IFERROR(MID(VLOOKUP($B219,Seqs!$A:$B,2,0),O219,1),"")</f>
        <v>D</v>
      </c>
      <c r="O219" s="3">
        <v>104</v>
      </c>
      <c r="P219" s="3" t="str">
        <f>IFERROR(MID(VLOOKUP($B219,Seqs!$A:$B,2,0),Q219,1),"")</f>
        <v>W</v>
      </c>
      <c r="Q219" s="3">
        <v>106</v>
      </c>
      <c r="R219" s="3" t="str">
        <f>IFERROR(MID(VLOOKUP($B219,Seqs!$A:$B,2,0),S219,1),"")</f>
        <v>F</v>
      </c>
      <c r="S219" s="3">
        <v>108</v>
      </c>
      <c r="T219" s="3" t="str">
        <f>IFERROR(MID(VLOOKUP($B219,Seqs!$A:$B,2,0),U219,1),"")</f>
        <v>G</v>
      </c>
      <c r="U219" s="3">
        <v>109</v>
      </c>
      <c r="V219" s="3" t="str">
        <f>IFERROR(MID(VLOOKUP($B219,Seqs!$A:$B,2,0),W219,1),"")</f>
        <v>I</v>
      </c>
      <c r="W219" s="3">
        <v>143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N</v>
      </c>
      <c r="AC219" s="3">
        <v>151</v>
      </c>
      <c r="AD219" s="3" t="str">
        <f>IFERROR(MID(VLOOKUP($B219,Seqs!$A:$B,2,0),AE219,1),"")</f>
        <v>Q</v>
      </c>
      <c r="AE219" s="3">
        <v>177</v>
      </c>
      <c r="AF219" s="3" t="str">
        <f>IFERROR(MID(VLOOKUP($B219,Seqs!$A:$B,2,0),AG219,1),"")</f>
        <v>C</v>
      </c>
      <c r="AG219" s="3">
        <v>198</v>
      </c>
      <c r="AH219" s="3" t="str">
        <f>IFERROR(MID(VLOOKUP($B219,Seqs!$A:$B,2,0),AI219,1),"")</f>
        <v>D</v>
      </c>
      <c r="AI219" s="3">
        <v>200</v>
      </c>
      <c r="AJ219" s="3" t="str">
        <f>IFERROR(MID(VLOOKUP($B219,Seqs!$A:$B,2,0),AK219,1),"")</f>
        <v>S</v>
      </c>
      <c r="AK219" s="3">
        <v>204</v>
      </c>
      <c r="AL219" s="3" t="str">
        <f>IFERROR(MID(VLOOKUP($B219,Seqs!$A:$B,2,0),AM219,1),"")</f>
        <v>R</v>
      </c>
      <c r="AM219" s="3">
        <v>241</v>
      </c>
      <c r="AN219" s="3" t="str">
        <f>IFERROR(MID(VLOOKUP($B219,Seqs!$A:$B,2,0),AO219,1),"")</f>
        <v>T</v>
      </c>
      <c r="AO219" s="3">
        <v>258</v>
      </c>
      <c r="AP219" s="3" t="str">
        <f>IFERROR(MID(VLOOKUP($B219,Seqs!$A:$B,2,0),AQ219,1),"")</f>
        <v>N</v>
      </c>
      <c r="AQ219" s="3">
        <v>289</v>
      </c>
      <c r="AR219" s="3" t="str">
        <f>IFERROR(MID(VLOOKUP($B219,Seqs!$A:$B,2,0),AS219,1),"")</f>
        <v>T</v>
      </c>
      <c r="AS219" s="3">
        <v>295</v>
      </c>
      <c r="AT219" s="3" t="str">
        <f>IFERROR(MID(VLOOKUP($B219,Seqs!$A:$B,2,0),AU219,1),"")</f>
        <v>L</v>
      </c>
      <c r="AU219" s="3">
        <v>323</v>
      </c>
      <c r="AV219" s="3" t="str">
        <f>IFERROR(MID(VLOOKUP($B219,Seqs!$A:$B,2,0),AW219,1),"")</f>
        <v>N</v>
      </c>
      <c r="AW219" s="3">
        <v>324</v>
      </c>
      <c r="AX219" s="3" t="str">
        <f>IFERROR(MID(VLOOKUP($B219,Seqs!$A:$B,2,0),AY219,1),"")</f>
        <v>F</v>
      </c>
      <c r="AY219" s="3">
        <v>335</v>
      </c>
      <c r="AZ219" s="77" t="str">
        <f>VLOOKUP(B219,Classification!A:D,2,0)</f>
        <v>A</v>
      </c>
      <c r="BA219" s="94" t="str">
        <f>VLOOKUP(B219,Classification!A:D,4,0)</f>
        <v>NeuropeptideY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245</v>
      </c>
      <c r="BD219" s="5" t="s">
        <v>23</v>
      </c>
      <c r="BE219" s="3" t="s">
        <v>1374</v>
      </c>
      <c r="BF219" s="119">
        <v>2.7</v>
      </c>
      <c r="BG219" s="49" t="s">
        <v>1</v>
      </c>
      <c r="BH219" s="49" t="s">
        <v>1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>E219</f>
        <v>36</v>
      </c>
      <c r="BW219" s="71" t="str">
        <f>I219</f>
        <v>-</v>
      </c>
      <c r="BX219" s="72">
        <f>M219</f>
        <v>74</v>
      </c>
      <c r="BY219" s="71">
        <f>Q219</f>
        <v>106</v>
      </c>
      <c r="BZ219" s="72">
        <f>U219</f>
        <v>109</v>
      </c>
      <c r="CA219" s="71" t="str">
        <f>Y219</f>
        <v>-</v>
      </c>
      <c r="CB219" s="72">
        <f>AC219</f>
        <v>151</v>
      </c>
      <c r="CC219" s="71">
        <f>AG219</f>
        <v>198</v>
      </c>
      <c r="CD219" s="72">
        <f>AK219</f>
        <v>204</v>
      </c>
      <c r="CE219" s="71">
        <f>AO219</f>
        <v>258</v>
      </c>
      <c r="CF219" s="72">
        <f>AS219</f>
        <v>295</v>
      </c>
      <c r="CG219" s="71">
        <f>AW219</f>
        <v>324</v>
      </c>
      <c r="CH219" s="70">
        <f>G219</f>
        <v>68</v>
      </c>
      <c r="CI219" s="71" t="str">
        <f>K219</f>
        <v>-</v>
      </c>
      <c r="CJ219" s="72">
        <f>O219</f>
        <v>104</v>
      </c>
      <c r="CK219" s="72">
        <f>S219</f>
        <v>108</v>
      </c>
      <c r="CL219" s="72">
        <f>W219</f>
        <v>143</v>
      </c>
      <c r="CM219" s="72" t="str">
        <f>AA219</f>
        <v>-</v>
      </c>
      <c r="CN219" s="72">
        <f>AE219</f>
        <v>177</v>
      </c>
      <c r="CO219" s="72">
        <f>AI219</f>
        <v>200</v>
      </c>
      <c r="CP219" s="72">
        <f>AM219</f>
        <v>241</v>
      </c>
      <c r="CQ219" s="72">
        <f>AQ219</f>
        <v>289</v>
      </c>
      <c r="CR219" s="72">
        <f>AU219</f>
        <v>323</v>
      </c>
      <c r="CS219" s="72">
        <f>AY219</f>
        <v>335</v>
      </c>
      <c r="CT219" s="23" t="e">
        <f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s="12" customFormat="1" x14ac:dyDescent="0.2">
      <c r="A220" s="9" t="str">
        <f t="shared" ref="A220" si="1482">CONCATENATE(B220,"_",C220)</f>
        <v>ntr1_human__wt</v>
      </c>
      <c r="B220" s="9" t="s">
        <v>127</v>
      </c>
      <c r="C220" s="9" t="s">
        <v>100</v>
      </c>
      <c r="D220" s="9" t="str">
        <f>IFERROR(MID(VLOOKUP($B220,Seqs!$A:$B,2,0),E220,1),"")</f>
        <v>D</v>
      </c>
      <c r="E220" s="9">
        <v>59</v>
      </c>
      <c r="F220" s="9" t="str">
        <f>IFERROR(MID(VLOOKUP($B220,Seqs!$A:$B,2,0),G220,1),"")</f>
        <v>K</v>
      </c>
      <c r="G220" s="9">
        <v>91</v>
      </c>
      <c r="H220" s="9" t="str">
        <f>IFERROR(MID(VLOOKUP($B220,Seqs!$A:$B,2,0),I220,1),"")</f>
        <v>K</v>
      </c>
      <c r="I220" s="109">
        <v>92</v>
      </c>
      <c r="J220" s="9" t="str">
        <f>IFERROR(MID(VLOOKUP($B220,Seqs!$A:$B,2,0),K220,1),"")</f>
        <v>Q</v>
      </c>
      <c r="K220" s="109">
        <v>95</v>
      </c>
      <c r="L220" s="9" t="str">
        <f>IFERROR(MID(VLOOKUP($B220,Seqs!$A:$B,2,0),M220,1),"")</f>
        <v>S</v>
      </c>
      <c r="M220" s="9">
        <v>96</v>
      </c>
      <c r="N220" s="9" t="str">
        <f>IFERROR(MID(VLOOKUP($B220,Seqs!$A:$B,2,0),O220,1),"")</f>
        <v>V</v>
      </c>
      <c r="O220" s="9">
        <v>130</v>
      </c>
      <c r="P220" s="9" t="str">
        <f>IFERROR(MID(VLOOKUP($B220,Seqs!$A:$B,2,0),Q220,1),"")</f>
        <v>P</v>
      </c>
      <c r="Q220" s="9">
        <v>133</v>
      </c>
      <c r="R220" s="9" t="str">
        <f>IFERROR(MID(VLOOKUP($B220,Seqs!$A:$B,2,0),S220,1),"")</f>
        <v>F</v>
      </c>
      <c r="S220" s="9">
        <v>136</v>
      </c>
      <c r="T220" s="9" t="str">
        <f>IFERROR(MID(VLOOKUP($B220,Seqs!$A:$B,2,0),U220,1),"")</f>
        <v>G</v>
      </c>
      <c r="U220" s="9">
        <v>137</v>
      </c>
      <c r="V220" s="9" t="str">
        <f>IFERROR(MID(VLOOKUP($B220,Seqs!$A:$B,2,0),W220,1),"")</f>
        <v>H</v>
      </c>
      <c r="W220" s="9">
        <v>172</v>
      </c>
      <c r="X220" s="9" t="str">
        <f>IFERROR(MID(VLOOKUP($B220,Seqs!$A:$B,2,0),Y220,1),"")</f>
        <v>P</v>
      </c>
      <c r="Y220" s="9">
        <v>173</v>
      </c>
      <c r="Z220" s="9" t="str">
        <f>IFERROR(MID(VLOOKUP($B220,Seqs!$A:$B,2,0),AA220,1),"")</f>
        <v>M</v>
      </c>
      <c r="AA220" s="9">
        <v>180</v>
      </c>
      <c r="AB220" s="9" t="str">
        <f>IFERROR(MID(VLOOKUP($B220,Seqs!$A:$B,2,0),AC220,1),"")</f>
        <v>S</v>
      </c>
      <c r="AC220" s="9">
        <v>181</v>
      </c>
      <c r="AD220" s="9" t="str">
        <f>IFERROR(MID(VLOOKUP($B220,Seqs!$A:$B,2,0),AE220,1),"")</f>
        <v>M</v>
      </c>
      <c r="AE220" s="9">
        <v>207</v>
      </c>
      <c r="AF220" s="9" t="str">
        <f>IFERROR(MID(VLOOKUP($B220,Seqs!$A:$B,2,0),AG220,1),"")</f>
        <v>C</v>
      </c>
      <c r="AG220" s="9">
        <v>224</v>
      </c>
      <c r="AH220" s="9" t="str">
        <f>IFERROR(MID(VLOOKUP($B220,Seqs!$A:$B,2,0),AI220,1),"")</f>
        <v>P</v>
      </c>
      <c r="AI220" s="9">
        <v>226</v>
      </c>
      <c r="AJ220" s="9" t="str">
        <f>IFERROR(MID(VLOOKUP($B220,Seqs!$A:$B,2,0),AK220,1),"")</f>
        <v>H</v>
      </c>
      <c r="AK220" s="9">
        <v>229</v>
      </c>
      <c r="AL220" s="9" t="str">
        <f>IFERROR(MID(VLOOKUP($B220,Seqs!$A:$B,2,0),AM220,1),"")</f>
        <v>G</v>
      </c>
      <c r="AM220" s="9">
        <v>274</v>
      </c>
      <c r="AN220" s="9" t="str">
        <f>IFERROR(MID(VLOOKUP($B220,Seqs!$A:$B,2,0),AO220,1),"")</f>
        <v>P</v>
      </c>
      <c r="AO220" s="9">
        <v>292</v>
      </c>
      <c r="AP220" s="9" t="str">
        <f>IFERROR(MID(VLOOKUP($B220,Seqs!$A:$B,2,0),AQ220,1),"")</f>
        <v>I</v>
      </c>
      <c r="AQ220" s="9">
        <v>329</v>
      </c>
      <c r="AR220" s="9" t="str">
        <f>IFERROR(MID(VLOOKUP($B220,Seqs!$A:$B,2,0),AS220,1),"")</f>
        <v>T</v>
      </c>
      <c r="AS220" s="9">
        <v>335</v>
      </c>
      <c r="AT220" s="9" t="str">
        <f>IFERROR(MID(VLOOKUP($B220,Seqs!$A:$B,2,0),AU220,1),"")</f>
        <v>V</v>
      </c>
      <c r="AU220" s="9">
        <v>367</v>
      </c>
      <c r="AV220" s="9" t="str">
        <f>IFERROR(MID(VLOOKUP($B220,Seqs!$A:$B,2,0),AW220,1),"")</f>
        <v>S</v>
      </c>
      <c r="AW220" s="9">
        <v>368</v>
      </c>
      <c r="AX220" s="9" t="str">
        <f>IFERROR(MID(VLOOKUP($B220,Seqs!$A:$B,2,0),AY220,1),"")</f>
        <v>C</v>
      </c>
      <c r="AY220" s="9">
        <v>383</v>
      </c>
      <c r="AZ220" s="110" t="str">
        <f>VLOOKUP(B220,Classification!A:D,2,0)</f>
        <v>A</v>
      </c>
      <c r="BA220" s="98" t="str">
        <f>VLOOKUP(B220,Classification!A:D,4,0)</f>
        <v>Neurotensin</v>
      </c>
      <c r="BB220" s="36" t="b">
        <f t="shared" ref="BB220" si="1483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09" t="s">
        <v>23</v>
      </c>
      <c r="BD220" s="130" t="s">
        <v>23</v>
      </c>
      <c r="BE220" s="9" t="s">
        <v>23</v>
      </c>
      <c r="BF220" s="120" t="s">
        <v>23</v>
      </c>
      <c r="BG220" s="51" t="s">
        <v>1372</v>
      </c>
      <c r="BH220" s="51" t="s">
        <v>1377</v>
      </c>
      <c r="BI220" s="9"/>
      <c r="BJ220" s="111" t="s">
        <v>1287</v>
      </c>
      <c r="BK220" s="112" t="s">
        <v>1287</v>
      </c>
      <c r="BL220" s="112" t="s">
        <v>1287</v>
      </c>
      <c r="BM220" s="112" t="s">
        <v>1287</v>
      </c>
      <c r="BN220" s="112" t="s">
        <v>1287</v>
      </c>
      <c r="BO220" s="112" t="s">
        <v>1287</v>
      </c>
      <c r="BP220" s="112" t="s">
        <v>1287</v>
      </c>
      <c r="BQ220" s="112" t="s">
        <v>1287</v>
      </c>
      <c r="BR220" s="112" t="s">
        <v>1287</v>
      </c>
      <c r="BS220" s="112" t="s">
        <v>1287</v>
      </c>
      <c r="BT220" s="112" t="s">
        <v>1287</v>
      </c>
      <c r="BU220" s="112" t="s">
        <v>1287</v>
      </c>
      <c r="BV220" s="111">
        <f t="shared" ref="BV220" si="1484">E220</f>
        <v>59</v>
      </c>
      <c r="BW220" s="113">
        <f t="shared" ref="BW220" si="1485">I220</f>
        <v>92</v>
      </c>
      <c r="BX220" s="114">
        <f t="shared" ref="BX220" si="1486">M220</f>
        <v>96</v>
      </c>
      <c r="BY220" s="113">
        <f t="shared" ref="BY220" si="1487">Q220</f>
        <v>133</v>
      </c>
      <c r="BZ220" s="114">
        <f t="shared" ref="BZ220" si="1488">U220</f>
        <v>137</v>
      </c>
      <c r="CA220" s="113">
        <f t="shared" ref="CA220" si="1489">Y220</f>
        <v>173</v>
      </c>
      <c r="CB220" s="114">
        <f t="shared" ref="CB220" si="1490">AC220</f>
        <v>181</v>
      </c>
      <c r="CC220" s="113">
        <f t="shared" ref="CC220" si="1491">AG220</f>
        <v>224</v>
      </c>
      <c r="CD220" s="114">
        <f t="shared" ref="CD220" si="1492">AK220</f>
        <v>229</v>
      </c>
      <c r="CE220" s="113">
        <f t="shared" ref="CE220" si="1493">AO220</f>
        <v>292</v>
      </c>
      <c r="CF220" s="114">
        <f t="shared" ref="CF220" si="1494">AS220</f>
        <v>335</v>
      </c>
      <c r="CG220" s="113">
        <f t="shared" ref="CG220" si="1495">AW220</f>
        <v>368</v>
      </c>
      <c r="CH220" s="111">
        <f t="shared" ref="CH220" si="1496">G220</f>
        <v>91</v>
      </c>
      <c r="CI220" s="113">
        <f t="shared" ref="CI220" si="1497">K220</f>
        <v>95</v>
      </c>
      <c r="CJ220" s="114">
        <f t="shared" ref="CJ220" si="1498">O220</f>
        <v>130</v>
      </c>
      <c r="CK220" s="114">
        <f t="shared" ref="CK220" si="1499">S220</f>
        <v>136</v>
      </c>
      <c r="CL220" s="114">
        <f t="shared" ref="CL220" si="1500">W220</f>
        <v>172</v>
      </c>
      <c r="CM220" s="114">
        <f t="shared" ref="CM220" si="1501">AA220</f>
        <v>180</v>
      </c>
      <c r="CN220" s="114">
        <f t="shared" ref="CN220" si="1502">AE220</f>
        <v>207</v>
      </c>
      <c r="CO220" s="114">
        <f t="shared" ref="CO220" si="1503">AI220</f>
        <v>226</v>
      </c>
      <c r="CP220" s="114">
        <f t="shared" ref="CP220" si="1504">AM220</f>
        <v>274</v>
      </c>
      <c r="CQ220" s="114">
        <f t="shared" ref="CQ220" si="1505">AQ220</f>
        <v>329</v>
      </c>
      <c r="CR220" s="114">
        <f t="shared" ref="CR220" si="1506">AU220</f>
        <v>367</v>
      </c>
      <c r="CS220" s="114">
        <f t="shared" ref="CS220" si="1507">AY220</f>
        <v>383</v>
      </c>
      <c r="CT220" s="109">
        <f t="shared" ref="CT220" si="1508">M220-K220</f>
        <v>1</v>
      </c>
    </row>
    <row r="221" spans="1:1029" s="12" customFormat="1" x14ac:dyDescent="0.2">
      <c r="A221" s="9" t="str">
        <f t="shared" ref="A221" si="1509">CONCATENATE(B221,"_",C221)</f>
        <v>ntr1_human_6OS9</v>
      </c>
      <c r="B221" s="9" t="s">
        <v>127</v>
      </c>
      <c r="C221" s="9" t="s">
        <v>1583</v>
      </c>
      <c r="D221" s="9" t="str">
        <f>IFERROR(MID(VLOOKUP($B221,Seqs!$A:$B,2,0),E221,1),"")</f>
        <v>D</v>
      </c>
      <c r="E221" s="9">
        <v>59</v>
      </c>
      <c r="F221" s="9" t="str">
        <f>IFERROR(MID(VLOOKUP($B221,Seqs!$A:$B,2,0),G221,1),"")</f>
        <v>K</v>
      </c>
      <c r="G221" s="9">
        <v>91</v>
      </c>
      <c r="H221" s="9" t="str">
        <f>IFERROR(MID(VLOOKUP($B221,Seqs!$A:$B,2,0),I221,1),"")</f>
        <v/>
      </c>
      <c r="I221" s="109" t="s">
        <v>23</v>
      </c>
      <c r="J221" s="9" t="str">
        <f>IFERROR(MID(VLOOKUP($B221,Seqs!$A:$B,2,0),K221,1),"")</f>
        <v/>
      </c>
      <c r="K221" s="109" t="s">
        <v>23</v>
      </c>
      <c r="L221" s="9" t="str">
        <f>IFERROR(MID(VLOOKUP($B221,Seqs!$A:$B,2,0),M221,1),"")</f>
        <v>Q</v>
      </c>
      <c r="M221" s="9">
        <v>98</v>
      </c>
      <c r="N221" s="9" t="str">
        <f>IFERROR(MID(VLOOKUP($B221,Seqs!$A:$B,2,0),O221,1),"")</f>
        <v>V</v>
      </c>
      <c r="O221" s="9">
        <v>130</v>
      </c>
      <c r="P221" s="9" t="str">
        <f>IFERROR(MID(VLOOKUP($B221,Seqs!$A:$B,2,0),Q221,1),"")</f>
        <v>P</v>
      </c>
      <c r="Q221" s="9">
        <v>133</v>
      </c>
      <c r="R221" s="9" t="str">
        <f>IFERROR(MID(VLOOKUP($B221,Seqs!$A:$B,2,0),S221,1),"")</f>
        <v>F</v>
      </c>
      <c r="S221" s="9">
        <v>136</v>
      </c>
      <c r="T221" s="9" t="str">
        <f>IFERROR(MID(VLOOKUP($B221,Seqs!$A:$B,2,0),U221,1),"")</f>
        <v>G</v>
      </c>
      <c r="U221" s="9">
        <v>137</v>
      </c>
      <c r="V221" s="9" t="str">
        <f>IFERROR(MID(VLOOKUP($B221,Seqs!$A:$B,2,0),W221,1),"")</f>
        <v>H</v>
      </c>
      <c r="W221" s="9">
        <v>172</v>
      </c>
      <c r="X221" s="9" t="str">
        <f>IFERROR(MID(VLOOKUP($B221,Seqs!$A:$B,2,0),Y221,1),"")</f>
        <v>P</v>
      </c>
      <c r="Y221" s="9">
        <v>173</v>
      </c>
      <c r="Z221" s="9" t="str">
        <f>IFERROR(MID(VLOOKUP($B221,Seqs!$A:$B,2,0),AA221,1),"")</f>
        <v>M</v>
      </c>
      <c r="AA221" s="9">
        <v>180</v>
      </c>
      <c r="AB221" s="9" t="str">
        <f>IFERROR(MID(VLOOKUP($B221,Seqs!$A:$B,2,0),AC221,1),"")</f>
        <v>S</v>
      </c>
      <c r="AC221" s="9">
        <v>181</v>
      </c>
      <c r="AD221" s="9" t="str">
        <f>IFERROR(MID(VLOOKUP($B221,Seqs!$A:$B,2,0),AE221,1),"")</f>
        <v>L</v>
      </c>
      <c r="AE221" s="9">
        <v>204</v>
      </c>
      <c r="AF221" s="9" t="str">
        <f>IFERROR(MID(VLOOKUP($B221,Seqs!$A:$B,2,0),AG221,1),"")</f>
        <v>C</v>
      </c>
      <c r="AG221" s="9">
        <v>224</v>
      </c>
      <c r="AH221" s="9" t="str">
        <f>IFERROR(MID(VLOOKUP($B221,Seqs!$A:$B,2,0),AI221,1),"")</f>
        <v>P</v>
      </c>
      <c r="AI221" s="9">
        <v>226</v>
      </c>
      <c r="AJ221" s="9" t="str">
        <f>IFERROR(MID(VLOOKUP($B221,Seqs!$A:$B,2,0),AK221,1),"")</f>
        <v>H</v>
      </c>
      <c r="AK221" s="9">
        <v>229</v>
      </c>
      <c r="AL221" s="9" t="str">
        <f>IFERROR(MID(VLOOKUP($B221,Seqs!$A:$B,2,0),AM221,1),"")</f>
        <v>E</v>
      </c>
      <c r="AM221" s="9">
        <v>272</v>
      </c>
      <c r="AN221" s="9" t="str">
        <f>IFERROR(MID(VLOOKUP($B221,Seqs!$A:$B,2,0),AO221,1),"")</f>
        <v>V</v>
      </c>
      <c r="AO221" s="9">
        <v>295</v>
      </c>
      <c r="AP221" s="9" t="str">
        <f>IFERROR(MID(VLOOKUP($B221,Seqs!$A:$B,2,0),AQ221,1),"")</f>
        <v>I</v>
      </c>
      <c r="AQ221" s="9">
        <v>329</v>
      </c>
      <c r="AR221" s="9" t="str">
        <f>IFERROR(MID(VLOOKUP($B221,Seqs!$A:$B,2,0),AS221,1),"")</f>
        <v>T</v>
      </c>
      <c r="AS221" s="9">
        <v>335</v>
      </c>
      <c r="AT221" s="9" t="str">
        <f>IFERROR(MID(VLOOKUP($B221,Seqs!$A:$B,2,0),AU221,1),"")</f>
        <v>L</v>
      </c>
      <c r="AU221" s="9">
        <v>366</v>
      </c>
      <c r="AV221" s="9" t="str">
        <f>IFERROR(MID(VLOOKUP($B221,Seqs!$A:$B,2,0),AW221,1),"")</f>
        <v/>
      </c>
      <c r="AW221" s="9" t="s">
        <v>23</v>
      </c>
      <c r="AX221" s="9" t="str">
        <f>IFERROR(MID(VLOOKUP($B221,Seqs!$A:$B,2,0),AY221,1),"")</f>
        <v/>
      </c>
      <c r="AY221" s="9" t="s">
        <v>23</v>
      </c>
      <c r="AZ221" s="110" t="str">
        <f>VLOOKUP(B221,Classification!A:D,2,0)</f>
        <v>A</v>
      </c>
      <c r="BA221" s="98" t="str">
        <f>VLOOKUP(B221,Classification!A:D,4,0)</f>
        <v>Neurotensin</v>
      </c>
      <c r="BB221" s="36" t="b">
        <f t="shared" ref="BB221" si="1510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109">
        <f t="shared" ref="BC221" si="1511">_xlfn.AGGREGATE(9,6,CH221:CS221)-_xlfn.AGGREGATE(9,6,BV221:CG221)+12</f>
        <v>254</v>
      </c>
      <c r="BD221" s="130" t="s">
        <v>23</v>
      </c>
      <c r="BE221" s="9" t="s">
        <v>1428</v>
      </c>
      <c r="BF221" s="120">
        <v>3</v>
      </c>
      <c r="BG221" s="51" t="s">
        <v>1422</v>
      </c>
      <c r="BH221" s="51" t="s">
        <v>1422</v>
      </c>
      <c r="BI221" s="9"/>
      <c r="BJ221" s="111" t="s">
        <v>1287</v>
      </c>
      <c r="BK221" s="112" t="s">
        <v>1287</v>
      </c>
      <c r="BL221" s="112" t="s">
        <v>1287</v>
      </c>
      <c r="BM221" s="112" t="s">
        <v>1287</v>
      </c>
      <c r="BN221" s="112" t="s">
        <v>1287</v>
      </c>
      <c r="BO221" s="112" t="s">
        <v>1287</v>
      </c>
      <c r="BP221" s="112" t="s">
        <v>1287</v>
      </c>
      <c r="BQ221" s="112" t="s">
        <v>1287</v>
      </c>
      <c r="BR221" s="112" t="s">
        <v>1287</v>
      </c>
      <c r="BS221" s="112" t="s">
        <v>1287</v>
      </c>
      <c r="BT221" s="112" t="s">
        <v>1287</v>
      </c>
      <c r="BU221" s="112" t="s">
        <v>1287</v>
      </c>
      <c r="BV221" s="111">
        <f t="shared" ref="BV221" si="1512">E221</f>
        <v>59</v>
      </c>
      <c r="BW221" s="113" t="str">
        <f t="shared" ref="BW221" si="1513">I221</f>
        <v>-</v>
      </c>
      <c r="BX221" s="114">
        <f t="shared" ref="BX221" si="1514">M221</f>
        <v>98</v>
      </c>
      <c r="BY221" s="113">
        <f t="shared" ref="BY221" si="1515">Q221</f>
        <v>133</v>
      </c>
      <c r="BZ221" s="114">
        <f t="shared" ref="BZ221" si="1516">U221</f>
        <v>137</v>
      </c>
      <c r="CA221" s="113">
        <f t="shared" ref="CA221" si="1517">Y221</f>
        <v>173</v>
      </c>
      <c r="CB221" s="114">
        <f t="shared" ref="CB221" si="1518">AC221</f>
        <v>181</v>
      </c>
      <c r="CC221" s="113">
        <f t="shared" ref="CC221" si="1519">AG221</f>
        <v>224</v>
      </c>
      <c r="CD221" s="114">
        <f t="shared" ref="CD221" si="1520">AK221</f>
        <v>229</v>
      </c>
      <c r="CE221" s="113">
        <f t="shared" ref="CE221" si="1521">AO221</f>
        <v>295</v>
      </c>
      <c r="CF221" s="114">
        <f t="shared" ref="CF221" si="1522">AS221</f>
        <v>335</v>
      </c>
      <c r="CG221" s="113" t="str">
        <f t="shared" ref="CG221" si="1523">AW221</f>
        <v>-</v>
      </c>
      <c r="CH221" s="111">
        <f t="shared" ref="CH221" si="1524">G221</f>
        <v>91</v>
      </c>
      <c r="CI221" s="113" t="str">
        <f t="shared" ref="CI221" si="1525">K221</f>
        <v>-</v>
      </c>
      <c r="CJ221" s="114">
        <f t="shared" ref="CJ221" si="1526">O221</f>
        <v>130</v>
      </c>
      <c r="CK221" s="114">
        <f t="shared" ref="CK221" si="1527">S221</f>
        <v>136</v>
      </c>
      <c r="CL221" s="114">
        <f t="shared" ref="CL221" si="1528">W221</f>
        <v>172</v>
      </c>
      <c r="CM221" s="114">
        <f t="shared" ref="CM221" si="1529">AA221</f>
        <v>180</v>
      </c>
      <c r="CN221" s="114">
        <f t="shared" ref="CN221" si="1530">AE221</f>
        <v>204</v>
      </c>
      <c r="CO221" s="114">
        <f t="shared" ref="CO221" si="1531">AI221</f>
        <v>226</v>
      </c>
      <c r="CP221" s="114">
        <f t="shared" ref="CP221" si="1532">AM221</f>
        <v>272</v>
      </c>
      <c r="CQ221" s="114">
        <f t="shared" ref="CQ221" si="1533">AQ221</f>
        <v>329</v>
      </c>
      <c r="CR221" s="114">
        <f t="shared" ref="CR221" si="1534">AU221</f>
        <v>366</v>
      </c>
      <c r="CS221" s="114" t="str">
        <f t="shared" ref="CS221" si="1535">AY221</f>
        <v>-</v>
      </c>
      <c r="CT221" s="109" t="e">
        <f t="shared" ref="CT221" si="1536">M221-K221</f>
        <v>#VALUE!</v>
      </c>
    </row>
    <row r="222" spans="1:1029" s="12" customFormat="1" x14ac:dyDescent="0.2">
      <c r="A222" s="9" t="str">
        <f t="shared" ref="A222" si="1537">CONCATENATE(B222,"_",C222)</f>
        <v>ntr1_human_6OSA</v>
      </c>
      <c r="B222" s="9" t="s">
        <v>127</v>
      </c>
      <c r="C222" s="9" t="s">
        <v>1584</v>
      </c>
      <c r="D222" s="9" t="str">
        <f>IFERROR(MID(VLOOKUP($B222,Seqs!$A:$B,2,0),E222,1),"")</f>
        <v>D</v>
      </c>
      <c r="E222" s="9">
        <v>59</v>
      </c>
      <c r="F222" s="9" t="str">
        <f>IFERROR(MID(VLOOKUP($B222,Seqs!$A:$B,2,0),G222,1),"")</f>
        <v>K</v>
      </c>
      <c r="G222" s="9">
        <v>91</v>
      </c>
      <c r="H222" s="9" t="str">
        <f>IFERROR(MID(VLOOKUP($B222,Seqs!$A:$B,2,0),I222,1),"")</f>
        <v/>
      </c>
      <c r="I222" s="109" t="s">
        <v>23</v>
      </c>
      <c r="J222" s="9" t="str">
        <f>IFERROR(MID(VLOOKUP($B222,Seqs!$A:$B,2,0),K222,1),"")</f>
        <v/>
      </c>
      <c r="K222" s="109" t="s">
        <v>23</v>
      </c>
      <c r="L222" s="9" t="str">
        <f>IFERROR(MID(VLOOKUP($B222,Seqs!$A:$B,2,0),M222,1),"")</f>
        <v>L</v>
      </c>
      <c r="M222" s="9">
        <v>97</v>
      </c>
      <c r="N222" s="9" t="str">
        <f>IFERROR(MID(VLOOKUP($B222,Seqs!$A:$B,2,0),O222,1),"")</f>
        <v>V</v>
      </c>
      <c r="O222" s="9">
        <v>130</v>
      </c>
      <c r="P222" s="9" t="str">
        <f>IFERROR(MID(VLOOKUP($B222,Seqs!$A:$B,2,0),Q222,1),"")</f>
        <v>P</v>
      </c>
      <c r="Q222" s="9">
        <v>133</v>
      </c>
      <c r="R222" s="9" t="str">
        <f>IFERROR(MID(VLOOKUP($B222,Seqs!$A:$B,2,0),S222,1),"")</f>
        <v>F</v>
      </c>
      <c r="S222" s="9">
        <v>136</v>
      </c>
      <c r="T222" s="9" t="str">
        <f>IFERROR(MID(VLOOKUP($B222,Seqs!$A:$B,2,0),U222,1),"")</f>
        <v>A</v>
      </c>
      <c r="U222" s="9">
        <v>139</v>
      </c>
      <c r="V222" s="9" t="str">
        <f>IFERROR(MID(VLOOKUP($B222,Seqs!$A:$B,2,0),W222,1),"")</f>
        <v>C</v>
      </c>
      <c r="W222" s="9">
        <v>171</v>
      </c>
      <c r="X222" s="9" t="str">
        <f>IFERROR(MID(VLOOKUP($B222,Seqs!$A:$B,2,0),Y222,1),"")</f>
        <v>P</v>
      </c>
      <c r="Y222" s="9">
        <v>173</v>
      </c>
      <c r="Z222" s="9" t="str">
        <f>IFERROR(MID(VLOOKUP($B222,Seqs!$A:$B,2,0),AA222,1),"")</f>
        <v>M</v>
      </c>
      <c r="AA222" s="9">
        <v>180</v>
      </c>
      <c r="AB222" s="9" t="str">
        <f>IFERROR(MID(VLOOKUP($B222,Seqs!$A:$B,2,0),AC222,1),"")</f>
        <v>S</v>
      </c>
      <c r="AC222" s="9">
        <v>181</v>
      </c>
      <c r="AD222" s="9" t="str">
        <f>IFERROR(MID(VLOOKUP($B222,Seqs!$A:$B,2,0),AE222,1),"")</f>
        <v>M</v>
      </c>
      <c r="AE222" s="9">
        <v>207</v>
      </c>
      <c r="AF222" s="9" t="str">
        <f>IFERROR(MID(VLOOKUP($B222,Seqs!$A:$B,2,0),AG222,1),"")</f>
        <v>C</v>
      </c>
      <c r="AG222" s="9">
        <v>224</v>
      </c>
      <c r="AH222" s="9" t="str">
        <f>IFERROR(MID(VLOOKUP($B222,Seqs!$A:$B,2,0),AI222,1),"")</f>
        <v>P</v>
      </c>
      <c r="AI222" s="9">
        <v>226</v>
      </c>
      <c r="AJ222" s="9" t="str">
        <f>IFERROR(MID(VLOOKUP($B222,Seqs!$A:$B,2,0),AK222,1),"")</f>
        <v>H</v>
      </c>
      <c r="AK222" s="9">
        <v>229</v>
      </c>
      <c r="AL222" s="9" t="str">
        <f>IFERROR(MID(VLOOKUP($B222,Seqs!$A:$B,2,0),AM222,1),"")</f>
        <v>Q</v>
      </c>
      <c r="AM222" s="9">
        <v>273</v>
      </c>
      <c r="AN222" s="9" t="str">
        <f>IFERROR(MID(VLOOKUP($B222,Seqs!$A:$B,2,0),AO222,1),"")</f>
        <v>G</v>
      </c>
      <c r="AO222" s="9">
        <v>280</v>
      </c>
      <c r="AP222" s="9" t="str">
        <f>IFERROR(MID(VLOOKUP($B222,Seqs!$A:$B,2,0),AQ222,1),"")</f>
        <v>Y</v>
      </c>
      <c r="AQ222" s="9">
        <v>328</v>
      </c>
      <c r="AR222" s="9" t="str">
        <f>IFERROR(MID(VLOOKUP($B222,Seqs!$A:$B,2,0),AS222,1),"")</f>
        <v>T</v>
      </c>
      <c r="AS222" s="9">
        <v>335</v>
      </c>
      <c r="AT222" s="9" t="str">
        <f>IFERROR(MID(VLOOKUP($B222,Seqs!$A:$B,2,0),AU222,1),"")</f>
        <v>V</v>
      </c>
      <c r="AU222" s="9">
        <v>367</v>
      </c>
      <c r="AV222" s="9" t="str">
        <f>IFERROR(MID(VLOOKUP($B222,Seqs!$A:$B,2,0),AW222,1),"")</f>
        <v>S</v>
      </c>
      <c r="AW222" s="9">
        <v>368</v>
      </c>
      <c r="AX222" s="9" t="str">
        <f>IFERROR(MID(VLOOKUP($B222,Seqs!$A:$B,2,0),AY222,1),"")</f>
        <v>C</v>
      </c>
      <c r="AY222" s="9">
        <v>383</v>
      </c>
      <c r="AZ222" s="110" t="str">
        <f>VLOOKUP(B222,Classification!A:D,2,0)</f>
        <v>A</v>
      </c>
      <c r="BA222" s="98" t="str">
        <f>VLOOKUP(B222,Classification!A:D,4,0)</f>
        <v>Neurotensin</v>
      </c>
      <c r="BB222" s="36" t="b">
        <f t="shared" ref="BB222" si="1538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109">
        <f t="shared" ref="BC222" si="1539">_xlfn.AGGREGATE(9,6,CH222:CS222)-_xlfn.AGGREGATE(9,6,BV222:CG222)+12</f>
        <v>286</v>
      </c>
      <c r="BD222" s="130" t="s">
        <v>1429</v>
      </c>
      <c r="BE222" s="9" t="s">
        <v>1428</v>
      </c>
      <c r="BF222" s="120">
        <v>3</v>
      </c>
      <c r="BG222" s="51" t="s">
        <v>1422</v>
      </c>
      <c r="BH222" s="51" t="s">
        <v>1422</v>
      </c>
      <c r="BI222" s="9"/>
      <c r="BJ222" s="111" t="s">
        <v>1287</v>
      </c>
      <c r="BK222" s="112" t="s">
        <v>1287</v>
      </c>
      <c r="BL222" s="112" t="s">
        <v>1287</v>
      </c>
      <c r="BM222" s="112" t="s">
        <v>1287</v>
      </c>
      <c r="BN222" s="112" t="s">
        <v>1287</v>
      </c>
      <c r="BO222" s="112" t="s">
        <v>1287</v>
      </c>
      <c r="BP222" s="112" t="s">
        <v>1287</v>
      </c>
      <c r="BQ222" s="112" t="s">
        <v>1287</v>
      </c>
      <c r="BR222" s="112" t="s">
        <v>1287</v>
      </c>
      <c r="BS222" s="112" t="s">
        <v>1287</v>
      </c>
      <c r="BT222" s="112" t="s">
        <v>1287</v>
      </c>
      <c r="BU222" s="112" t="s">
        <v>1287</v>
      </c>
      <c r="BV222" s="111">
        <f t="shared" ref="BV222" si="1540">E222</f>
        <v>59</v>
      </c>
      <c r="BW222" s="113" t="str">
        <f t="shared" ref="BW222" si="1541">I222</f>
        <v>-</v>
      </c>
      <c r="BX222" s="114">
        <f t="shared" ref="BX222" si="1542">M222</f>
        <v>97</v>
      </c>
      <c r="BY222" s="113">
        <f t="shared" ref="BY222" si="1543">Q222</f>
        <v>133</v>
      </c>
      <c r="BZ222" s="114">
        <f t="shared" ref="BZ222" si="1544">U222</f>
        <v>139</v>
      </c>
      <c r="CA222" s="113">
        <f t="shared" ref="CA222" si="1545">Y222</f>
        <v>173</v>
      </c>
      <c r="CB222" s="114">
        <f t="shared" ref="CB222" si="1546">AC222</f>
        <v>181</v>
      </c>
      <c r="CC222" s="113">
        <f t="shared" ref="CC222" si="1547">AG222</f>
        <v>224</v>
      </c>
      <c r="CD222" s="114">
        <f t="shared" ref="CD222" si="1548">AK222</f>
        <v>229</v>
      </c>
      <c r="CE222" s="113">
        <f t="shared" ref="CE222" si="1549">AO222</f>
        <v>280</v>
      </c>
      <c r="CF222" s="114">
        <f t="shared" ref="CF222" si="1550">AS222</f>
        <v>335</v>
      </c>
      <c r="CG222" s="113">
        <f t="shared" ref="CG222" si="1551">AW222</f>
        <v>368</v>
      </c>
      <c r="CH222" s="111">
        <f t="shared" ref="CH222" si="1552">G222</f>
        <v>91</v>
      </c>
      <c r="CI222" s="113" t="str">
        <f t="shared" ref="CI222" si="1553">K222</f>
        <v>-</v>
      </c>
      <c r="CJ222" s="114">
        <f t="shared" ref="CJ222" si="1554">O222</f>
        <v>130</v>
      </c>
      <c r="CK222" s="114">
        <f t="shared" ref="CK222" si="1555">S222</f>
        <v>136</v>
      </c>
      <c r="CL222" s="114">
        <f t="shared" ref="CL222" si="1556">W222</f>
        <v>171</v>
      </c>
      <c r="CM222" s="114">
        <f t="shared" ref="CM222" si="1557">AA222</f>
        <v>180</v>
      </c>
      <c r="CN222" s="114">
        <f t="shared" ref="CN222" si="1558">AE222</f>
        <v>207</v>
      </c>
      <c r="CO222" s="114">
        <f t="shared" ref="CO222" si="1559">AI222</f>
        <v>226</v>
      </c>
      <c r="CP222" s="114">
        <f t="shared" ref="CP222" si="1560">AM222</f>
        <v>273</v>
      </c>
      <c r="CQ222" s="114">
        <f t="shared" ref="CQ222" si="1561">AQ222</f>
        <v>328</v>
      </c>
      <c r="CR222" s="114">
        <f t="shared" ref="CR222" si="1562">AU222</f>
        <v>367</v>
      </c>
      <c r="CS222" s="114">
        <f t="shared" ref="CS222" si="1563">AY222</f>
        <v>383</v>
      </c>
      <c r="CT222" s="109" t="e">
        <f t="shared" ref="CT222" si="1564">M222-K222</f>
        <v>#VALUE!</v>
      </c>
    </row>
    <row r="223" spans="1:1029" x14ac:dyDescent="0.2">
      <c r="A223" s="3" t="str">
        <f t="shared" si="1061"/>
        <v>ntr1_rat__wt</v>
      </c>
      <c r="B223" s="3" t="s">
        <v>913</v>
      </c>
      <c r="C223" s="3" t="s">
        <v>100</v>
      </c>
      <c r="D223" s="3" t="str">
        <f>IFERROR(MID(VLOOKUP($B223,Seqs!$A:$B,2,0),E223,1),"")</f>
        <v>I</v>
      </c>
      <c r="E223" s="3">
        <v>61</v>
      </c>
      <c r="F223" s="3" t="str">
        <f>IFERROR(MID(VLOOKUP($B223,Seqs!$A:$B,2,0),G223,1),"")</f>
        <v>K</v>
      </c>
      <c r="G223" s="3">
        <v>92</v>
      </c>
      <c r="H223" s="3" t="str">
        <f>IFERROR(MID(VLOOKUP($B223,Seqs!$A:$B,2,0),I223,1),"")</f>
        <v>K</v>
      </c>
      <c r="I223" s="23">
        <v>93</v>
      </c>
      <c r="J223" s="3" t="str">
        <f>IFERROR(MID(VLOOKUP($B223,Seqs!$A:$B,2,0),K223,1),"")</f>
        <v>Q</v>
      </c>
      <c r="K223" s="23">
        <v>96</v>
      </c>
      <c r="L223" s="3" t="str">
        <f>IFERROR(MID(VLOOKUP($B223,Seqs!$A:$B,2,0),M223,1),"")</f>
        <v>S</v>
      </c>
      <c r="M223" s="3">
        <v>97</v>
      </c>
      <c r="N223" s="3" t="str">
        <f>IFERROR(MID(VLOOKUP($B223,Seqs!$A:$B,2,0),O223,1),"")</f>
        <v>V</v>
      </c>
      <c r="O223" s="3">
        <v>131</v>
      </c>
      <c r="P223" s="3" t="str">
        <f>IFERROR(MID(VLOOKUP($B223,Seqs!$A:$B,2,0),Q223,1),"")</f>
        <v>P</v>
      </c>
      <c r="Q223" s="3">
        <v>134</v>
      </c>
      <c r="R223" s="3" t="str">
        <f>IFERROR(MID(VLOOKUP($B223,Seqs!$A:$B,2,0),S223,1),"")</f>
        <v>F</v>
      </c>
      <c r="S223" s="3">
        <v>137</v>
      </c>
      <c r="T223" s="3" t="str">
        <f>IFERROR(MID(VLOOKUP($B223,Seqs!$A:$B,2,0),U223,1),"")</f>
        <v>G</v>
      </c>
      <c r="U223" s="3">
        <v>138</v>
      </c>
      <c r="V223" s="3" t="str">
        <f>IFERROR(MID(VLOOKUP($B223,Seqs!$A:$B,2,0),W223,1),"")</f>
        <v>H</v>
      </c>
      <c r="W223" s="3">
        <v>173</v>
      </c>
      <c r="X223" s="3" t="str">
        <f>IFERROR(MID(VLOOKUP($B223,Seqs!$A:$B,2,0),Y223,1),"")</f>
        <v>P</v>
      </c>
      <c r="Y223" s="3">
        <v>174</v>
      </c>
      <c r="Z223" s="3" t="str">
        <f>IFERROR(MID(VLOOKUP($B223,Seqs!$A:$B,2,0),AA223,1),"")</f>
        <v>M</v>
      </c>
      <c r="AA223" s="3">
        <v>181</v>
      </c>
      <c r="AB223" s="3" t="str">
        <f>IFERROR(MID(VLOOKUP($B223,Seqs!$A:$B,2,0),AC223,1),"")</f>
        <v>S</v>
      </c>
      <c r="AC223" s="9">
        <v>182</v>
      </c>
      <c r="AD223" s="3" t="str">
        <f>IFERROR(MID(VLOOKUP($B223,Seqs!$A:$B,2,0),AE223,1),"")</f>
        <v>M</v>
      </c>
      <c r="AE223" s="3">
        <v>208</v>
      </c>
      <c r="AF223" s="3" t="str">
        <f>IFERROR(MID(VLOOKUP($B223,Seqs!$A:$B,2,0),AG223,1),"")</f>
        <v>C</v>
      </c>
      <c r="AG223" s="3">
        <v>225</v>
      </c>
      <c r="AH223" s="3" t="str">
        <f>IFERROR(MID(VLOOKUP($B223,Seqs!$A:$B,2,0),AI223,1),"")</f>
        <v>P</v>
      </c>
      <c r="AI223" s="3">
        <v>227</v>
      </c>
      <c r="AJ223" s="3" t="str">
        <f>IFERROR(MID(VLOOKUP($B223,Seqs!$A:$B,2,0),AK223,1),"")</f>
        <v>T</v>
      </c>
      <c r="AK223" s="3">
        <v>231</v>
      </c>
      <c r="AL223" s="3" t="str">
        <f>IFERROR(MID(VLOOKUP($B223,Seqs!$A:$B,2,0),AM223,1),"")</f>
        <v>G</v>
      </c>
      <c r="AM223" s="3">
        <v>275</v>
      </c>
      <c r="AN223" s="3" t="str">
        <f>IFERROR(MID(VLOOKUP($B223,Seqs!$A:$B,2,0),AO223,1),"")</f>
        <v>P</v>
      </c>
      <c r="AO223" s="3">
        <v>297</v>
      </c>
      <c r="AP223" s="3" t="str">
        <f>IFERROR(MID(VLOOKUP($B223,Seqs!$A:$B,2,0),AQ223,1),"")</f>
        <v>I</v>
      </c>
      <c r="AQ223" s="3">
        <v>334</v>
      </c>
      <c r="AR223" s="3" t="str">
        <f>IFERROR(MID(VLOOKUP($B223,Seqs!$A:$B,2,0),AS223,1),"")</f>
        <v>T</v>
      </c>
      <c r="AS223" s="3">
        <v>340</v>
      </c>
      <c r="AT223" s="3" t="str">
        <f>IFERROR(MID(VLOOKUP($B223,Seqs!$A:$B,2,0),AU223,1),"")</f>
        <v>V</v>
      </c>
      <c r="AU223" s="3">
        <v>372</v>
      </c>
      <c r="AV223" s="3" t="str">
        <f>IFERROR(MID(VLOOKUP($B223,Seqs!$A:$B,2,0),AW223,1),"")</f>
        <v>S</v>
      </c>
      <c r="AW223" s="3">
        <v>373</v>
      </c>
      <c r="AX223" s="3" t="str">
        <f>IFERROR(MID(VLOOKUP($B223,Seqs!$A:$B,2,0),AY223,1),"")</f>
        <v>C</v>
      </c>
      <c r="AY223" s="105">
        <v>388</v>
      </c>
      <c r="AZ223" s="77" t="str">
        <f>VLOOKUP(B223,Classification!A:D,2,0)</f>
        <v>A</v>
      </c>
      <c r="BA223" s="94" t="str">
        <f>VLOOKUP(B223,Classification!A:D,4,0)</f>
        <v>Neurotensin</v>
      </c>
      <c r="BB223" s="27" t="b">
        <f t="shared" si="1062"/>
        <v>1</v>
      </c>
      <c r="BC223" s="23">
        <f t="shared" si="1035"/>
        <v>281</v>
      </c>
      <c r="BD223" s="56" t="s">
        <v>23</v>
      </c>
      <c r="BE223" s="3" t="s">
        <v>23</v>
      </c>
      <c r="BF223" s="119" t="s">
        <v>23</v>
      </c>
      <c r="BG223" s="49" t="s">
        <v>1372</v>
      </c>
      <c r="BH223" s="49" t="s">
        <v>1377</v>
      </c>
      <c r="BI223" s="3" t="s">
        <v>1169</v>
      </c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si="1036"/>
        <v>61</v>
      </c>
      <c r="BW223" s="71">
        <f t="shared" si="1037"/>
        <v>93</v>
      </c>
      <c r="BX223" s="72">
        <f t="shared" si="1038"/>
        <v>97</v>
      </c>
      <c r="BY223" s="71">
        <f t="shared" si="1039"/>
        <v>134</v>
      </c>
      <c r="BZ223" s="72">
        <f t="shared" si="1040"/>
        <v>138</v>
      </c>
      <c r="CA223" s="71">
        <f t="shared" si="1041"/>
        <v>174</v>
      </c>
      <c r="CB223" s="72">
        <f t="shared" si="1042"/>
        <v>182</v>
      </c>
      <c r="CC223" s="71">
        <f t="shared" si="1043"/>
        <v>225</v>
      </c>
      <c r="CD223" s="72">
        <f t="shared" si="1044"/>
        <v>231</v>
      </c>
      <c r="CE223" s="71">
        <f t="shared" si="1045"/>
        <v>297</v>
      </c>
      <c r="CF223" s="72">
        <f t="shared" si="1046"/>
        <v>340</v>
      </c>
      <c r="CG223" s="71">
        <f t="shared" si="1047"/>
        <v>373</v>
      </c>
      <c r="CH223" s="70">
        <f t="shared" si="1048"/>
        <v>92</v>
      </c>
      <c r="CI223" s="71">
        <f t="shared" si="1049"/>
        <v>96</v>
      </c>
      <c r="CJ223" s="72">
        <f t="shared" si="1050"/>
        <v>131</v>
      </c>
      <c r="CK223" s="72">
        <f t="shared" si="1051"/>
        <v>137</v>
      </c>
      <c r="CL223" s="72">
        <f t="shared" si="1052"/>
        <v>173</v>
      </c>
      <c r="CM223" s="72">
        <f t="shared" si="1053"/>
        <v>181</v>
      </c>
      <c r="CN223" s="72">
        <f t="shared" si="1054"/>
        <v>208</v>
      </c>
      <c r="CO223" s="72">
        <f t="shared" si="1055"/>
        <v>227</v>
      </c>
      <c r="CP223" s="72">
        <f t="shared" si="1056"/>
        <v>275</v>
      </c>
      <c r="CQ223" s="72">
        <f t="shared" si="1057"/>
        <v>334</v>
      </c>
      <c r="CR223" s="72">
        <f t="shared" si="1058"/>
        <v>372</v>
      </c>
      <c r="CS223" s="72">
        <f t="shared" si="1059"/>
        <v>388</v>
      </c>
      <c r="CT223" s="23">
        <f t="shared" si="1060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061"/>
        <v>ntr1_rat_4BUO</v>
      </c>
      <c r="B224" s="3" t="s">
        <v>913</v>
      </c>
      <c r="C224" s="3" t="s">
        <v>1332</v>
      </c>
      <c r="D224" s="3" t="str">
        <f>IFERROR(MID(VLOOKUP($B224,Seqs!$A:$B,2,0),E224,1),"")</f>
        <v>I</v>
      </c>
      <c r="E224" s="3">
        <v>61</v>
      </c>
      <c r="F224" s="3" t="str">
        <f>IFERROR(MID(VLOOKUP($B224,Seqs!$A:$B,2,0),G224,1),"")</f>
        <v>R</v>
      </c>
      <c r="G224" s="3">
        <v>91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97</v>
      </c>
      <c r="N224" s="3" t="str">
        <f>IFERROR(MID(VLOOKUP($B224,Seqs!$A:$B,2,0),O224,1),"")</f>
        <v>V</v>
      </c>
      <c r="O224" s="3">
        <v>131</v>
      </c>
      <c r="P224" s="3" t="str">
        <f>IFERROR(MID(VLOOKUP($B224,Seqs!$A:$B,2,0),Q224,1),"")</f>
        <v>P</v>
      </c>
      <c r="Q224" s="3">
        <v>134</v>
      </c>
      <c r="R224" s="3" t="str">
        <f>IFERROR(MID(VLOOKUP($B224,Seqs!$A:$B,2,0),S224,1),"")</f>
        <v>F</v>
      </c>
      <c r="S224" s="3">
        <v>137</v>
      </c>
      <c r="T224" s="3" t="str">
        <f>IFERROR(MID(VLOOKUP($B224,Seqs!$A:$B,2,0),U224,1),"")</f>
        <v>G</v>
      </c>
      <c r="U224" s="3">
        <v>138</v>
      </c>
      <c r="V224" s="3" t="str">
        <f>IFERROR(MID(VLOOKUP($B224,Seqs!$A:$B,2,0),W224,1),"")</f>
        <v>H</v>
      </c>
      <c r="W224" s="3">
        <v>173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182</v>
      </c>
      <c r="AD224" s="3" t="str">
        <f>IFERROR(MID(VLOOKUP($B224,Seqs!$A:$B,2,0),AE224,1),"")</f>
        <v>M</v>
      </c>
      <c r="AE224" s="3">
        <v>208</v>
      </c>
      <c r="AF224" s="3" t="str">
        <f>IFERROR(MID(VLOOKUP($B224,Seqs!$A:$B,2,0),AG224,1),"")</f>
        <v>C</v>
      </c>
      <c r="AG224" s="3">
        <v>225</v>
      </c>
      <c r="AH224" s="3" t="str">
        <f>IFERROR(MID(VLOOKUP($B224,Seqs!$A:$B,2,0),AI224,1),"")</f>
        <v>P</v>
      </c>
      <c r="AI224" s="3">
        <v>227</v>
      </c>
      <c r="AJ224" s="3" t="str">
        <f>IFERROR(MID(VLOOKUP($B224,Seqs!$A:$B,2,0),AK224,1),"")</f>
        <v>T</v>
      </c>
      <c r="AK224" s="3">
        <v>231</v>
      </c>
      <c r="AL224" s="3" t="str">
        <f>IFERROR(MID(VLOOKUP($B224,Seqs!$A:$B,2,0),AM224,1),"")</f>
        <v>Q</v>
      </c>
      <c r="AM224" s="3">
        <v>270</v>
      </c>
      <c r="AN224" s="3" t="str">
        <f>IFERROR(MID(VLOOKUP($B224,Seqs!$A:$B,2,0),AO224,1),"")</f>
        <v>G</v>
      </c>
      <c r="AO224" s="3">
        <v>298</v>
      </c>
      <c r="AP224" s="3" t="str">
        <f>IFERROR(MID(VLOOKUP($B224,Seqs!$A:$B,2,0),AQ224,1),"")</f>
        <v>I</v>
      </c>
      <c r="AQ224" s="3">
        <v>334</v>
      </c>
      <c r="AR224" s="3" t="str">
        <f>IFERROR(MID(VLOOKUP($B224,Seqs!$A:$B,2,0),AS224,1),"")</f>
        <v>T</v>
      </c>
      <c r="AS224" s="3">
        <v>340</v>
      </c>
      <c r="AT224" s="3" t="str">
        <f>IFERROR(MID(VLOOKUP($B224,Seqs!$A:$B,2,0),AU224,1),"")</f>
        <v>V</v>
      </c>
      <c r="AU224" s="3">
        <v>372</v>
      </c>
      <c r="AV224" s="3" t="str">
        <f>IFERROR(MID(VLOOKUP($B224,Seqs!$A:$B,2,0),AW224,1),"")</f>
        <v>S</v>
      </c>
      <c r="AW224" s="3">
        <v>373</v>
      </c>
      <c r="AX224" s="3" t="str">
        <f>IFERROR(MID(VLOOKUP($B224,Seqs!$A:$B,2,0),AY224,1),"")</f>
        <v>L</v>
      </c>
      <c r="AY224" s="3">
        <v>384</v>
      </c>
      <c r="AZ224" s="77" t="str">
        <f>VLOOKUP(B224,Classification!A:D,2,0)</f>
        <v>A</v>
      </c>
      <c r="BA224" s="94" t="str">
        <f>VLOOKUP(B224,Classification!A:D,4,0)</f>
        <v>Neurotensin</v>
      </c>
      <c r="BB224" s="27" t="b">
        <f t="shared" si="1062"/>
        <v>1</v>
      </c>
      <c r="BC224" s="23">
        <f t="shared" si="1035"/>
        <v>260</v>
      </c>
      <c r="BD224" s="16" t="s">
        <v>1376</v>
      </c>
      <c r="BE224" s="3" t="s">
        <v>1374</v>
      </c>
      <c r="BF224" s="119">
        <v>2.75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 t="shared" si="1036"/>
        <v>61</v>
      </c>
      <c r="BW224" s="71" t="str">
        <f t="shared" si="1037"/>
        <v>-</v>
      </c>
      <c r="BX224" s="72">
        <f t="shared" si="1038"/>
        <v>97</v>
      </c>
      <c r="BY224" s="71">
        <f t="shared" si="1039"/>
        <v>134</v>
      </c>
      <c r="BZ224" s="72">
        <f t="shared" si="1040"/>
        <v>138</v>
      </c>
      <c r="CA224" s="71" t="str">
        <f t="shared" si="1041"/>
        <v>-</v>
      </c>
      <c r="CB224" s="72">
        <f t="shared" si="1042"/>
        <v>182</v>
      </c>
      <c r="CC224" s="71">
        <f t="shared" si="1043"/>
        <v>225</v>
      </c>
      <c r="CD224" s="72">
        <f t="shared" si="1044"/>
        <v>231</v>
      </c>
      <c r="CE224" s="71">
        <f t="shared" si="1045"/>
        <v>298</v>
      </c>
      <c r="CF224" s="72">
        <f t="shared" si="1046"/>
        <v>340</v>
      </c>
      <c r="CG224" s="71">
        <f t="shared" si="1047"/>
        <v>373</v>
      </c>
      <c r="CH224" s="70">
        <f t="shared" si="1048"/>
        <v>91</v>
      </c>
      <c r="CI224" s="71" t="str">
        <f t="shared" si="1049"/>
        <v>-</v>
      </c>
      <c r="CJ224" s="72">
        <f t="shared" si="1050"/>
        <v>131</v>
      </c>
      <c r="CK224" s="72">
        <f t="shared" si="1051"/>
        <v>137</v>
      </c>
      <c r="CL224" s="72">
        <f t="shared" si="1052"/>
        <v>173</v>
      </c>
      <c r="CM224" s="72" t="str">
        <f t="shared" si="1053"/>
        <v>-</v>
      </c>
      <c r="CN224" s="72">
        <f t="shared" si="1054"/>
        <v>208</v>
      </c>
      <c r="CO224" s="72">
        <f t="shared" si="1055"/>
        <v>227</v>
      </c>
      <c r="CP224" s="72">
        <f t="shared" si="1056"/>
        <v>270</v>
      </c>
      <c r="CQ224" s="72">
        <f t="shared" si="1057"/>
        <v>334</v>
      </c>
      <c r="CR224" s="72">
        <f t="shared" si="1058"/>
        <v>372</v>
      </c>
      <c r="CS224" s="72">
        <f t="shared" si="1059"/>
        <v>384</v>
      </c>
      <c r="CT224" s="23" t="e">
        <f t="shared" si="1060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061"/>
        <v>ntr1_rat_4GRV</v>
      </c>
      <c r="B225" s="3" t="s">
        <v>913</v>
      </c>
      <c r="C225" s="3" t="s">
        <v>50</v>
      </c>
      <c r="D225" s="3" t="str">
        <f>IFERROR(MID(VLOOKUP($B225,Seqs!$A:$B,2,0),E225,1),"")</f>
        <v>I</v>
      </c>
      <c r="E225" s="3">
        <v>61</v>
      </c>
      <c r="F225" s="3" t="str">
        <f>IFERROR(MID(VLOOKUP($B225,Seqs!$A:$B,2,0),G225,1),"")</f>
        <v>T</v>
      </c>
      <c r="G225" s="3">
        <v>88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Q</v>
      </c>
      <c r="M225" s="3">
        <v>99</v>
      </c>
      <c r="N225" s="3" t="str">
        <f>IFERROR(MID(VLOOKUP($B225,Seqs!$A:$B,2,0),O225,1),"")</f>
        <v>V</v>
      </c>
      <c r="O225" s="3">
        <v>131</v>
      </c>
      <c r="P225" s="3" t="str">
        <f>IFERROR(MID(VLOOKUP($B225,Seqs!$A:$B,2,0),Q225,1),"")</f>
        <v>P</v>
      </c>
      <c r="Q225" s="3">
        <v>134</v>
      </c>
      <c r="R225" s="3" t="str">
        <f>IFERROR(MID(VLOOKUP($B225,Seqs!$A:$B,2,0),S225,1),"")</f>
        <v>F</v>
      </c>
      <c r="S225" s="3">
        <v>137</v>
      </c>
      <c r="T225" s="3" t="str">
        <f>IFERROR(MID(VLOOKUP($B225,Seqs!$A:$B,2,0),U225,1),"")</f>
        <v>G</v>
      </c>
      <c r="U225" s="3">
        <v>138</v>
      </c>
      <c r="V225" s="3" t="str">
        <f>IFERROR(MID(VLOOKUP($B225,Seqs!$A:$B,2,0),W225,1),"")</f>
        <v>H</v>
      </c>
      <c r="W225" s="3">
        <v>173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186</v>
      </c>
      <c r="AD225" s="3" t="str">
        <f>IFERROR(MID(VLOOKUP($B225,Seqs!$A:$B,2,0),AE225,1),"")</f>
        <v>M</v>
      </c>
      <c r="AE225" s="3">
        <v>208</v>
      </c>
      <c r="AF225" s="3" t="str">
        <f>IFERROR(MID(VLOOKUP($B225,Seqs!$A:$B,2,0),AG225,1),"")</f>
        <v>C</v>
      </c>
      <c r="AG225" s="3">
        <v>225</v>
      </c>
      <c r="AH225" s="3" t="str">
        <f>IFERROR(MID(VLOOKUP($B225,Seqs!$A:$B,2,0),AI225,1),"")</f>
        <v>P</v>
      </c>
      <c r="AI225" s="3">
        <v>227</v>
      </c>
      <c r="AJ225" s="3" t="str">
        <f>IFERROR(MID(VLOOKUP($B225,Seqs!$A:$B,2,0),AK225,1),"")</f>
        <v>T</v>
      </c>
      <c r="AK225" s="3">
        <v>231</v>
      </c>
      <c r="AL225" s="3" t="str">
        <f>IFERROR(MID(VLOOKUP($B225,Seqs!$A:$B,2,0),AM225,1),"")</f>
        <v>T</v>
      </c>
      <c r="AM225" s="3">
        <v>265</v>
      </c>
      <c r="AN225" s="3" t="str">
        <f>IFERROR(MID(VLOOKUP($B225,Seqs!$A:$B,2,0),AO225,1),"")</f>
        <v>A</v>
      </c>
      <c r="AO225" s="3">
        <v>302</v>
      </c>
      <c r="AP225" s="3" t="str">
        <f>IFERROR(MID(VLOOKUP($B225,Seqs!$A:$B,2,0),AQ225,1),"")</f>
        <v>I</v>
      </c>
      <c r="AQ225" s="3">
        <v>334</v>
      </c>
      <c r="AR225" s="3" t="str">
        <f>IFERROR(MID(VLOOKUP($B225,Seqs!$A:$B,2,0),AS225,1),"")</f>
        <v>T</v>
      </c>
      <c r="AS225" s="3">
        <v>340</v>
      </c>
      <c r="AT225" s="3" t="str">
        <f>IFERROR(MID(VLOOKUP($B225,Seqs!$A:$B,2,0),AU225,1),"")</f>
        <v>S</v>
      </c>
      <c r="AU225" s="3">
        <v>361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Neurotensin</v>
      </c>
      <c r="BB225" s="27" t="b">
        <f t="shared" si="1062"/>
        <v>1</v>
      </c>
      <c r="BC225" s="23">
        <f t="shared" si="1035"/>
        <v>220</v>
      </c>
      <c r="BD225" s="5" t="s">
        <v>23</v>
      </c>
      <c r="BE225" s="3" t="s">
        <v>1428</v>
      </c>
      <c r="BF225" s="119">
        <v>2.8</v>
      </c>
      <c r="BG225" s="49" t="s">
        <v>1377</v>
      </c>
      <c r="BH225" s="49" t="s">
        <v>1377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si="1036"/>
        <v>61</v>
      </c>
      <c r="BW225" s="71" t="str">
        <f t="shared" si="1037"/>
        <v>-</v>
      </c>
      <c r="BX225" s="72">
        <f t="shared" si="1038"/>
        <v>99</v>
      </c>
      <c r="BY225" s="71">
        <f t="shared" si="1039"/>
        <v>134</v>
      </c>
      <c r="BZ225" s="72">
        <f t="shared" si="1040"/>
        <v>138</v>
      </c>
      <c r="CA225" s="71" t="str">
        <f t="shared" si="1041"/>
        <v>-</v>
      </c>
      <c r="CB225" s="72">
        <f t="shared" si="1042"/>
        <v>186</v>
      </c>
      <c r="CC225" s="71">
        <f t="shared" si="1043"/>
        <v>225</v>
      </c>
      <c r="CD225" s="72">
        <f t="shared" si="1044"/>
        <v>231</v>
      </c>
      <c r="CE225" s="71">
        <f t="shared" si="1045"/>
        <v>302</v>
      </c>
      <c r="CF225" s="72">
        <f t="shared" si="1046"/>
        <v>340</v>
      </c>
      <c r="CG225" s="71" t="str">
        <f t="shared" si="1047"/>
        <v>-</v>
      </c>
      <c r="CH225" s="70">
        <f t="shared" si="1048"/>
        <v>88</v>
      </c>
      <c r="CI225" s="71" t="str">
        <f t="shared" si="1049"/>
        <v>-</v>
      </c>
      <c r="CJ225" s="72">
        <f t="shared" si="1050"/>
        <v>131</v>
      </c>
      <c r="CK225" s="72">
        <f t="shared" si="1051"/>
        <v>137</v>
      </c>
      <c r="CL225" s="72">
        <f t="shared" si="1052"/>
        <v>173</v>
      </c>
      <c r="CM225" s="72" t="str">
        <f t="shared" si="1053"/>
        <v>-</v>
      </c>
      <c r="CN225" s="72">
        <f t="shared" si="1054"/>
        <v>208</v>
      </c>
      <c r="CO225" s="72">
        <f t="shared" si="1055"/>
        <v>227</v>
      </c>
      <c r="CP225" s="72">
        <f t="shared" si="1056"/>
        <v>265</v>
      </c>
      <c r="CQ225" s="72">
        <f t="shared" si="1057"/>
        <v>334</v>
      </c>
      <c r="CR225" s="72">
        <f t="shared" si="1058"/>
        <v>361</v>
      </c>
      <c r="CS225" s="72" t="str">
        <f t="shared" si="1059"/>
        <v>-</v>
      </c>
      <c r="CT225" s="23" t="e">
        <f t="shared" si="1060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1061"/>
        <v>ntr1_rat_4XEE</v>
      </c>
      <c r="B226" s="3" t="s">
        <v>913</v>
      </c>
      <c r="C226" s="3" t="s">
        <v>1350</v>
      </c>
      <c r="D226" s="3" t="str">
        <f>IFERROR(MID(VLOOKUP($B226,Seqs!$A:$B,2,0),E226,1),"")</f>
        <v>I</v>
      </c>
      <c r="E226" s="3">
        <v>61</v>
      </c>
      <c r="F226" s="3" t="str">
        <f>IFERROR(MID(VLOOKUP($B226,Seqs!$A:$B,2,0),G226,1),"")</f>
        <v>R</v>
      </c>
      <c r="G226" s="3">
        <v>91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S</v>
      </c>
      <c r="M226" s="3">
        <v>100</v>
      </c>
      <c r="N226" s="3" t="str">
        <f>IFERROR(MID(VLOOKUP($B226,Seqs!$A:$B,2,0),O226,1),"")</f>
        <v>V</v>
      </c>
      <c r="O226" s="3">
        <v>131</v>
      </c>
      <c r="P226" s="3" t="str">
        <f>IFERROR(MID(VLOOKUP($B226,Seqs!$A:$B,2,0),Q226,1),"")</f>
        <v>P</v>
      </c>
      <c r="Q226" s="3">
        <v>134</v>
      </c>
      <c r="R226" s="3" t="str">
        <f>IFERROR(MID(VLOOKUP($B226,Seqs!$A:$B,2,0),S226,1),"")</f>
        <v>F</v>
      </c>
      <c r="S226" s="3">
        <v>137</v>
      </c>
      <c r="T226" s="3" t="str">
        <f>IFERROR(MID(VLOOKUP($B226,Seqs!$A:$B,2,0),U226,1),"")</f>
        <v>G</v>
      </c>
      <c r="U226" s="3">
        <v>138</v>
      </c>
      <c r="V226" s="3" t="str">
        <f>IFERROR(MID(VLOOKUP($B226,Seqs!$A:$B,2,0),W226,1),"")</f>
        <v>H</v>
      </c>
      <c r="W226" s="3">
        <v>173</v>
      </c>
      <c r="X226" s="3" t="str">
        <f>IFERROR(MID(VLOOKUP($B226,Seqs!$A:$B,2,0),Y226,1),"")</f>
        <v>P</v>
      </c>
      <c r="Y226" s="3">
        <v>174</v>
      </c>
      <c r="Z226" s="3" t="str">
        <f>IFERROR(MID(VLOOKUP($B226,Seqs!$A:$B,2,0),AA226,1),"")</f>
        <v>M</v>
      </c>
      <c r="AA226" s="3">
        <v>181</v>
      </c>
      <c r="AB226" s="3" t="str">
        <f>IFERROR(MID(VLOOKUP($B226,Seqs!$A:$B,2,0),AC226,1),"")</f>
        <v>S</v>
      </c>
      <c r="AC226" s="9">
        <v>182</v>
      </c>
      <c r="AD226" s="3" t="str">
        <f>IFERROR(MID(VLOOKUP($B226,Seqs!$A:$B,2,0),AE226,1),"")</f>
        <v>M</v>
      </c>
      <c r="AE226" s="3">
        <v>208</v>
      </c>
      <c r="AF226" s="3" t="str">
        <f>IFERROR(MID(VLOOKUP($B226,Seqs!$A:$B,2,0),AG226,1),"")</f>
        <v>C</v>
      </c>
      <c r="AG226" s="3">
        <v>225</v>
      </c>
      <c r="AH226" s="3" t="str">
        <f>IFERROR(MID(VLOOKUP($B226,Seqs!$A:$B,2,0),AI226,1),"")</f>
        <v>P</v>
      </c>
      <c r="AI226" s="3">
        <v>227</v>
      </c>
      <c r="AJ226" s="3" t="str">
        <f>IFERROR(MID(VLOOKUP($B226,Seqs!$A:$B,2,0),AK226,1),"")</f>
        <v>T</v>
      </c>
      <c r="AK226" s="3">
        <v>231</v>
      </c>
      <c r="AL226" s="3" t="str">
        <f>IFERROR(MID(VLOOKUP($B226,Seqs!$A:$B,2,0),AM226,1),"")</f>
        <v>V</v>
      </c>
      <c r="AM226" s="3">
        <v>268</v>
      </c>
      <c r="AN226" s="3" t="str">
        <f>IFERROR(MID(VLOOKUP($B226,Seqs!$A:$B,2,0),AO226,1),"")</f>
        <v>Q</v>
      </c>
      <c r="AO226" s="3">
        <v>301</v>
      </c>
      <c r="AP226" s="3" t="str">
        <f>IFERROR(MID(VLOOKUP($B226,Seqs!$A:$B,2,0),AQ226,1),"")</f>
        <v>I</v>
      </c>
      <c r="AQ226" s="3">
        <v>334</v>
      </c>
      <c r="AR226" s="3" t="str">
        <f>IFERROR(MID(VLOOKUP($B226,Seqs!$A:$B,2,0),AS226,1),"")</f>
        <v>T</v>
      </c>
      <c r="AS226" s="3">
        <v>340</v>
      </c>
      <c r="AT226" s="3" t="str">
        <f>IFERROR(MID(VLOOKUP($B226,Seqs!$A:$B,2,0),AU226,1),"")</f>
        <v>I</v>
      </c>
      <c r="AU226" s="3">
        <v>364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7" t="str">
        <f>VLOOKUP(B226,Classification!A:D,2,0)</f>
        <v>A</v>
      </c>
      <c r="BA226" s="94" t="str">
        <f>VLOOKUP(B226,Classification!A:D,4,0)</f>
        <v>Neurotensin</v>
      </c>
      <c r="BB226" s="27" t="b">
        <f t="shared" si="1062"/>
        <v>1</v>
      </c>
      <c r="BC226" s="23">
        <f t="shared" si="1035"/>
        <v>240</v>
      </c>
      <c r="BD226" s="4" t="s">
        <v>23</v>
      </c>
      <c r="BE226" s="3" t="s">
        <v>1428</v>
      </c>
      <c r="BF226" s="119">
        <v>2.9</v>
      </c>
      <c r="BG226" s="49" t="s">
        <v>1377</v>
      </c>
      <c r="BH226" s="49" t="s">
        <v>1377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si="1036"/>
        <v>61</v>
      </c>
      <c r="BW226" s="71" t="str">
        <f t="shared" si="1037"/>
        <v>-</v>
      </c>
      <c r="BX226" s="72">
        <f t="shared" si="1038"/>
        <v>100</v>
      </c>
      <c r="BY226" s="71">
        <f t="shared" si="1039"/>
        <v>134</v>
      </c>
      <c r="BZ226" s="72">
        <f t="shared" si="1040"/>
        <v>138</v>
      </c>
      <c r="CA226" s="71">
        <f t="shared" si="1041"/>
        <v>174</v>
      </c>
      <c r="CB226" s="72">
        <f t="shared" si="1042"/>
        <v>182</v>
      </c>
      <c r="CC226" s="71">
        <f t="shared" si="1043"/>
        <v>225</v>
      </c>
      <c r="CD226" s="72">
        <f t="shared" si="1044"/>
        <v>231</v>
      </c>
      <c r="CE226" s="71">
        <f t="shared" si="1045"/>
        <v>301</v>
      </c>
      <c r="CF226" s="72">
        <f t="shared" si="1046"/>
        <v>340</v>
      </c>
      <c r="CG226" s="71" t="str">
        <f t="shared" si="1047"/>
        <v>-</v>
      </c>
      <c r="CH226" s="70">
        <f t="shared" si="1048"/>
        <v>91</v>
      </c>
      <c r="CI226" s="71" t="str">
        <f t="shared" si="1049"/>
        <v>-</v>
      </c>
      <c r="CJ226" s="72">
        <f t="shared" si="1050"/>
        <v>131</v>
      </c>
      <c r="CK226" s="72">
        <f t="shared" si="1051"/>
        <v>137</v>
      </c>
      <c r="CL226" s="72">
        <f t="shared" si="1052"/>
        <v>173</v>
      </c>
      <c r="CM226" s="72">
        <f t="shared" si="1053"/>
        <v>181</v>
      </c>
      <c r="CN226" s="72">
        <f t="shared" si="1054"/>
        <v>208</v>
      </c>
      <c r="CO226" s="72">
        <f t="shared" si="1055"/>
        <v>227</v>
      </c>
      <c r="CP226" s="72">
        <f t="shared" si="1056"/>
        <v>268</v>
      </c>
      <c r="CQ226" s="72">
        <f t="shared" si="1057"/>
        <v>334</v>
      </c>
      <c r="CR226" s="72">
        <f t="shared" si="1058"/>
        <v>364</v>
      </c>
      <c r="CS226" s="72" t="str">
        <f t="shared" si="1059"/>
        <v>-</v>
      </c>
      <c r="CT226" s="23" t="e">
        <f t="shared" si="1060"/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1061"/>
        <v>ntr1_rat_4XES</v>
      </c>
      <c r="B227" s="3" t="s">
        <v>913</v>
      </c>
      <c r="C227" s="3" t="s">
        <v>1351</v>
      </c>
      <c r="D227" s="3" t="str">
        <f>IFERROR(MID(VLOOKUP($B227,Seqs!$A:$B,2,0),E227,1),"")</f>
        <v>I</v>
      </c>
      <c r="E227" s="3">
        <v>61</v>
      </c>
      <c r="F227" s="3" t="str">
        <f>IFERROR(MID(VLOOKUP($B227,Seqs!$A:$B,2,0),G227,1),"")</f>
        <v>K</v>
      </c>
      <c r="G227" s="3">
        <v>92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S</v>
      </c>
      <c r="M227" s="3">
        <v>97</v>
      </c>
      <c r="N227" s="3" t="str">
        <f>IFERROR(MID(VLOOKUP($B227,Seqs!$A:$B,2,0),O227,1),"")</f>
        <v>V</v>
      </c>
      <c r="O227" s="3">
        <v>131</v>
      </c>
      <c r="P227" s="3" t="str">
        <f>IFERROR(MID(VLOOKUP($B227,Seqs!$A:$B,2,0),Q227,1),"")</f>
        <v>P</v>
      </c>
      <c r="Q227" s="3">
        <v>134</v>
      </c>
      <c r="R227" s="3" t="str">
        <f>IFERROR(MID(VLOOKUP($B227,Seqs!$A:$B,2,0),S227,1),"")</f>
        <v>F</v>
      </c>
      <c r="S227" s="3">
        <v>137</v>
      </c>
      <c r="T227" s="3" t="str">
        <f>IFERROR(MID(VLOOKUP($B227,Seqs!$A:$B,2,0),U227,1),"")</f>
        <v>G</v>
      </c>
      <c r="U227" s="3">
        <v>138</v>
      </c>
      <c r="V227" s="3" t="str">
        <f>IFERROR(MID(VLOOKUP($B227,Seqs!$A:$B,2,0),W227,1),"")</f>
        <v>H</v>
      </c>
      <c r="W227" s="3">
        <v>173</v>
      </c>
      <c r="X227" s="3" t="str">
        <f>IFERROR(MID(VLOOKUP($B227,Seqs!$A:$B,2,0),Y227,1),"")</f>
        <v>P</v>
      </c>
      <c r="Y227" s="3">
        <v>174</v>
      </c>
      <c r="Z227" s="3" t="str">
        <f>IFERROR(MID(VLOOKUP($B227,Seqs!$A:$B,2,0),AA227,1),"")</f>
        <v>M</v>
      </c>
      <c r="AA227" s="3">
        <v>181</v>
      </c>
      <c r="AB227" s="3" t="str">
        <f>IFERROR(MID(VLOOKUP($B227,Seqs!$A:$B,2,0),AC227,1),"")</f>
        <v>S</v>
      </c>
      <c r="AC227" s="9">
        <v>182</v>
      </c>
      <c r="AD227" s="3" t="str">
        <f>IFERROR(MID(VLOOKUP($B227,Seqs!$A:$B,2,0),AE227,1),"")</f>
        <v>M</v>
      </c>
      <c r="AE227" s="3">
        <v>208</v>
      </c>
      <c r="AF227" s="3" t="str">
        <f>IFERROR(MID(VLOOKUP($B227,Seqs!$A:$B,2,0),AG227,1),"")</f>
        <v>C</v>
      </c>
      <c r="AG227" s="3">
        <v>225</v>
      </c>
      <c r="AH227" s="3" t="str">
        <f>IFERROR(MID(VLOOKUP($B227,Seqs!$A:$B,2,0),AI227,1),"")</f>
        <v>P</v>
      </c>
      <c r="AI227" s="3">
        <v>227</v>
      </c>
      <c r="AJ227" s="3" t="str">
        <f>IFERROR(MID(VLOOKUP($B227,Seqs!$A:$B,2,0),AK227,1),"")</f>
        <v>T</v>
      </c>
      <c r="AK227" s="3">
        <v>231</v>
      </c>
      <c r="AL227" s="3" t="str">
        <f>IFERROR(MID(VLOOKUP($B227,Seqs!$A:$B,2,0),AM227,1),"")</f>
        <v>V</v>
      </c>
      <c r="AM227" s="3">
        <v>268</v>
      </c>
      <c r="AN227" s="3" t="str">
        <f>IFERROR(MID(VLOOKUP($B227,Seqs!$A:$B,2,0),AO227,1),"")</f>
        <v>A</v>
      </c>
      <c r="AO227" s="3">
        <v>302</v>
      </c>
      <c r="AP227" s="3" t="str">
        <f>IFERROR(MID(VLOOKUP($B227,Seqs!$A:$B,2,0),AQ227,1),"")</f>
        <v>I</v>
      </c>
      <c r="AQ227" s="3">
        <v>334</v>
      </c>
      <c r="AR227" s="3" t="str">
        <f>IFERROR(MID(VLOOKUP($B227,Seqs!$A:$B,2,0),AS227,1),"")</f>
        <v>T</v>
      </c>
      <c r="AS227" s="3">
        <v>340</v>
      </c>
      <c r="AT227" s="3" t="str">
        <f>IFERROR(MID(VLOOKUP($B227,Seqs!$A:$B,2,0),AU227,1),"")</f>
        <v>I</v>
      </c>
      <c r="AU227" s="3">
        <v>364</v>
      </c>
      <c r="AV227" s="3" t="str">
        <f>IFERROR(MID(VLOOKUP($B227,Seqs!$A:$B,2,0),AW227,1),"")</f>
        <v/>
      </c>
      <c r="AW227" s="3" t="s">
        <v>23</v>
      </c>
      <c r="AX227" s="3" t="str">
        <f>IFERROR(MID(VLOOKUP($B227,Seqs!$A:$B,2,0),AY227,1),"")</f>
        <v/>
      </c>
      <c r="AY227" s="3" t="s">
        <v>23</v>
      </c>
      <c r="AZ227" s="77" t="str">
        <f>VLOOKUP(B227,Classification!A:D,2,0)</f>
        <v>A</v>
      </c>
      <c r="BA227" s="94" t="str">
        <f>VLOOKUP(B227,Classification!A:D,4,0)</f>
        <v>Neurotensin</v>
      </c>
      <c r="BB227" s="27" t="b">
        <f t="shared" si="1062"/>
        <v>1</v>
      </c>
      <c r="BC227" s="23">
        <f t="shared" si="1035"/>
        <v>243</v>
      </c>
      <c r="BD227" s="5" t="s">
        <v>1429</v>
      </c>
      <c r="BE227" s="3" t="s">
        <v>1428</v>
      </c>
      <c r="BF227" s="119">
        <v>2.6</v>
      </c>
      <c r="BG227" s="49" t="s">
        <v>1377</v>
      </c>
      <c r="BH227" s="49" t="s">
        <v>1377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si="1036"/>
        <v>61</v>
      </c>
      <c r="BW227" s="71" t="str">
        <f t="shared" si="1037"/>
        <v>-</v>
      </c>
      <c r="BX227" s="72">
        <f t="shared" si="1038"/>
        <v>97</v>
      </c>
      <c r="BY227" s="71">
        <f t="shared" si="1039"/>
        <v>134</v>
      </c>
      <c r="BZ227" s="72">
        <f t="shared" si="1040"/>
        <v>138</v>
      </c>
      <c r="CA227" s="71">
        <f t="shared" si="1041"/>
        <v>174</v>
      </c>
      <c r="CB227" s="72">
        <f t="shared" si="1042"/>
        <v>182</v>
      </c>
      <c r="CC227" s="71">
        <f t="shared" si="1043"/>
        <v>225</v>
      </c>
      <c r="CD227" s="72">
        <f t="shared" si="1044"/>
        <v>231</v>
      </c>
      <c r="CE227" s="71">
        <f t="shared" si="1045"/>
        <v>302</v>
      </c>
      <c r="CF227" s="72">
        <f t="shared" si="1046"/>
        <v>340</v>
      </c>
      <c r="CG227" s="71" t="str">
        <f t="shared" si="1047"/>
        <v>-</v>
      </c>
      <c r="CH227" s="70">
        <f t="shared" si="1048"/>
        <v>92</v>
      </c>
      <c r="CI227" s="71" t="str">
        <f t="shared" si="1049"/>
        <v>-</v>
      </c>
      <c r="CJ227" s="72">
        <f t="shared" si="1050"/>
        <v>131</v>
      </c>
      <c r="CK227" s="72">
        <f t="shared" si="1051"/>
        <v>137</v>
      </c>
      <c r="CL227" s="72">
        <f t="shared" si="1052"/>
        <v>173</v>
      </c>
      <c r="CM227" s="72">
        <f t="shared" si="1053"/>
        <v>181</v>
      </c>
      <c r="CN227" s="72">
        <f t="shared" si="1054"/>
        <v>208</v>
      </c>
      <c r="CO227" s="72">
        <f t="shared" si="1055"/>
        <v>227</v>
      </c>
      <c r="CP227" s="72">
        <f t="shared" si="1056"/>
        <v>268</v>
      </c>
      <c r="CQ227" s="72">
        <f t="shared" si="1057"/>
        <v>334</v>
      </c>
      <c r="CR227" s="72">
        <f t="shared" si="1058"/>
        <v>364</v>
      </c>
      <c r="CS227" s="72" t="str">
        <f t="shared" si="1059"/>
        <v>-</v>
      </c>
      <c r="CT227" s="23" t="e">
        <f t="shared" si="1060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>CONCATENATE(B228,"_",C228)</f>
        <v>ntr1_rat_5T04</v>
      </c>
      <c r="B228" s="3" t="s">
        <v>913</v>
      </c>
      <c r="C228" s="3" t="s">
        <v>1385</v>
      </c>
      <c r="D228" s="3" t="str">
        <f>IFERROR(MID(VLOOKUP($B228,Seqs!$A:$B,2,0),E228,1),"")</f>
        <v>I</v>
      </c>
      <c r="E228" s="3">
        <v>61</v>
      </c>
      <c r="F228" s="3" t="str">
        <f>IFERROR(MID(VLOOKUP($B228,Seqs!$A:$B,2,0),G228,1),"")</f>
        <v>T</v>
      </c>
      <c r="G228" s="3">
        <v>88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H</v>
      </c>
      <c r="M228" s="3">
        <v>103</v>
      </c>
      <c r="N228" s="3" t="str">
        <f>IFERROR(MID(VLOOKUP($B228,Seqs!$A:$B,2,0),O228,1),"")</f>
        <v>V</v>
      </c>
      <c r="O228" s="3">
        <v>131</v>
      </c>
      <c r="P228" s="3" t="str">
        <f>IFERROR(MID(VLOOKUP($B228,Seqs!$A:$B,2,0),Q228,1),"")</f>
        <v>P</v>
      </c>
      <c r="Q228" s="3">
        <v>134</v>
      </c>
      <c r="R228" s="3" t="str">
        <f>IFERROR(MID(VLOOKUP($B228,Seqs!$A:$B,2,0),S228,1),"")</f>
        <v>F</v>
      </c>
      <c r="S228" s="3">
        <v>137</v>
      </c>
      <c r="T228" s="3" t="str">
        <f>IFERROR(MID(VLOOKUP($B228,Seqs!$A:$B,2,0),U228,1),"")</f>
        <v>G</v>
      </c>
      <c r="U228" s="3">
        <v>138</v>
      </c>
      <c r="V228" s="3" t="str">
        <f>IFERROR(MID(VLOOKUP($B228,Seqs!$A:$B,2,0),W228,1),"")</f>
        <v>H</v>
      </c>
      <c r="W228" s="3">
        <v>173</v>
      </c>
      <c r="X228" s="3" t="str">
        <f>IFERROR(MID(VLOOKUP($B228,Seqs!$A:$B,2,0),Y228,1),"")</f>
        <v>P</v>
      </c>
      <c r="Y228" s="3">
        <v>174</v>
      </c>
      <c r="Z228" s="3" t="str">
        <f>IFERROR(MID(VLOOKUP($B228,Seqs!$A:$B,2,0),AA228,1),"")</f>
        <v>M</v>
      </c>
      <c r="AA228" s="3">
        <v>181</v>
      </c>
      <c r="AB228" s="3" t="str">
        <f>IFERROR(MID(VLOOKUP($B228,Seqs!$A:$B,2,0),AC228,1),"")</f>
        <v>S</v>
      </c>
      <c r="AC228" s="3">
        <v>182</v>
      </c>
      <c r="AD228" s="3" t="str">
        <f>IFERROR(MID(VLOOKUP($B228,Seqs!$A:$B,2,0),AE228,1),"")</f>
        <v>M</v>
      </c>
      <c r="AE228" s="3">
        <v>208</v>
      </c>
      <c r="AF228" s="3" t="str">
        <f>IFERROR(MID(VLOOKUP($B228,Seqs!$A:$B,2,0),AG228,1),"")</f>
        <v>C</v>
      </c>
      <c r="AG228" s="3">
        <v>225</v>
      </c>
      <c r="AH228" s="3" t="str">
        <f>IFERROR(MID(VLOOKUP($B228,Seqs!$A:$B,2,0),AI228,1),"")</f>
        <v>P</v>
      </c>
      <c r="AI228" s="3">
        <v>227</v>
      </c>
      <c r="AJ228" s="3" t="str">
        <f>IFERROR(MID(VLOOKUP($B228,Seqs!$A:$B,2,0),AK228,1),"")</f>
        <v>T</v>
      </c>
      <c r="AK228" s="3">
        <v>231</v>
      </c>
      <c r="AL228" s="3" t="str">
        <f>IFERROR(MID(VLOOKUP($B228,Seqs!$A:$B,2,0),AM228,1),"")</f>
        <v>V</v>
      </c>
      <c r="AM228" s="3">
        <v>268</v>
      </c>
      <c r="AN228" s="3" t="str">
        <f>IFERROR(MID(VLOOKUP($B228,Seqs!$A:$B,2,0),AO228,1),"")</f>
        <v>P</v>
      </c>
      <c r="AO228" s="3">
        <v>297</v>
      </c>
      <c r="AP228" s="3" t="str">
        <f>IFERROR(MID(VLOOKUP($B228,Seqs!$A:$B,2,0),AQ228,1),"")</f>
        <v>I</v>
      </c>
      <c r="AQ228" s="3">
        <v>334</v>
      </c>
      <c r="AR228" s="3" t="str">
        <f>IFERROR(MID(VLOOKUP($B228,Seqs!$A:$B,2,0),AS228,1),"")</f>
        <v>T</v>
      </c>
      <c r="AS228" s="3">
        <v>340</v>
      </c>
      <c r="AT228" s="3" t="str">
        <f>IFERROR(MID(VLOOKUP($B228,Seqs!$A:$B,2,0),AU228,1),"")</f>
        <v>I</v>
      </c>
      <c r="AU228" s="3">
        <v>364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Neurotensin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238</v>
      </c>
      <c r="BD228" s="5" t="s">
        <v>1375</v>
      </c>
      <c r="BE228" s="3" t="s">
        <v>1291</v>
      </c>
      <c r="BF228" s="119">
        <v>3.3</v>
      </c>
      <c r="BG228" s="49" t="s">
        <v>1377</v>
      </c>
      <c r="BH228" s="49" t="s">
        <v>1377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>E228</f>
        <v>61</v>
      </c>
      <c r="BW228" s="71" t="str">
        <f>I228</f>
        <v>-</v>
      </c>
      <c r="BX228" s="72">
        <f>M228</f>
        <v>103</v>
      </c>
      <c r="BY228" s="71">
        <f>Q228</f>
        <v>134</v>
      </c>
      <c r="BZ228" s="72">
        <f>U228</f>
        <v>138</v>
      </c>
      <c r="CA228" s="71">
        <f>Y228</f>
        <v>174</v>
      </c>
      <c r="CB228" s="72">
        <f>AC228</f>
        <v>182</v>
      </c>
      <c r="CC228" s="71">
        <f>AG228</f>
        <v>225</v>
      </c>
      <c r="CD228" s="72">
        <f>AK228</f>
        <v>231</v>
      </c>
      <c r="CE228" s="71">
        <f>AO228</f>
        <v>297</v>
      </c>
      <c r="CF228" s="72">
        <f>AS228</f>
        <v>340</v>
      </c>
      <c r="CG228" s="71" t="str">
        <f>AW228</f>
        <v>-</v>
      </c>
      <c r="CH228" s="70">
        <f>G228</f>
        <v>88</v>
      </c>
      <c r="CI228" s="71" t="str">
        <f>K228</f>
        <v>-</v>
      </c>
      <c r="CJ228" s="72">
        <f>O228</f>
        <v>131</v>
      </c>
      <c r="CK228" s="72">
        <f>S228</f>
        <v>137</v>
      </c>
      <c r="CL228" s="72">
        <f>W228</f>
        <v>173</v>
      </c>
      <c r="CM228" s="72">
        <f>AA228</f>
        <v>181</v>
      </c>
      <c r="CN228" s="72">
        <f>AE228</f>
        <v>208</v>
      </c>
      <c r="CO228" s="72">
        <f>AI228</f>
        <v>227</v>
      </c>
      <c r="CP228" s="72">
        <f>AM228</f>
        <v>268</v>
      </c>
      <c r="CQ228" s="72">
        <f>AQ228</f>
        <v>334</v>
      </c>
      <c r="CR228" s="72">
        <f>AU228</f>
        <v>364</v>
      </c>
      <c r="CS228" s="72" t="str">
        <f>AY228</f>
        <v>-</v>
      </c>
      <c r="CT228" s="23" t="e">
        <f>M228-K228</f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1061"/>
        <v>oprd_human__wt</v>
      </c>
      <c r="B229" s="3" t="s">
        <v>335</v>
      </c>
      <c r="C229" s="3" t="s">
        <v>100</v>
      </c>
      <c r="D229" s="3" t="str">
        <f>IFERROR(MID(VLOOKUP($B229,Seqs!$A:$B,2,0),E229,1),"")</f>
        <v>G</v>
      </c>
      <c r="E229" s="3">
        <v>39</v>
      </c>
      <c r="F229" s="3" t="str">
        <f>IFERROR(MID(VLOOKUP($B229,Seqs!$A:$B,2,0),G229,1),"")</f>
        <v>Y</v>
      </c>
      <c r="G229" s="3">
        <v>77</v>
      </c>
      <c r="H229" s="3" t="str">
        <f>IFERROR(MID(VLOOKUP($B229,Seqs!$A:$B,2,0),I229,1),"")</f>
        <v>T</v>
      </c>
      <c r="I229" s="23">
        <v>78</v>
      </c>
      <c r="J229" s="3" t="str">
        <f>IFERROR(MID(VLOOKUP($B229,Seqs!$A:$B,2,0),K229,1),"")</f>
        <v>K</v>
      </c>
      <c r="K229" s="23">
        <v>81</v>
      </c>
      <c r="L229" s="3" t="str">
        <f>IFERROR(MID(VLOOKUP($B229,Seqs!$A:$B,2,0),M229,1),"")</f>
        <v>T</v>
      </c>
      <c r="M229" s="3">
        <v>82</v>
      </c>
      <c r="N229" s="3" t="str">
        <f>IFERROR(MID(VLOOKUP($B229,Seqs!$A:$B,2,0),O229,1),"")</f>
        <v>M</v>
      </c>
      <c r="O229" s="3">
        <v>111</v>
      </c>
      <c r="P229" s="3" t="str">
        <f>IFERROR(MID(VLOOKUP($B229,Seqs!$A:$B,2,0),Q229,1),"")</f>
        <v>T</v>
      </c>
      <c r="Q229" s="3">
        <v>113</v>
      </c>
      <c r="R229" s="3" t="str">
        <f>IFERROR(MID(VLOOKUP($B229,Seqs!$A:$B,2,0),S229,1),"")</f>
        <v>F</v>
      </c>
      <c r="S229" s="3">
        <v>116</v>
      </c>
      <c r="T229" s="3" t="str">
        <f>IFERROR(MID(VLOOKUP($B229,Seqs!$A:$B,2,0),U229,1),"")</f>
        <v>G</v>
      </c>
      <c r="U229" s="3">
        <v>117</v>
      </c>
      <c r="V229" s="3" t="str">
        <f>IFERROR(MID(VLOOKUP($B229,Seqs!$A:$B,2,0),W229,1),"")</f>
        <v>H</v>
      </c>
      <c r="W229" s="3">
        <v>152</v>
      </c>
      <c r="X229" s="3" t="str">
        <f>IFERROR(MID(VLOOKUP($B229,Seqs!$A:$B,2,0),Y229,1),"")</f>
        <v>P</v>
      </c>
      <c r="Y229" s="3">
        <v>153</v>
      </c>
      <c r="Z229" s="3" t="str">
        <f>IFERROR(MID(VLOOKUP($B229,Seqs!$A:$B,2,0),AA229,1),"")</f>
        <v>R</v>
      </c>
      <c r="AA229" s="3">
        <v>160</v>
      </c>
      <c r="AB229" s="3" t="str">
        <f>IFERROR(MID(VLOOKUP($B229,Seqs!$A:$B,2,0),AC229,1),"")</f>
        <v>T</v>
      </c>
      <c r="AC229" s="9">
        <v>161</v>
      </c>
      <c r="AD229" s="3" t="str">
        <f>IFERROR(MID(VLOOKUP($B229,Seqs!$A:$B,2,0),AE229,1),"")</f>
        <v>A</v>
      </c>
      <c r="AE229" s="3">
        <v>187</v>
      </c>
      <c r="AF229" s="3" t="str">
        <f>IFERROR(MID(VLOOKUP($B229,Seqs!$A:$B,2,0),AG229,1),"")</f>
        <v>C</v>
      </c>
      <c r="AG229" s="3">
        <v>198</v>
      </c>
      <c r="AH229" s="3" t="str">
        <f>IFERROR(MID(VLOOKUP($B229,Seqs!$A:$B,2,0),AI229,1),"")</f>
        <v>L</v>
      </c>
      <c r="AI229" s="3">
        <v>200</v>
      </c>
      <c r="AJ229" s="3" t="str">
        <f>IFERROR(MID(VLOOKUP($B229,Seqs!$A:$B,2,0),AK229,1),"")</f>
        <v>S</v>
      </c>
      <c r="AK229" s="3">
        <v>206</v>
      </c>
      <c r="AL229" s="3" t="str">
        <f>IFERROR(MID(VLOOKUP($B229,Seqs!$A:$B,2,0),AM229,1),"")</f>
        <v>V</v>
      </c>
      <c r="AM229" s="3">
        <v>243</v>
      </c>
      <c r="AN229" s="3" t="str">
        <f>IFERROR(MID(VLOOKUP($B229,Seqs!$A:$B,2,0),AO229,1),"")</f>
        <v>S</v>
      </c>
      <c r="AO229" s="3">
        <v>249</v>
      </c>
      <c r="AP229" s="3" t="str">
        <f>IFERROR(MID(VLOOKUP($B229,Seqs!$A:$B,2,0),AQ229,1),"")</f>
        <v>V</v>
      </c>
      <c r="AQ229" s="3">
        <v>287</v>
      </c>
      <c r="AR229" s="3" t="str">
        <f>IFERROR(MID(VLOOKUP($B229,Seqs!$A:$B,2,0),AS229,1),"")</f>
        <v>D</v>
      </c>
      <c r="AS229" s="3">
        <v>293</v>
      </c>
      <c r="AT229" s="3" t="str">
        <f>IFERROR(MID(VLOOKUP($B229,Seqs!$A:$B,2,0),AU229,1),"")</f>
        <v>L</v>
      </c>
      <c r="AU229" s="3">
        <v>321</v>
      </c>
      <c r="AV229" s="3" t="str">
        <f>IFERROR(MID(VLOOKUP($B229,Seqs!$A:$B,2,0),AW229,1),"")</f>
        <v>D</v>
      </c>
      <c r="AW229" s="3">
        <v>322</v>
      </c>
      <c r="AX229" s="3" t="str">
        <f>IFERROR(MID(VLOOKUP($B229,Seqs!$A:$B,2,0),AY229,1),"")</f>
        <v>K</v>
      </c>
      <c r="AY229" s="3">
        <v>335</v>
      </c>
      <c r="AZ229" s="77" t="str">
        <f>VLOOKUP(B229,Classification!A:D,2,0)</f>
        <v>A</v>
      </c>
      <c r="BA229" s="94" t="str">
        <f>VLOOKUP(B229,Classification!A:D,4,0)</f>
        <v>Opioid</v>
      </c>
      <c r="BB229" s="27" t="b">
        <f t="shared" si="1062"/>
        <v>1</v>
      </c>
      <c r="BC229" s="23">
        <f t="shared" si="1035"/>
        <v>271</v>
      </c>
      <c r="BD229" s="56" t="s">
        <v>23</v>
      </c>
      <c r="BE229" s="3" t="s">
        <v>23</v>
      </c>
      <c r="BF229" s="119" t="s">
        <v>23</v>
      </c>
      <c r="BG229" s="49" t="s">
        <v>1372</v>
      </c>
      <c r="BH229" s="49" t="s">
        <v>1377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 t="shared" si="1036"/>
        <v>39</v>
      </c>
      <c r="BW229" s="71">
        <f t="shared" si="1037"/>
        <v>78</v>
      </c>
      <c r="BX229" s="72">
        <f t="shared" si="1038"/>
        <v>82</v>
      </c>
      <c r="BY229" s="71">
        <f t="shared" si="1039"/>
        <v>113</v>
      </c>
      <c r="BZ229" s="72">
        <f t="shared" si="1040"/>
        <v>117</v>
      </c>
      <c r="CA229" s="71">
        <f t="shared" si="1041"/>
        <v>153</v>
      </c>
      <c r="CB229" s="72">
        <f t="shared" si="1042"/>
        <v>161</v>
      </c>
      <c r="CC229" s="71">
        <f t="shared" si="1043"/>
        <v>198</v>
      </c>
      <c r="CD229" s="72">
        <f t="shared" si="1044"/>
        <v>206</v>
      </c>
      <c r="CE229" s="71">
        <f t="shared" si="1045"/>
        <v>249</v>
      </c>
      <c r="CF229" s="72">
        <f t="shared" si="1046"/>
        <v>293</v>
      </c>
      <c r="CG229" s="71">
        <f t="shared" si="1047"/>
        <v>322</v>
      </c>
      <c r="CH229" s="70">
        <f t="shared" si="1048"/>
        <v>77</v>
      </c>
      <c r="CI229" s="71">
        <f t="shared" si="1049"/>
        <v>81</v>
      </c>
      <c r="CJ229" s="72">
        <f t="shared" si="1050"/>
        <v>111</v>
      </c>
      <c r="CK229" s="72">
        <f t="shared" si="1051"/>
        <v>116</v>
      </c>
      <c r="CL229" s="72">
        <f t="shared" si="1052"/>
        <v>152</v>
      </c>
      <c r="CM229" s="72">
        <f t="shared" si="1053"/>
        <v>160</v>
      </c>
      <c r="CN229" s="72">
        <f t="shared" si="1054"/>
        <v>187</v>
      </c>
      <c r="CO229" s="72">
        <f t="shared" si="1055"/>
        <v>200</v>
      </c>
      <c r="CP229" s="72">
        <f t="shared" si="1056"/>
        <v>243</v>
      </c>
      <c r="CQ229" s="72">
        <f t="shared" si="1057"/>
        <v>287</v>
      </c>
      <c r="CR229" s="72">
        <f t="shared" si="1058"/>
        <v>321</v>
      </c>
      <c r="CS229" s="72">
        <f t="shared" si="1059"/>
        <v>335</v>
      </c>
      <c r="CT229" s="23">
        <f t="shared" si="1060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1061"/>
        <v>oprd_human_4N6H</v>
      </c>
      <c r="B230" s="3" t="s">
        <v>335</v>
      </c>
      <c r="C230" s="3" t="s">
        <v>87</v>
      </c>
      <c r="D230" s="3" t="str">
        <f>IFERROR(MID(VLOOKUP($B230,Seqs!$A:$B,2,0),E230,1),"")</f>
        <v>G</v>
      </c>
      <c r="E230" s="3">
        <v>39</v>
      </c>
      <c r="F230" s="3" t="str">
        <f>IFERROR(MID(VLOOKUP($B230,Seqs!$A:$B,2,0),G230,1),"")</f>
        <v>Y</v>
      </c>
      <c r="G230" s="3">
        <v>77</v>
      </c>
      <c r="H230" s="3" t="str">
        <f>IFERROR(MID(VLOOKUP($B230,Seqs!$A:$B,2,0),I230,1),"")</f>
        <v>T</v>
      </c>
      <c r="I230" s="23">
        <v>78</v>
      </c>
      <c r="J230" s="3" t="str">
        <f>IFERROR(MID(VLOOKUP($B230,Seqs!$A:$B,2,0),K230,1),"")</f>
        <v>K</v>
      </c>
      <c r="K230" s="23">
        <v>81</v>
      </c>
      <c r="L230" s="3" t="str">
        <f>IFERROR(MID(VLOOKUP($B230,Seqs!$A:$B,2,0),M230,1),"")</f>
        <v>T</v>
      </c>
      <c r="M230" s="3">
        <v>82</v>
      </c>
      <c r="N230" s="3" t="str">
        <f>IFERROR(MID(VLOOKUP($B230,Seqs!$A:$B,2,0),O230,1),"")</f>
        <v>M</v>
      </c>
      <c r="O230" s="3">
        <v>111</v>
      </c>
      <c r="P230" s="3" t="str">
        <f>IFERROR(MID(VLOOKUP($B230,Seqs!$A:$B,2,0),Q230,1),"")</f>
        <v>T</v>
      </c>
      <c r="Q230" s="3">
        <v>113</v>
      </c>
      <c r="R230" s="3" t="str">
        <f>IFERROR(MID(VLOOKUP($B230,Seqs!$A:$B,2,0),S230,1),"")</f>
        <v>F</v>
      </c>
      <c r="S230" s="3">
        <v>116</v>
      </c>
      <c r="T230" s="3" t="str">
        <f>IFERROR(MID(VLOOKUP($B230,Seqs!$A:$B,2,0),U230,1),"")</f>
        <v>G</v>
      </c>
      <c r="U230" s="3">
        <v>117</v>
      </c>
      <c r="V230" s="3" t="str">
        <f>IFERROR(MID(VLOOKUP($B230,Seqs!$A:$B,2,0),W230,1),"")</f>
        <v>H</v>
      </c>
      <c r="W230" s="3">
        <v>152</v>
      </c>
      <c r="X230" s="3" t="str">
        <f>IFERROR(MID(VLOOKUP($B230,Seqs!$A:$B,2,0),Y230,1),"")</f>
        <v>P</v>
      </c>
      <c r="Y230" s="3">
        <v>153</v>
      </c>
      <c r="Z230" s="3" t="str">
        <f>IFERROR(MID(VLOOKUP($B230,Seqs!$A:$B,2,0),AA230,1),"")</f>
        <v>R</v>
      </c>
      <c r="AA230" s="3">
        <v>160</v>
      </c>
      <c r="AB230" s="3" t="str">
        <f>IFERROR(MID(VLOOKUP($B230,Seqs!$A:$B,2,0),AC230,1),"")</f>
        <v>T</v>
      </c>
      <c r="AC230" s="9">
        <v>161</v>
      </c>
      <c r="AD230" s="3" t="str">
        <f>IFERROR(MID(VLOOKUP($B230,Seqs!$A:$B,2,0),AE230,1),"")</f>
        <v>A</v>
      </c>
      <c r="AE230" s="3">
        <v>187</v>
      </c>
      <c r="AF230" s="3" t="str">
        <f>IFERROR(MID(VLOOKUP($B230,Seqs!$A:$B,2,0),AG230,1),"")</f>
        <v>C</v>
      </c>
      <c r="AG230" s="3">
        <v>198</v>
      </c>
      <c r="AH230" s="3" t="str">
        <f>IFERROR(MID(VLOOKUP($B230,Seqs!$A:$B,2,0),AI230,1),"")</f>
        <v>L</v>
      </c>
      <c r="AI230" s="3">
        <v>200</v>
      </c>
      <c r="AJ230" s="3" t="str">
        <f>IFERROR(MID(VLOOKUP($B230,Seqs!$A:$B,2,0),AK230,1),"")</f>
        <v>S</v>
      </c>
      <c r="AK230" s="3">
        <v>206</v>
      </c>
      <c r="AL230" s="3" t="str">
        <f>IFERROR(MID(VLOOKUP($B230,Seqs!$A:$B,2,0),AM230,1),"")</f>
        <v>V</v>
      </c>
      <c r="AM230" s="3">
        <v>243</v>
      </c>
      <c r="AN230" s="3" t="str">
        <f>IFERROR(MID(VLOOKUP($B230,Seqs!$A:$B,2,0),AO230,1),"")</f>
        <v>S</v>
      </c>
      <c r="AO230" s="3">
        <v>249</v>
      </c>
      <c r="AP230" s="3" t="str">
        <f>IFERROR(MID(VLOOKUP($B230,Seqs!$A:$B,2,0),AQ230,1),"")</f>
        <v>V</v>
      </c>
      <c r="AQ230" s="3">
        <v>287</v>
      </c>
      <c r="AR230" s="3" t="str">
        <f>IFERROR(MID(VLOOKUP($B230,Seqs!$A:$B,2,0),AS230,1),"")</f>
        <v>D</v>
      </c>
      <c r="AS230" s="3">
        <v>293</v>
      </c>
      <c r="AT230" s="3" t="str">
        <f>IFERROR(MID(VLOOKUP($B230,Seqs!$A:$B,2,0),AU230,1),"")</f>
        <v>L</v>
      </c>
      <c r="AU230" s="3">
        <v>321</v>
      </c>
      <c r="AV230" s="3" t="str">
        <f>IFERROR(MID(VLOOKUP($B230,Seqs!$A:$B,2,0),AW230,1),"")</f>
        <v>D</v>
      </c>
      <c r="AW230" s="3">
        <v>322</v>
      </c>
      <c r="AX230" s="3" t="str">
        <f>IFERROR(MID(VLOOKUP($B230,Seqs!$A:$B,2,0),AY230,1),"")</f>
        <v>K</v>
      </c>
      <c r="AY230" s="3">
        <v>335</v>
      </c>
      <c r="AZ230" s="77" t="str">
        <f>VLOOKUP(B230,Classification!A:D,2,0)</f>
        <v>A</v>
      </c>
      <c r="BA230" s="94" t="str">
        <f>VLOOKUP(B230,Classification!A:D,4,0)</f>
        <v>Opioid</v>
      </c>
      <c r="BB230" s="27" t="b">
        <f t="shared" si="1062"/>
        <v>1</v>
      </c>
      <c r="BC230" s="23">
        <f t="shared" si="1035"/>
        <v>271</v>
      </c>
      <c r="BD230" s="16" t="s">
        <v>1376</v>
      </c>
      <c r="BE230" s="3" t="s">
        <v>1374</v>
      </c>
      <c r="BF230" s="119">
        <v>1.8</v>
      </c>
      <c r="BG230" s="49" t="s">
        <v>1377</v>
      </c>
      <c r="BH230" s="49" t="s">
        <v>1377</v>
      </c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 t="shared" si="1036"/>
        <v>39</v>
      </c>
      <c r="BW230" s="71">
        <f t="shared" si="1037"/>
        <v>78</v>
      </c>
      <c r="BX230" s="72">
        <f t="shared" si="1038"/>
        <v>82</v>
      </c>
      <c r="BY230" s="71">
        <f t="shared" si="1039"/>
        <v>113</v>
      </c>
      <c r="BZ230" s="72">
        <f t="shared" si="1040"/>
        <v>117</v>
      </c>
      <c r="CA230" s="71">
        <f t="shared" si="1041"/>
        <v>153</v>
      </c>
      <c r="CB230" s="72">
        <f t="shared" si="1042"/>
        <v>161</v>
      </c>
      <c r="CC230" s="71">
        <f t="shared" si="1043"/>
        <v>198</v>
      </c>
      <c r="CD230" s="72">
        <f t="shared" si="1044"/>
        <v>206</v>
      </c>
      <c r="CE230" s="71">
        <f t="shared" si="1045"/>
        <v>249</v>
      </c>
      <c r="CF230" s="72">
        <f t="shared" si="1046"/>
        <v>293</v>
      </c>
      <c r="CG230" s="71">
        <f t="shared" si="1047"/>
        <v>322</v>
      </c>
      <c r="CH230" s="70">
        <f t="shared" si="1048"/>
        <v>77</v>
      </c>
      <c r="CI230" s="71">
        <f t="shared" si="1049"/>
        <v>81</v>
      </c>
      <c r="CJ230" s="72">
        <f t="shared" si="1050"/>
        <v>111</v>
      </c>
      <c r="CK230" s="72">
        <f t="shared" si="1051"/>
        <v>116</v>
      </c>
      <c r="CL230" s="72">
        <f t="shared" si="1052"/>
        <v>152</v>
      </c>
      <c r="CM230" s="72">
        <f t="shared" si="1053"/>
        <v>160</v>
      </c>
      <c r="CN230" s="72">
        <f t="shared" si="1054"/>
        <v>187</v>
      </c>
      <c r="CO230" s="72">
        <f t="shared" si="1055"/>
        <v>200</v>
      </c>
      <c r="CP230" s="72">
        <f t="shared" si="1056"/>
        <v>243</v>
      </c>
      <c r="CQ230" s="72">
        <f t="shared" si="1057"/>
        <v>287</v>
      </c>
      <c r="CR230" s="72">
        <f t="shared" si="1058"/>
        <v>321</v>
      </c>
      <c r="CS230" s="72">
        <f t="shared" si="1059"/>
        <v>335</v>
      </c>
      <c r="CT230" s="23">
        <f t="shared" si="1060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s="2" customFormat="1" x14ac:dyDescent="0.2">
      <c r="A231" s="3" t="str">
        <f t="shared" si="1061"/>
        <v>oprd_human_4RWD</v>
      </c>
      <c r="B231" s="1" t="s">
        <v>335</v>
      </c>
      <c r="C231" s="1" t="s">
        <v>1338</v>
      </c>
      <c r="D231" s="3" t="str">
        <f>IFERROR(MID(VLOOKUP($B231,Seqs!$A:$B,2,0),E231,1),"")</f>
        <v>A</v>
      </c>
      <c r="E231" s="3">
        <v>43</v>
      </c>
      <c r="F231" s="3" t="str">
        <f>IFERROR(MID(VLOOKUP($B231,Seqs!$A:$B,2,0),G231,1),"")</f>
        <v>Y</v>
      </c>
      <c r="G231" s="3">
        <v>77</v>
      </c>
      <c r="H231" s="3" t="str">
        <f>IFERROR(MID(VLOOKUP($B231,Seqs!$A:$B,2,0),I231,1),"")</f>
        <v>T</v>
      </c>
      <c r="I231" s="23">
        <v>78</v>
      </c>
      <c r="J231" s="3" t="str">
        <f>IFERROR(MID(VLOOKUP($B231,Seqs!$A:$B,2,0),K231,1),"")</f>
        <v>K</v>
      </c>
      <c r="K231" s="23">
        <v>81</v>
      </c>
      <c r="L231" s="3" t="str">
        <f>IFERROR(MID(VLOOKUP($B231,Seqs!$A:$B,2,0),M231,1),"")</f>
        <v>T</v>
      </c>
      <c r="M231" s="3">
        <v>82</v>
      </c>
      <c r="N231" s="3" t="str">
        <f>IFERROR(MID(VLOOKUP($B231,Seqs!$A:$B,2,0),O231,1),"")</f>
        <v>M</v>
      </c>
      <c r="O231" s="3">
        <v>111</v>
      </c>
      <c r="P231" s="3" t="str">
        <f>IFERROR(MID(VLOOKUP($B231,Seqs!$A:$B,2,0),Q231,1),"")</f>
        <v>T</v>
      </c>
      <c r="Q231" s="3">
        <v>113</v>
      </c>
      <c r="R231" s="3" t="str">
        <f>IFERROR(MID(VLOOKUP($B231,Seqs!$A:$B,2,0),S231,1),"")</f>
        <v>F</v>
      </c>
      <c r="S231" s="3">
        <v>116</v>
      </c>
      <c r="T231" s="3" t="str">
        <f>IFERROR(MID(VLOOKUP($B231,Seqs!$A:$B,2,0),U231,1),"")</f>
        <v>G</v>
      </c>
      <c r="U231" s="3">
        <v>117</v>
      </c>
      <c r="V231" s="3" t="str">
        <f>IFERROR(MID(VLOOKUP($B231,Seqs!$A:$B,2,0),W231,1),"")</f>
        <v>H</v>
      </c>
      <c r="W231" s="3">
        <v>152</v>
      </c>
      <c r="X231" s="3" t="str">
        <f>IFERROR(MID(VLOOKUP($B231,Seqs!$A:$B,2,0),Y231,1),"")</f>
        <v>P</v>
      </c>
      <c r="Y231" s="3">
        <v>153</v>
      </c>
      <c r="Z231" s="3" t="str">
        <f>IFERROR(MID(VLOOKUP($B231,Seqs!$A:$B,2,0),AA231,1),"")</f>
        <v>R</v>
      </c>
      <c r="AA231" s="3">
        <v>160</v>
      </c>
      <c r="AB231" s="3" t="str">
        <f>IFERROR(MID(VLOOKUP($B231,Seqs!$A:$B,2,0),AC231,1),"")</f>
        <v>T</v>
      </c>
      <c r="AC231" s="9">
        <v>161</v>
      </c>
      <c r="AD231" s="3" t="str">
        <f>IFERROR(MID(VLOOKUP($B231,Seqs!$A:$B,2,0),AE231,1),"")</f>
        <v>A</v>
      </c>
      <c r="AE231" s="3">
        <v>187</v>
      </c>
      <c r="AF231" s="3" t="str">
        <f>IFERROR(MID(VLOOKUP($B231,Seqs!$A:$B,2,0),AG231,1),"")</f>
        <v>C</v>
      </c>
      <c r="AG231" s="3">
        <v>198</v>
      </c>
      <c r="AH231" s="3" t="str">
        <f>IFERROR(MID(VLOOKUP($B231,Seqs!$A:$B,2,0),AI231,1),"")</f>
        <v>L</v>
      </c>
      <c r="AI231" s="3">
        <v>200</v>
      </c>
      <c r="AJ231" s="3" t="str">
        <f>IFERROR(MID(VLOOKUP($B231,Seqs!$A:$B,2,0),AK231,1),"")</f>
        <v>S</v>
      </c>
      <c r="AK231" s="3">
        <v>206</v>
      </c>
      <c r="AL231" s="3" t="str">
        <f>IFERROR(MID(VLOOKUP($B231,Seqs!$A:$B,2,0),AM231,1),"")</f>
        <v>V</v>
      </c>
      <c r="AM231" s="3">
        <v>243</v>
      </c>
      <c r="AN231" s="3" t="str">
        <f>IFERROR(MID(VLOOKUP($B231,Seqs!$A:$B,2,0),AO231,1),"")</f>
        <v>S</v>
      </c>
      <c r="AO231" s="3">
        <v>249</v>
      </c>
      <c r="AP231" s="3" t="str">
        <f>IFERROR(MID(VLOOKUP($B231,Seqs!$A:$B,2,0),AQ231,1),"")</f>
        <v>V</v>
      </c>
      <c r="AQ231" s="3">
        <v>287</v>
      </c>
      <c r="AR231" s="3" t="str">
        <f>IFERROR(MID(VLOOKUP($B231,Seqs!$A:$B,2,0),AS231,1),"")</f>
        <v>D</v>
      </c>
      <c r="AS231" s="3">
        <v>293</v>
      </c>
      <c r="AT231" s="3" t="str">
        <f>IFERROR(MID(VLOOKUP($B231,Seqs!$A:$B,2,0),AU231,1),"")</f>
        <v>L</v>
      </c>
      <c r="AU231" s="3">
        <v>321</v>
      </c>
      <c r="AV231" s="3" t="str">
        <f>IFERROR(MID(VLOOKUP($B231,Seqs!$A:$B,2,0),AW231,1),"")</f>
        <v>D</v>
      </c>
      <c r="AW231" s="3">
        <v>322</v>
      </c>
      <c r="AX231" s="3" t="str">
        <f>IFERROR(MID(VLOOKUP($B231,Seqs!$A:$B,2,0),AY231,1),"")</f>
        <v>C</v>
      </c>
      <c r="AY231" s="3">
        <v>333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 t="shared" si="1062"/>
        <v>1</v>
      </c>
      <c r="BC231" s="23">
        <f t="shared" si="1035"/>
        <v>265</v>
      </c>
      <c r="BD231" s="16" t="s">
        <v>23</v>
      </c>
      <c r="BE231" s="3" t="s">
        <v>1374</v>
      </c>
      <c r="BF231" s="119">
        <v>2.7</v>
      </c>
      <c r="BG231" s="49" t="s">
        <v>1377</v>
      </c>
      <c r="BH231" s="49" t="s">
        <v>1377</v>
      </c>
      <c r="BI231" s="3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 t="shared" si="1036"/>
        <v>43</v>
      </c>
      <c r="BW231" s="71">
        <f t="shared" si="1037"/>
        <v>78</v>
      </c>
      <c r="BX231" s="72">
        <f t="shared" si="1038"/>
        <v>82</v>
      </c>
      <c r="BY231" s="71">
        <f t="shared" si="1039"/>
        <v>113</v>
      </c>
      <c r="BZ231" s="72">
        <f t="shared" si="1040"/>
        <v>117</v>
      </c>
      <c r="CA231" s="71">
        <f t="shared" si="1041"/>
        <v>153</v>
      </c>
      <c r="CB231" s="72">
        <f t="shared" si="1042"/>
        <v>161</v>
      </c>
      <c r="CC231" s="71">
        <f t="shared" si="1043"/>
        <v>198</v>
      </c>
      <c r="CD231" s="72">
        <f t="shared" si="1044"/>
        <v>206</v>
      </c>
      <c r="CE231" s="71">
        <f t="shared" si="1045"/>
        <v>249</v>
      </c>
      <c r="CF231" s="72">
        <f t="shared" si="1046"/>
        <v>293</v>
      </c>
      <c r="CG231" s="71">
        <f t="shared" si="1047"/>
        <v>322</v>
      </c>
      <c r="CH231" s="70">
        <f t="shared" si="1048"/>
        <v>77</v>
      </c>
      <c r="CI231" s="71">
        <f t="shared" si="1049"/>
        <v>81</v>
      </c>
      <c r="CJ231" s="72">
        <f t="shared" si="1050"/>
        <v>111</v>
      </c>
      <c r="CK231" s="72">
        <f t="shared" si="1051"/>
        <v>116</v>
      </c>
      <c r="CL231" s="72">
        <f t="shared" si="1052"/>
        <v>152</v>
      </c>
      <c r="CM231" s="72">
        <f t="shared" si="1053"/>
        <v>160</v>
      </c>
      <c r="CN231" s="72">
        <f t="shared" si="1054"/>
        <v>187</v>
      </c>
      <c r="CO231" s="72">
        <f t="shared" si="1055"/>
        <v>200</v>
      </c>
      <c r="CP231" s="72">
        <f t="shared" si="1056"/>
        <v>243</v>
      </c>
      <c r="CQ231" s="72">
        <f t="shared" si="1057"/>
        <v>287</v>
      </c>
      <c r="CR231" s="72">
        <f t="shared" si="1058"/>
        <v>321</v>
      </c>
      <c r="CS231" s="72">
        <f t="shared" si="1059"/>
        <v>333</v>
      </c>
      <c r="CT231" s="23">
        <f t="shared" si="1060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</row>
    <row r="232" spans="1:1030" s="2" customFormat="1" x14ac:dyDescent="0.2">
      <c r="A232" s="3" t="str">
        <f t="shared" si="1061"/>
        <v>oprd_mouse__wt</v>
      </c>
      <c r="B232" s="3" t="s">
        <v>915</v>
      </c>
      <c r="C232" s="3" t="s">
        <v>100</v>
      </c>
      <c r="D232" s="3" t="str">
        <f>IFERROR(MID(VLOOKUP($B232,Seqs!$A:$B,2,0),E232,1),"")</f>
        <v>R</v>
      </c>
      <c r="E232" s="3">
        <v>41</v>
      </c>
      <c r="F232" s="3" t="str">
        <f>IFERROR(MID(VLOOKUP($B232,Seqs!$A:$B,2,0),G232,1),"")</f>
        <v>Y</v>
      </c>
      <c r="G232" s="3">
        <v>77</v>
      </c>
      <c r="H232" s="3" t="str">
        <f>IFERROR(MID(VLOOKUP($B232,Seqs!$A:$B,2,0),I232,1),"")</f>
        <v>T</v>
      </c>
      <c r="I232" s="23">
        <v>78</v>
      </c>
      <c r="J232" s="3" t="str">
        <f>IFERROR(MID(VLOOKUP($B232,Seqs!$A:$B,2,0),K232,1),"")</f>
        <v>K</v>
      </c>
      <c r="K232" s="23">
        <v>81</v>
      </c>
      <c r="L232" s="3" t="str">
        <f>IFERROR(MID(VLOOKUP($B232,Seqs!$A:$B,2,0),M232,1),"")</f>
        <v>T</v>
      </c>
      <c r="M232" s="3">
        <v>82</v>
      </c>
      <c r="N232" s="3" t="str">
        <f>IFERROR(MID(VLOOKUP($B232,Seqs!$A:$B,2,0),O232,1),"")</f>
        <v>M</v>
      </c>
      <c r="O232" s="3">
        <v>111</v>
      </c>
      <c r="P232" s="3" t="str">
        <f>IFERROR(MID(VLOOKUP($B232,Seqs!$A:$B,2,0),Q232,1),"")</f>
        <v>T</v>
      </c>
      <c r="Q232" s="3">
        <v>113</v>
      </c>
      <c r="R232" s="3" t="str">
        <f>IFERROR(MID(VLOOKUP($B232,Seqs!$A:$B,2,0),S232,1),"")</f>
        <v>F</v>
      </c>
      <c r="S232" s="3">
        <v>116</v>
      </c>
      <c r="T232" s="3" t="str">
        <f>IFERROR(MID(VLOOKUP($B232,Seqs!$A:$B,2,0),U232,1),"")</f>
        <v>G</v>
      </c>
      <c r="U232" s="3">
        <v>117</v>
      </c>
      <c r="V232" s="3" t="str">
        <f>IFERROR(MID(VLOOKUP($B232,Seqs!$A:$B,2,0),W232,1),"")</f>
        <v>H</v>
      </c>
      <c r="W232" s="3">
        <v>152</v>
      </c>
      <c r="X232" s="3" t="str">
        <f>IFERROR(MID(VLOOKUP($B232,Seqs!$A:$B,2,0),Y232,1),"")</f>
        <v>P</v>
      </c>
      <c r="Y232" s="3">
        <v>153</v>
      </c>
      <c r="Z232" s="3" t="str">
        <f>IFERROR(MID(VLOOKUP($B232,Seqs!$A:$B,2,0),AA232,1),"")</f>
        <v>R</v>
      </c>
      <c r="AA232" s="3">
        <v>160</v>
      </c>
      <c r="AB232" s="3" t="str">
        <f>IFERROR(MID(VLOOKUP($B232,Seqs!$A:$B,2,0),AC232,1),"")</f>
        <v>T</v>
      </c>
      <c r="AC232" s="9">
        <v>161</v>
      </c>
      <c r="AD232" s="3" t="str">
        <f>IFERROR(MID(VLOOKUP($B232,Seqs!$A:$B,2,0),AE232,1),"")</f>
        <v>A</v>
      </c>
      <c r="AE232" s="3">
        <v>187</v>
      </c>
      <c r="AF232" s="3" t="str">
        <f>IFERROR(MID(VLOOKUP($B232,Seqs!$A:$B,2,0),AG232,1),"")</f>
        <v>C</v>
      </c>
      <c r="AG232" s="3">
        <v>198</v>
      </c>
      <c r="AH232" s="3" t="str">
        <f>IFERROR(MID(VLOOKUP($B232,Seqs!$A:$B,2,0),AI232,1),"")</f>
        <v>L</v>
      </c>
      <c r="AI232" s="3">
        <v>200</v>
      </c>
      <c r="AJ232" s="3" t="str">
        <f>IFERROR(MID(VLOOKUP($B232,Seqs!$A:$B,2,0),AK232,1),"")</f>
        <v>S</v>
      </c>
      <c r="AK232" s="3">
        <v>206</v>
      </c>
      <c r="AL232" s="3" t="str">
        <f>IFERROR(MID(VLOOKUP($B232,Seqs!$A:$B,2,0),AM232,1),"")</f>
        <v>V</v>
      </c>
      <c r="AM232" s="3">
        <v>243</v>
      </c>
      <c r="AN232" s="3" t="str">
        <f>IFERROR(MID(VLOOKUP($B232,Seqs!$A:$B,2,0),AO232,1),"")</f>
        <v>S</v>
      </c>
      <c r="AO232" s="3">
        <v>249</v>
      </c>
      <c r="AP232" s="3" t="str">
        <f>IFERROR(MID(VLOOKUP($B232,Seqs!$A:$B,2,0),AQ232,1),"")</f>
        <v>V</v>
      </c>
      <c r="AQ232" s="3">
        <v>287</v>
      </c>
      <c r="AR232" s="3" t="str">
        <f>IFERROR(MID(VLOOKUP($B232,Seqs!$A:$B,2,0),AS232,1),"")</f>
        <v>D</v>
      </c>
      <c r="AS232" s="3">
        <v>293</v>
      </c>
      <c r="AT232" s="3" t="str">
        <f>IFERROR(MID(VLOOKUP($B232,Seqs!$A:$B,2,0),AU232,1),"")</f>
        <v>L</v>
      </c>
      <c r="AU232" s="3">
        <v>321</v>
      </c>
      <c r="AV232" s="3" t="str">
        <f>IFERROR(MID(VLOOKUP($B232,Seqs!$A:$B,2,0),AW232,1),"")</f>
        <v>D</v>
      </c>
      <c r="AW232" s="3">
        <v>322</v>
      </c>
      <c r="AX232" s="3" t="str">
        <f>IFERROR(MID(VLOOKUP($B232,Seqs!$A:$B,2,0),AY232,1),"")</f>
        <v>T</v>
      </c>
      <c r="AY232" s="3">
        <v>335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62"/>
        <v>1</v>
      </c>
      <c r="BC232" s="23">
        <f t="shared" si="1035"/>
        <v>269</v>
      </c>
      <c r="BD232" s="56" t="s">
        <v>23</v>
      </c>
      <c r="BE232" s="3" t="s">
        <v>23</v>
      </c>
      <c r="BF232" s="119" t="s">
        <v>23</v>
      </c>
      <c r="BG232" s="49" t="s">
        <v>1372</v>
      </c>
      <c r="BH232" s="49" t="s">
        <v>1377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si="1036"/>
        <v>41</v>
      </c>
      <c r="BW232" s="71">
        <f t="shared" si="1037"/>
        <v>78</v>
      </c>
      <c r="BX232" s="72">
        <f t="shared" si="1038"/>
        <v>82</v>
      </c>
      <c r="BY232" s="71">
        <f t="shared" si="1039"/>
        <v>113</v>
      </c>
      <c r="BZ232" s="72">
        <f t="shared" si="1040"/>
        <v>117</v>
      </c>
      <c r="CA232" s="71">
        <f t="shared" si="1041"/>
        <v>153</v>
      </c>
      <c r="CB232" s="72">
        <f t="shared" si="1042"/>
        <v>161</v>
      </c>
      <c r="CC232" s="71">
        <f t="shared" si="1043"/>
        <v>198</v>
      </c>
      <c r="CD232" s="72">
        <f t="shared" si="1044"/>
        <v>206</v>
      </c>
      <c r="CE232" s="71">
        <f t="shared" si="1045"/>
        <v>249</v>
      </c>
      <c r="CF232" s="72">
        <f t="shared" si="1046"/>
        <v>293</v>
      </c>
      <c r="CG232" s="71">
        <f t="shared" si="1047"/>
        <v>322</v>
      </c>
      <c r="CH232" s="70">
        <f t="shared" si="1048"/>
        <v>77</v>
      </c>
      <c r="CI232" s="71">
        <f t="shared" si="1049"/>
        <v>81</v>
      </c>
      <c r="CJ232" s="72">
        <f t="shared" si="1050"/>
        <v>111</v>
      </c>
      <c r="CK232" s="72">
        <f t="shared" si="1051"/>
        <v>116</v>
      </c>
      <c r="CL232" s="72">
        <f t="shared" si="1052"/>
        <v>152</v>
      </c>
      <c r="CM232" s="72">
        <f t="shared" si="1053"/>
        <v>160</v>
      </c>
      <c r="CN232" s="72">
        <f t="shared" si="1054"/>
        <v>187</v>
      </c>
      <c r="CO232" s="72">
        <f t="shared" si="1055"/>
        <v>200</v>
      </c>
      <c r="CP232" s="72">
        <f t="shared" si="1056"/>
        <v>243</v>
      </c>
      <c r="CQ232" s="72">
        <f t="shared" si="1057"/>
        <v>287</v>
      </c>
      <c r="CR232" s="72">
        <f t="shared" si="1058"/>
        <v>321</v>
      </c>
      <c r="CS232" s="72">
        <f t="shared" si="1059"/>
        <v>335</v>
      </c>
      <c r="CT232" s="23">
        <f t="shared" si="1060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</row>
    <row r="233" spans="1:1030" s="2" customFormat="1" x14ac:dyDescent="0.2">
      <c r="A233" s="3" t="str">
        <f t="shared" si="1061"/>
        <v>oprd_mouse_4EJ4</v>
      </c>
      <c r="B233" s="3" t="s">
        <v>915</v>
      </c>
      <c r="C233" s="3" t="s">
        <v>64</v>
      </c>
      <c r="D233" s="3" t="str">
        <f>IFERROR(MID(VLOOKUP($B233,Seqs!$A:$B,2,0),E233,1),"")</f>
        <v>R</v>
      </c>
      <c r="E233" s="3">
        <v>41</v>
      </c>
      <c r="F233" s="3" t="str">
        <f>IFERROR(MID(VLOOKUP($B233,Seqs!$A:$B,2,0),G233,1),"")</f>
        <v>Y</v>
      </c>
      <c r="G233" s="3">
        <v>77</v>
      </c>
      <c r="H233" s="3" t="str">
        <f>IFERROR(MID(VLOOKUP($B233,Seqs!$A:$B,2,0),I233,1),"")</f>
        <v>T</v>
      </c>
      <c r="I233" s="23">
        <v>78</v>
      </c>
      <c r="J233" s="3" t="str">
        <f>IFERROR(MID(VLOOKUP($B233,Seqs!$A:$B,2,0),K233,1),"")</f>
        <v>K</v>
      </c>
      <c r="K233" s="23">
        <v>81</v>
      </c>
      <c r="L233" s="3" t="str">
        <f>IFERROR(MID(VLOOKUP($B233,Seqs!$A:$B,2,0),M233,1),"")</f>
        <v>T</v>
      </c>
      <c r="M233" s="3">
        <v>82</v>
      </c>
      <c r="N233" s="3" t="str">
        <f>IFERROR(MID(VLOOKUP($B233,Seqs!$A:$B,2,0),O233,1),"")</f>
        <v>M</v>
      </c>
      <c r="O233" s="3">
        <v>111</v>
      </c>
      <c r="P233" s="3" t="str">
        <f>IFERROR(MID(VLOOKUP($B233,Seqs!$A:$B,2,0),Q233,1),"")</f>
        <v>T</v>
      </c>
      <c r="Q233" s="3">
        <v>113</v>
      </c>
      <c r="R233" s="3" t="str">
        <f>IFERROR(MID(VLOOKUP($B233,Seqs!$A:$B,2,0),S233,1),"")</f>
        <v>F</v>
      </c>
      <c r="S233" s="3">
        <v>116</v>
      </c>
      <c r="T233" s="3" t="str">
        <f>IFERROR(MID(VLOOKUP($B233,Seqs!$A:$B,2,0),U233,1),"")</f>
        <v>G</v>
      </c>
      <c r="U233" s="3">
        <v>117</v>
      </c>
      <c r="V233" s="3" t="str">
        <f>IFERROR(MID(VLOOKUP($B233,Seqs!$A:$B,2,0),W233,1),"")</f>
        <v>H</v>
      </c>
      <c r="W233" s="3">
        <v>152</v>
      </c>
      <c r="X233" s="3" t="str">
        <f>IFERROR(MID(VLOOKUP($B233,Seqs!$A:$B,2,0),Y233,1),"")</f>
        <v>P</v>
      </c>
      <c r="Y233" s="3">
        <v>153</v>
      </c>
      <c r="Z233" s="3" t="str">
        <f>IFERROR(MID(VLOOKUP($B233,Seqs!$A:$B,2,0),AA233,1),"")</f>
        <v>R</v>
      </c>
      <c r="AA233" s="3">
        <v>160</v>
      </c>
      <c r="AB233" s="3" t="str">
        <f>IFERROR(MID(VLOOKUP($B233,Seqs!$A:$B,2,0),AC233,1),"")</f>
        <v>T</v>
      </c>
      <c r="AC233" s="9">
        <v>161</v>
      </c>
      <c r="AD233" s="3" t="str">
        <f>IFERROR(MID(VLOOKUP($B233,Seqs!$A:$B,2,0),AE233,1),"")</f>
        <v>A</v>
      </c>
      <c r="AE233" s="3">
        <v>187</v>
      </c>
      <c r="AF233" s="3" t="str">
        <f>IFERROR(MID(VLOOKUP($B233,Seqs!$A:$B,2,0),AG233,1),"")</f>
        <v>C</v>
      </c>
      <c r="AG233" s="3">
        <v>198</v>
      </c>
      <c r="AH233" s="3" t="str">
        <f>IFERROR(MID(VLOOKUP($B233,Seqs!$A:$B,2,0),AI233,1),"")</f>
        <v>L</v>
      </c>
      <c r="AI233" s="3">
        <v>200</v>
      </c>
      <c r="AJ233" s="3" t="str">
        <f>IFERROR(MID(VLOOKUP($B233,Seqs!$A:$B,2,0),AK233,1),"")</f>
        <v>S</v>
      </c>
      <c r="AK233" s="3">
        <v>206</v>
      </c>
      <c r="AL233" s="3" t="str">
        <f>IFERROR(MID(VLOOKUP($B233,Seqs!$A:$B,2,0),AM233,1),"")</f>
        <v>L</v>
      </c>
      <c r="AM233" s="3">
        <v>238</v>
      </c>
      <c r="AN233" s="3" t="str">
        <f>IFERROR(MID(VLOOKUP($B233,Seqs!$A:$B,2,0),AO233,1),"")</f>
        <v>R</v>
      </c>
      <c r="AO233" s="3">
        <v>258</v>
      </c>
      <c r="AP233" s="3" t="str">
        <f>IFERROR(MID(VLOOKUP($B233,Seqs!$A:$B,2,0),AQ233,1),"")</f>
        <v>V</v>
      </c>
      <c r="AQ233" s="3">
        <v>287</v>
      </c>
      <c r="AR233" s="3" t="str">
        <f>IFERROR(MID(VLOOKUP($B233,Seqs!$A:$B,2,0),AS233,1),"")</f>
        <v>D</v>
      </c>
      <c r="AS233" s="3">
        <v>293</v>
      </c>
      <c r="AT233" s="3" t="str">
        <f>IFERROR(MID(VLOOKUP($B233,Seqs!$A:$B,2,0),AU233,1),"")</f>
        <v>L</v>
      </c>
      <c r="AU233" s="3">
        <v>321</v>
      </c>
      <c r="AV233" s="3" t="str">
        <f>IFERROR(MID(VLOOKUP($B233,Seqs!$A:$B,2,0),AW233,1),"")</f>
        <v>D</v>
      </c>
      <c r="AW233" s="3">
        <v>322</v>
      </c>
      <c r="AX233" s="3" t="str">
        <f>IFERROR(MID(VLOOKUP($B233,Seqs!$A:$B,2,0),AY233,1),"")</f>
        <v>C</v>
      </c>
      <c r="AY233" s="3">
        <v>328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 t="shared" si="1062"/>
        <v>1</v>
      </c>
      <c r="BC233" s="23">
        <f t="shared" si="1035"/>
        <v>248</v>
      </c>
      <c r="BD233" s="2" t="s">
        <v>1376</v>
      </c>
      <c r="BE233" s="3" t="s">
        <v>1374</v>
      </c>
      <c r="BF233" s="119">
        <v>3.4</v>
      </c>
      <c r="BG233" s="49" t="s">
        <v>1377</v>
      </c>
      <c r="BH233" s="49" t="s">
        <v>1377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si="1036"/>
        <v>41</v>
      </c>
      <c r="BW233" s="71">
        <f t="shared" si="1037"/>
        <v>78</v>
      </c>
      <c r="BX233" s="72">
        <f t="shared" si="1038"/>
        <v>82</v>
      </c>
      <c r="BY233" s="71">
        <f t="shared" si="1039"/>
        <v>113</v>
      </c>
      <c r="BZ233" s="72">
        <f t="shared" si="1040"/>
        <v>117</v>
      </c>
      <c r="CA233" s="71">
        <f t="shared" si="1041"/>
        <v>153</v>
      </c>
      <c r="CB233" s="72">
        <f t="shared" si="1042"/>
        <v>161</v>
      </c>
      <c r="CC233" s="71">
        <f t="shared" si="1043"/>
        <v>198</v>
      </c>
      <c r="CD233" s="72">
        <f t="shared" si="1044"/>
        <v>206</v>
      </c>
      <c r="CE233" s="71">
        <f t="shared" si="1045"/>
        <v>258</v>
      </c>
      <c r="CF233" s="72">
        <f t="shared" si="1046"/>
        <v>293</v>
      </c>
      <c r="CG233" s="71">
        <f t="shared" si="1047"/>
        <v>322</v>
      </c>
      <c r="CH233" s="70">
        <f t="shared" si="1048"/>
        <v>77</v>
      </c>
      <c r="CI233" s="71">
        <f t="shared" si="1049"/>
        <v>81</v>
      </c>
      <c r="CJ233" s="72">
        <f t="shared" si="1050"/>
        <v>111</v>
      </c>
      <c r="CK233" s="72">
        <f t="shared" si="1051"/>
        <v>116</v>
      </c>
      <c r="CL233" s="72">
        <f t="shared" si="1052"/>
        <v>152</v>
      </c>
      <c r="CM233" s="72">
        <f t="shared" si="1053"/>
        <v>160</v>
      </c>
      <c r="CN233" s="72">
        <f t="shared" si="1054"/>
        <v>187</v>
      </c>
      <c r="CO233" s="72">
        <f t="shared" si="1055"/>
        <v>200</v>
      </c>
      <c r="CP233" s="72">
        <f t="shared" si="1056"/>
        <v>238</v>
      </c>
      <c r="CQ233" s="72">
        <f t="shared" si="1057"/>
        <v>287</v>
      </c>
      <c r="CR233" s="72">
        <f t="shared" si="1058"/>
        <v>321</v>
      </c>
      <c r="CS233" s="72">
        <f t="shared" si="1059"/>
        <v>328</v>
      </c>
      <c r="CT233" s="23">
        <f t="shared" si="106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</row>
    <row r="234" spans="1:1030" x14ac:dyDescent="0.2">
      <c r="A234" s="3" t="str">
        <f t="shared" si="1061"/>
        <v>oprk_human__wt</v>
      </c>
      <c r="B234" s="3" t="s">
        <v>336</v>
      </c>
      <c r="C234" s="3" t="s">
        <v>100</v>
      </c>
      <c r="D234" s="3" t="str">
        <f>IFERROR(MID(VLOOKUP($B234,Seqs!$A:$B,2,0),E234,1),"")</f>
        <v>A</v>
      </c>
      <c r="E234" s="3">
        <v>57</v>
      </c>
      <c r="F234" s="3" t="str">
        <f>IFERROR(MID(VLOOKUP($B234,Seqs!$A:$B,2,0),G234,1),"")</f>
        <v>Y</v>
      </c>
      <c r="G234" s="3">
        <v>87</v>
      </c>
      <c r="H234" s="3" t="str">
        <f>IFERROR(MID(VLOOKUP($B234,Seqs!$A:$B,2,0),I234,1),"")</f>
        <v>T</v>
      </c>
      <c r="I234" s="23">
        <v>88</v>
      </c>
      <c r="J234" s="3" t="str">
        <f>IFERROR(MID(VLOOKUP($B234,Seqs!$A:$B,2,0),K234,1),"")</f>
        <v>K</v>
      </c>
      <c r="K234" s="23">
        <v>91</v>
      </c>
      <c r="L234" s="3" t="str">
        <f>IFERROR(MID(VLOOKUP($B234,Seqs!$A:$B,2,0),M234,1),"")</f>
        <v>T</v>
      </c>
      <c r="M234" s="3">
        <v>92</v>
      </c>
      <c r="N234" s="3" t="str">
        <f>IFERROR(MID(VLOOKUP($B234,Seqs!$A:$B,2,0),O234,1),"")</f>
        <v>N</v>
      </c>
      <c r="O234" s="105">
        <v>122</v>
      </c>
      <c r="P234" s="3" t="str">
        <f>IFERROR(MID(VLOOKUP($B234,Seqs!$A:$B,2,0),Q234,1),"")</f>
        <v>S</v>
      </c>
      <c r="Q234" s="3">
        <v>123</v>
      </c>
      <c r="R234" s="3" t="str">
        <f>IFERROR(MID(VLOOKUP($B234,Seqs!$A:$B,2,0),S234,1),"")</f>
        <v>F</v>
      </c>
      <c r="S234" s="3">
        <v>126</v>
      </c>
      <c r="T234" s="3" t="str">
        <f>IFERROR(MID(VLOOKUP($B234,Seqs!$A:$B,2,0),U234,1),"")</f>
        <v>G</v>
      </c>
      <c r="U234" s="3">
        <v>127</v>
      </c>
      <c r="V234" s="3" t="str">
        <f>IFERROR(MID(VLOOKUP($B234,Seqs!$A:$B,2,0),W234,1),"")</f>
        <v>H</v>
      </c>
      <c r="W234" s="3">
        <v>162</v>
      </c>
      <c r="X234" s="3" t="str">
        <f>IFERROR(MID(VLOOKUP($B234,Seqs!$A:$B,2,0),Y234,1),"")</f>
        <v>P</v>
      </c>
      <c r="Y234" s="3">
        <v>163</v>
      </c>
      <c r="Z234" s="3" t="str">
        <f>IFERROR(MID(VLOOKUP($B234,Seqs!$A:$B,2,0),AA234,1),"")</f>
        <v>R</v>
      </c>
      <c r="AA234" s="3">
        <v>170</v>
      </c>
      <c r="AB234" s="3" t="str">
        <f>IFERROR(MID(VLOOKUP($B234,Seqs!$A:$B,2,0),AC234,1),"")</f>
        <v>T</v>
      </c>
      <c r="AC234" s="9">
        <v>171</v>
      </c>
      <c r="AD234" s="3" t="str">
        <f>IFERROR(MID(VLOOKUP($B234,Seqs!$A:$B,2,0),AE234,1),"")</f>
        <v>G</v>
      </c>
      <c r="AE234" s="3">
        <v>197</v>
      </c>
      <c r="AF234" s="3" t="str">
        <f>IFERROR(MID(VLOOKUP($B234,Seqs!$A:$B,2,0),AG234,1),"")</f>
        <v>C</v>
      </c>
      <c r="AG234" s="3">
        <v>210</v>
      </c>
      <c r="AH234" s="3" t="str">
        <f>IFERROR(MID(VLOOKUP($B234,Seqs!$A:$B,2,0),AI234,1),"")</f>
        <v>L</v>
      </c>
      <c r="AI234" s="3">
        <v>212</v>
      </c>
      <c r="AJ234" s="3" t="str">
        <f>IFERROR(MID(VLOOKUP($B234,Seqs!$A:$B,2,0),AK234,1),"")</f>
        <v>D</v>
      </c>
      <c r="AK234" s="105">
        <v>218</v>
      </c>
      <c r="AL234" s="3" t="str">
        <f>IFERROR(MID(VLOOKUP($B234,Seqs!$A:$B,2,0),AM234,1),"")</f>
        <v>V</v>
      </c>
      <c r="AM234" s="3">
        <v>256</v>
      </c>
      <c r="AN234" s="3" t="str">
        <f>IFERROR(MID(VLOOKUP($B234,Seqs!$A:$B,2,0),AO234,1),"")</f>
        <v>S</v>
      </c>
      <c r="AO234" s="3">
        <v>262</v>
      </c>
      <c r="AP234" s="3" t="str">
        <f>IFERROR(MID(VLOOKUP($B234,Seqs!$A:$B,2,0),AQ234,1),"")</f>
        <v>G</v>
      </c>
      <c r="AQ234" s="3">
        <v>300</v>
      </c>
      <c r="AR234" s="3" t="str">
        <f>IFERROR(MID(VLOOKUP($B234,Seqs!$A:$B,2,0),AS234,1),"")</f>
        <v>S</v>
      </c>
      <c r="AS234" s="3">
        <v>305</v>
      </c>
      <c r="AT234" s="3" t="str">
        <f>IFERROR(MID(VLOOKUP($B234,Seqs!$A:$B,2,0),AU234,1),"")</f>
        <v>L</v>
      </c>
      <c r="AU234" s="3">
        <v>333</v>
      </c>
      <c r="AV234" s="3" t="str">
        <f>IFERROR(MID(VLOOKUP($B234,Seqs!$A:$B,2,0),AW234,1),"")</f>
        <v>D</v>
      </c>
      <c r="AW234" s="3">
        <v>334</v>
      </c>
      <c r="AX234" s="3" t="str">
        <f>IFERROR(MID(VLOOKUP($B234,Seqs!$A:$B,2,0),AY234,1),"")</f>
        <v>F</v>
      </c>
      <c r="AY234" s="3">
        <v>346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 t="shared" si="1062"/>
        <v>1</v>
      </c>
      <c r="BC234" s="23">
        <f t="shared" si="1035"/>
        <v>264</v>
      </c>
      <c r="BD234" s="56" t="s">
        <v>23</v>
      </c>
      <c r="BE234" s="3" t="s">
        <v>23</v>
      </c>
      <c r="BF234" s="119" t="s">
        <v>23</v>
      </c>
      <c r="BG234" s="49" t="s">
        <v>1372</v>
      </c>
      <c r="BH234" s="49" t="s">
        <v>1377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si="1036"/>
        <v>57</v>
      </c>
      <c r="BW234" s="71">
        <f t="shared" si="1037"/>
        <v>88</v>
      </c>
      <c r="BX234" s="72">
        <f t="shared" si="1038"/>
        <v>92</v>
      </c>
      <c r="BY234" s="71">
        <f t="shared" si="1039"/>
        <v>123</v>
      </c>
      <c r="BZ234" s="72">
        <f t="shared" si="1040"/>
        <v>127</v>
      </c>
      <c r="CA234" s="71">
        <f t="shared" si="1041"/>
        <v>163</v>
      </c>
      <c r="CB234" s="72">
        <f t="shared" si="1042"/>
        <v>171</v>
      </c>
      <c r="CC234" s="71">
        <f t="shared" si="1043"/>
        <v>210</v>
      </c>
      <c r="CD234" s="72">
        <f t="shared" si="1044"/>
        <v>218</v>
      </c>
      <c r="CE234" s="71">
        <f t="shared" si="1045"/>
        <v>262</v>
      </c>
      <c r="CF234" s="72">
        <f t="shared" si="1046"/>
        <v>305</v>
      </c>
      <c r="CG234" s="71">
        <f t="shared" si="1047"/>
        <v>334</v>
      </c>
      <c r="CH234" s="70">
        <f t="shared" si="1048"/>
        <v>87</v>
      </c>
      <c r="CI234" s="71">
        <f t="shared" si="1049"/>
        <v>91</v>
      </c>
      <c r="CJ234" s="72">
        <f t="shared" si="1050"/>
        <v>122</v>
      </c>
      <c r="CK234" s="72">
        <f t="shared" si="1051"/>
        <v>126</v>
      </c>
      <c r="CL234" s="72">
        <f t="shared" si="1052"/>
        <v>162</v>
      </c>
      <c r="CM234" s="72">
        <f t="shared" si="1053"/>
        <v>170</v>
      </c>
      <c r="CN234" s="72">
        <f t="shared" si="1054"/>
        <v>197</v>
      </c>
      <c r="CO234" s="72">
        <f t="shared" si="1055"/>
        <v>212</v>
      </c>
      <c r="CP234" s="72">
        <f t="shared" si="1056"/>
        <v>256</v>
      </c>
      <c r="CQ234" s="72">
        <f t="shared" si="1057"/>
        <v>300</v>
      </c>
      <c r="CR234" s="72">
        <f t="shared" si="1058"/>
        <v>333</v>
      </c>
      <c r="CS234" s="72">
        <f t="shared" si="1059"/>
        <v>346</v>
      </c>
      <c r="CT234" s="23">
        <f t="shared" si="1060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61"/>
        <v>oprk_human_4DJH</v>
      </c>
      <c r="B235" s="3" t="s">
        <v>336</v>
      </c>
      <c r="C235" s="3" t="s">
        <v>88</v>
      </c>
      <c r="D235" s="3" t="str">
        <f>IFERROR(MID(VLOOKUP($B235,Seqs!$A:$B,2,0),E235,1),"")</f>
        <v>A</v>
      </c>
      <c r="E235" s="3">
        <v>57</v>
      </c>
      <c r="F235" s="3" t="str">
        <f>IFERROR(MID(VLOOKUP($B235,Seqs!$A:$B,2,0),G235,1),"")</f>
        <v>Y</v>
      </c>
      <c r="G235" s="3">
        <v>87</v>
      </c>
      <c r="H235" s="3" t="str">
        <f>IFERROR(MID(VLOOKUP($B235,Seqs!$A:$B,2,0),I235,1),"")</f>
        <v>T</v>
      </c>
      <c r="I235" s="23">
        <v>88</v>
      </c>
      <c r="J235" s="3" t="str">
        <f>IFERROR(MID(VLOOKUP($B235,Seqs!$A:$B,2,0),K235,1),"")</f>
        <v>K</v>
      </c>
      <c r="K235" s="23">
        <v>91</v>
      </c>
      <c r="L235" s="3" t="str">
        <f>IFERROR(MID(VLOOKUP($B235,Seqs!$A:$B,2,0),M235,1),"")</f>
        <v>T</v>
      </c>
      <c r="M235" s="3">
        <v>92</v>
      </c>
      <c r="N235" s="3" t="str">
        <f>IFERROR(MID(VLOOKUP($B235,Seqs!$A:$B,2,0),O235,1),"")</f>
        <v>N</v>
      </c>
      <c r="O235" s="3">
        <v>122</v>
      </c>
      <c r="P235" s="3" t="str">
        <f>IFERROR(MID(VLOOKUP($B235,Seqs!$A:$B,2,0),Q235,1),"")</f>
        <v>S</v>
      </c>
      <c r="Q235" s="3">
        <v>123</v>
      </c>
      <c r="R235" s="3" t="str">
        <f>IFERROR(MID(VLOOKUP($B235,Seqs!$A:$B,2,0),S235,1),"")</f>
        <v>F</v>
      </c>
      <c r="S235" s="3">
        <v>126</v>
      </c>
      <c r="T235" s="3" t="str">
        <f>IFERROR(MID(VLOOKUP($B235,Seqs!$A:$B,2,0),U235,1),"")</f>
        <v>G</v>
      </c>
      <c r="U235" s="3">
        <v>127</v>
      </c>
      <c r="V235" s="3" t="str">
        <f>IFERROR(MID(VLOOKUP($B235,Seqs!$A:$B,2,0),W235,1),"")</f>
        <v>H</v>
      </c>
      <c r="W235" s="3">
        <v>162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R</v>
      </c>
      <c r="AC235" s="9">
        <v>170</v>
      </c>
      <c r="AD235" s="3" t="str">
        <f>IFERROR(MID(VLOOKUP($B235,Seqs!$A:$B,2,0),AE235,1),"")</f>
        <v>G</v>
      </c>
      <c r="AE235" s="3">
        <v>197</v>
      </c>
      <c r="AF235" s="3" t="str">
        <f>IFERROR(MID(VLOOKUP($B235,Seqs!$A:$B,2,0),AG235,1),"")</f>
        <v>C</v>
      </c>
      <c r="AG235" s="3">
        <v>210</v>
      </c>
      <c r="AH235" s="3" t="str">
        <f>IFERROR(MID(VLOOKUP($B235,Seqs!$A:$B,2,0),AI235,1),"")</f>
        <v>L</v>
      </c>
      <c r="AI235" s="3">
        <v>212</v>
      </c>
      <c r="AJ235" s="3" t="str">
        <f>IFERROR(MID(VLOOKUP($B235,Seqs!$A:$B,2,0),AK235,1),"")</f>
        <v>D</v>
      </c>
      <c r="AK235" s="3">
        <v>218</v>
      </c>
      <c r="AL235" s="3" t="str">
        <f>IFERROR(MID(VLOOKUP($B235,Seqs!$A:$B,2,0),AM235,1),"")</f>
        <v>V</v>
      </c>
      <c r="AM235" s="3">
        <v>256</v>
      </c>
      <c r="AN235" s="3" t="str">
        <f>IFERROR(MID(VLOOKUP($B235,Seqs!$A:$B,2,0),AO235,1),"")</f>
        <v>R</v>
      </c>
      <c r="AO235" s="3">
        <v>267</v>
      </c>
      <c r="AP235" s="3" t="str">
        <f>IFERROR(MID(VLOOKUP($B235,Seqs!$A:$B,2,0),AQ235,1),"")</f>
        <v>G</v>
      </c>
      <c r="AQ235" s="3">
        <v>300</v>
      </c>
      <c r="AR235" s="3" t="str">
        <f>IFERROR(MID(VLOOKUP($B235,Seqs!$A:$B,2,0),AS235,1),"")</f>
        <v>A</v>
      </c>
      <c r="AS235" s="3">
        <v>308</v>
      </c>
      <c r="AT235" s="3" t="str">
        <f>IFERROR(MID(VLOOKUP($B235,Seqs!$A:$B,2,0),AU235,1),"")</f>
        <v>L</v>
      </c>
      <c r="AU235" s="3">
        <v>333</v>
      </c>
      <c r="AV235" s="3" t="str">
        <f>IFERROR(MID(VLOOKUP($B235,Seqs!$A:$B,2,0),AW235,1),"")</f>
        <v>D</v>
      </c>
      <c r="AW235" s="3">
        <v>334</v>
      </c>
      <c r="AX235" s="3" t="str">
        <f>IFERROR(MID(VLOOKUP($B235,Seqs!$A:$B,2,0),AY235,1),"")</f>
        <v>F</v>
      </c>
      <c r="AY235" s="3">
        <v>346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 t="shared" si="1062"/>
        <v>1</v>
      </c>
      <c r="BC235" s="23">
        <f t="shared" si="1035"/>
        <v>250</v>
      </c>
      <c r="BD235" s="2" t="s">
        <v>1376</v>
      </c>
      <c r="BE235" s="3" t="s">
        <v>1374</v>
      </c>
      <c r="BF235" s="119">
        <v>2.9</v>
      </c>
      <c r="BG235" s="49" t="s">
        <v>1377</v>
      </c>
      <c r="BH235" s="49" t="s">
        <v>1377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si="1036"/>
        <v>57</v>
      </c>
      <c r="BW235" s="71">
        <f t="shared" si="1037"/>
        <v>88</v>
      </c>
      <c r="BX235" s="72">
        <f t="shared" si="1038"/>
        <v>92</v>
      </c>
      <c r="BY235" s="71">
        <f t="shared" si="1039"/>
        <v>123</v>
      </c>
      <c r="BZ235" s="72">
        <f t="shared" si="1040"/>
        <v>127</v>
      </c>
      <c r="CA235" s="71" t="str">
        <f t="shared" si="1041"/>
        <v>-</v>
      </c>
      <c r="CB235" s="72">
        <f t="shared" si="1042"/>
        <v>170</v>
      </c>
      <c r="CC235" s="71">
        <f t="shared" si="1043"/>
        <v>210</v>
      </c>
      <c r="CD235" s="72">
        <f t="shared" si="1044"/>
        <v>218</v>
      </c>
      <c r="CE235" s="71">
        <f t="shared" si="1045"/>
        <v>267</v>
      </c>
      <c r="CF235" s="72">
        <f t="shared" si="1046"/>
        <v>308</v>
      </c>
      <c r="CG235" s="71">
        <f t="shared" si="1047"/>
        <v>334</v>
      </c>
      <c r="CH235" s="70">
        <f t="shared" si="1048"/>
        <v>87</v>
      </c>
      <c r="CI235" s="71">
        <f t="shared" si="1049"/>
        <v>91</v>
      </c>
      <c r="CJ235" s="72">
        <f t="shared" si="1050"/>
        <v>122</v>
      </c>
      <c r="CK235" s="72">
        <f t="shared" si="1051"/>
        <v>126</v>
      </c>
      <c r="CL235" s="72">
        <f t="shared" si="1052"/>
        <v>162</v>
      </c>
      <c r="CM235" s="72" t="str">
        <f t="shared" si="1053"/>
        <v>-</v>
      </c>
      <c r="CN235" s="72">
        <f t="shared" si="1054"/>
        <v>197</v>
      </c>
      <c r="CO235" s="72">
        <f t="shared" si="1055"/>
        <v>212</v>
      </c>
      <c r="CP235" s="72">
        <f t="shared" si="1056"/>
        <v>256</v>
      </c>
      <c r="CQ235" s="72">
        <f t="shared" si="1057"/>
        <v>300</v>
      </c>
      <c r="CR235" s="72">
        <f t="shared" si="1058"/>
        <v>333</v>
      </c>
      <c r="CS235" s="72">
        <f t="shared" si="1059"/>
        <v>346</v>
      </c>
      <c r="CT235" s="23">
        <f t="shared" si="1060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>CONCATENATE(B236,"_",C236)</f>
        <v>oprk_human_6B73</v>
      </c>
      <c r="B236" s="3" t="s">
        <v>336</v>
      </c>
      <c r="C236" s="3" t="s">
        <v>1463</v>
      </c>
      <c r="D236" s="3" t="str">
        <f>IFERROR(MID(VLOOKUP($B236,Seqs!$A:$B,2,0),E236,1),"")</f>
        <v>A</v>
      </c>
      <c r="E236" s="3">
        <v>57</v>
      </c>
      <c r="F236" s="3" t="str">
        <f>IFERROR(MID(VLOOKUP($B236,Seqs!$A:$B,2,0),G236,1),"")</f>
        <v>Y</v>
      </c>
      <c r="G236" s="3">
        <v>87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T</v>
      </c>
      <c r="M236" s="3">
        <v>92</v>
      </c>
      <c r="N236" s="3" t="str">
        <f>IFERROR(MID(VLOOKUP($B236,Seqs!$A:$B,2,0),O236,1),"")</f>
        <v>N</v>
      </c>
      <c r="O236" s="3">
        <v>122</v>
      </c>
      <c r="P236" s="3" t="str">
        <f>IFERROR(MID(VLOOKUP($B236,Seqs!$A:$B,2,0),Q236,1),"")</f>
        <v>S</v>
      </c>
      <c r="Q236" s="3">
        <v>123</v>
      </c>
      <c r="R236" s="3" t="str">
        <f>IFERROR(MID(VLOOKUP($B236,Seqs!$A:$B,2,0),S236,1),"")</f>
        <v>F</v>
      </c>
      <c r="S236" s="3">
        <v>126</v>
      </c>
      <c r="T236" s="3" t="str">
        <f>IFERROR(MID(VLOOKUP($B236,Seqs!$A:$B,2,0),U236,1),"")</f>
        <v>G</v>
      </c>
      <c r="U236" s="3">
        <v>127</v>
      </c>
      <c r="V236" s="3" t="str">
        <f>IFERROR(MID(VLOOKUP($B236,Seqs!$A:$B,2,0),W236,1),"")</f>
        <v>H</v>
      </c>
      <c r="W236" s="3">
        <v>162</v>
      </c>
      <c r="X236" s="3" t="str">
        <f>IFERROR(MID(VLOOKUP($B236,Seqs!$A:$B,2,0),Y236,1),"")</f>
        <v>P</v>
      </c>
      <c r="Y236" s="3">
        <v>163</v>
      </c>
      <c r="Z236" s="3" t="str">
        <f>IFERROR(MID(VLOOKUP($B236,Seqs!$A:$B,2,0),AA236,1),"")</f>
        <v>R</v>
      </c>
      <c r="AA236" s="3">
        <v>170</v>
      </c>
      <c r="AB236" s="3" t="str">
        <f>IFERROR(MID(VLOOKUP($B236,Seqs!$A:$B,2,0),AC236,1),"")</f>
        <v>T</v>
      </c>
      <c r="AC236" s="3">
        <v>171</v>
      </c>
      <c r="AD236" s="3" t="str">
        <f>IFERROR(MID(VLOOKUP($B236,Seqs!$A:$B,2,0),AE236,1),"")</f>
        <v>G</v>
      </c>
      <c r="AE236" s="3">
        <v>197</v>
      </c>
      <c r="AF236" s="3" t="str">
        <f>IFERROR(MID(VLOOKUP($B236,Seqs!$A:$B,2,0),AG236,1),"")</f>
        <v>C</v>
      </c>
      <c r="AG236" s="3">
        <v>210</v>
      </c>
      <c r="AH236" s="3" t="str">
        <f>IFERROR(MID(VLOOKUP($B236,Seqs!$A:$B,2,0),AI236,1),"")</f>
        <v>L</v>
      </c>
      <c r="AI236" s="3">
        <v>212</v>
      </c>
      <c r="AJ236" s="3" t="str">
        <f>IFERROR(MID(VLOOKUP($B236,Seqs!$A:$B,2,0),AK236,1),"")</f>
        <v>W</v>
      </c>
      <c r="AK236" s="3">
        <v>221</v>
      </c>
      <c r="AL236" s="3" t="str">
        <f>IFERROR(MID(VLOOKUP($B236,Seqs!$A:$B,2,0),AM236,1),"")</f>
        <v>S</v>
      </c>
      <c r="AM236" s="3">
        <v>255</v>
      </c>
      <c r="AN236" s="3" t="str">
        <f>IFERROR(MID(VLOOKUP($B236,Seqs!$A:$B,2,0),AO236,1),"")</f>
        <v>S</v>
      </c>
      <c r="AO236" s="3">
        <v>262</v>
      </c>
      <c r="AP236" s="3" t="str">
        <f>IFERROR(MID(VLOOKUP($B236,Seqs!$A:$B,2,0),AQ236,1),"")</f>
        <v>G</v>
      </c>
      <c r="AQ236" s="3">
        <v>300</v>
      </c>
      <c r="AR236" s="3" t="str">
        <f>IFERROR(MID(VLOOKUP($B236,Seqs!$A:$B,2,0),AS236,1),"")</f>
        <v>S</v>
      </c>
      <c r="AS236" s="3">
        <v>305</v>
      </c>
      <c r="AT236" s="3" t="str">
        <f>IFERROR(MID(VLOOKUP($B236,Seqs!$A:$B,2,0),AU236,1),"")</f>
        <v>I</v>
      </c>
      <c r="AU236" s="3">
        <v>328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>_xlfn.AGGREGATE(9,6,CH236:CS236)-_xlfn.AGGREGATE(9,6,BV236:CG236)+12</f>
        <v>240</v>
      </c>
      <c r="BD236" s="2" t="s">
        <v>1375</v>
      </c>
      <c r="BE236" s="3" t="s">
        <v>1291</v>
      </c>
      <c r="BF236" s="119">
        <v>3.1</v>
      </c>
      <c r="BG236" s="49" t="s">
        <v>1</v>
      </c>
      <c r="BH236" s="49" t="s">
        <v>1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>E236</f>
        <v>57</v>
      </c>
      <c r="BW236" s="71" t="str">
        <f>I236</f>
        <v>-</v>
      </c>
      <c r="BX236" s="72">
        <f>M236</f>
        <v>92</v>
      </c>
      <c r="BY236" s="71">
        <f>Q236</f>
        <v>123</v>
      </c>
      <c r="BZ236" s="72">
        <f>U236</f>
        <v>127</v>
      </c>
      <c r="CA236" s="71">
        <f>Y236</f>
        <v>163</v>
      </c>
      <c r="CB236" s="72">
        <f>AC236</f>
        <v>171</v>
      </c>
      <c r="CC236" s="71">
        <f>AG236</f>
        <v>210</v>
      </c>
      <c r="CD236" s="72">
        <f>AK236</f>
        <v>221</v>
      </c>
      <c r="CE236" s="71">
        <f>AO236</f>
        <v>262</v>
      </c>
      <c r="CF236" s="72">
        <f>AS236</f>
        <v>305</v>
      </c>
      <c r="CG236" s="71" t="str">
        <f>AW236</f>
        <v>-</v>
      </c>
      <c r="CH236" s="70">
        <f>G236</f>
        <v>87</v>
      </c>
      <c r="CI236" s="71" t="str">
        <f>K236</f>
        <v>-</v>
      </c>
      <c r="CJ236" s="72">
        <f>O236</f>
        <v>122</v>
      </c>
      <c r="CK236" s="72">
        <f>S236</f>
        <v>126</v>
      </c>
      <c r="CL236" s="72">
        <f>W236</f>
        <v>162</v>
      </c>
      <c r="CM236" s="72">
        <f>AA236</f>
        <v>170</v>
      </c>
      <c r="CN236" s="72">
        <f>AE236</f>
        <v>197</v>
      </c>
      <c r="CO236" s="72">
        <f>AI236</f>
        <v>212</v>
      </c>
      <c r="CP236" s="72">
        <f>AM236</f>
        <v>255</v>
      </c>
      <c r="CQ236" s="72">
        <f>AQ236</f>
        <v>300</v>
      </c>
      <c r="CR236" s="72">
        <f>AU236</f>
        <v>328</v>
      </c>
      <c r="CS236" s="72" t="str">
        <f>AY236</f>
        <v>-</v>
      </c>
      <c r="CT236" s="23" t="e">
        <f>M236-K236</f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61"/>
        <v>oprm_mouse__wt</v>
      </c>
      <c r="B237" s="3" t="s">
        <v>917</v>
      </c>
      <c r="C237" s="3" t="s">
        <v>100</v>
      </c>
      <c r="D237" s="3" t="str">
        <f>IFERROR(MID(VLOOKUP($B237,Seqs!$A:$B,2,0),E237,1),"")</f>
        <v>M</v>
      </c>
      <c r="E237" s="3">
        <v>65</v>
      </c>
      <c r="F237" s="3" t="str">
        <f>IFERROR(MID(VLOOKUP($B237,Seqs!$A:$B,2,0),G237,1),"")</f>
        <v>Y</v>
      </c>
      <c r="G237" s="3">
        <v>96</v>
      </c>
      <c r="H237" s="3" t="str">
        <f>IFERROR(MID(VLOOKUP($B237,Seqs!$A:$B,2,0),I237,1),"")</f>
        <v>T</v>
      </c>
      <c r="I237" s="23">
        <v>97</v>
      </c>
      <c r="J237" s="3" t="str">
        <f>IFERROR(MID(VLOOKUP($B237,Seqs!$A:$B,2,0),K237,1),"")</f>
        <v>K</v>
      </c>
      <c r="K237" s="23">
        <v>100</v>
      </c>
      <c r="L237" s="3" t="str">
        <f>IFERROR(MID(VLOOKUP($B237,Seqs!$A:$B,2,0),M237,1),"")</f>
        <v>T</v>
      </c>
      <c r="M237" s="3">
        <v>101</v>
      </c>
      <c r="N237" s="3" t="str">
        <f>IFERROR(MID(VLOOKUP($B237,Seqs!$A:$B,2,0),O237,1),"")</f>
        <v>M</v>
      </c>
      <c r="O237" s="3">
        <v>130</v>
      </c>
      <c r="P237" s="3" t="str">
        <f>IFERROR(MID(VLOOKUP($B237,Seqs!$A:$B,2,0),Q237,1),"")</f>
        <v>T</v>
      </c>
      <c r="Q237" s="3">
        <v>132</v>
      </c>
      <c r="R237" s="3" t="str">
        <f>IFERROR(MID(VLOOKUP($B237,Seqs!$A:$B,2,0),S237,1),"")</f>
        <v>F</v>
      </c>
      <c r="S237" s="3">
        <v>135</v>
      </c>
      <c r="T237" s="3" t="str">
        <f>IFERROR(MID(VLOOKUP($B237,Seqs!$A:$B,2,0),U237,1),"")</f>
        <v>G</v>
      </c>
      <c r="U237" s="3">
        <v>136</v>
      </c>
      <c r="V237" s="3" t="str">
        <f>IFERROR(MID(VLOOKUP($B237,Seqs!$A:$B,2,0),W237,1),"")</f>
        <v>H</v>
      </c>
      <c r="W237" s="3">
        <v>171</v>
      </c>
      <c r="X237" s="3" t="str">
        <f>IFERROR(MID(VLOOKUP($B237,Seqs!$A:$B,2,0),Y237,1),"")</f>
        <v>P</v>
      </c>
      <c r="Y237" s="3">
        <v>172</v>
      </c>
      <c r="Z237" s="3" t="str">
        <f>IFERROR(MID(VLOOKUP($B237,Seqs!$A:$B,2,0),AA237,1),"")</f>
        <v>R</v>
      </c>
      <c r="AA237" s="3">
        <v>179</v>
      </c>
      <c r="AB237" s="3" t="str">
        <f>IFERROR(MID(VLOOKUP($B237,Seqs!$A:$B,2,0),AC237,1),"")</f>
        <v>T</v>
      </c>
      <c r="AC237" s="3">
        <v>180</v>
      </c>
      <c r="AD237" s="3" t="str">
        <f>IFERROR(MID(VLOOKUP($B237,Seqs!$A:$B,2,0),AE237,1),"")</f>
        <v>A</v>
      </c>
      <c r="AE237" s="3">
        <v>206</v>
      </c>
      <c r="AF237" s="3" t="str">
        <f>IFERROR(MID(VLOOKUP($B237,Seqs!$A:$B,2,0),AG237,1),"")</f>
        <v>C</v>
      </c>
      <c r="AG237" s="3">
        <v>217</v>
      </c>
      <c r="AH237" s="3" t="str">
        <f>IFERROR(MID(VLOOKUP($B237,Seqs!$A:$B,2,0),AI237,1),"")</f>
        <v>L</v>
      </c>
      <c r="AI237" s="3">
        <v>219</v>
      </c>
      <c r="AJ237" s="3" t="str">
        <f>IFERROR(MID(VLOOKUP($B237,Seqs!$A:$B,2,0),AK237,1),"")</f>
        <v>T</v>
      </c>
      <c r="AK237" s="3">
        <v>225</v>
      </c>
      <c r="AL237" s="3" t="str">
        <f>IFERROR(MID(VLOOKUP($B237,Seqs!$A:$B,2,0),AM237,1),"")</f>
        <v>V</v>
      </c>
      <c r="AM237" s="3">
        <v>262</v>
      </c>
      <c r="AN237" s="3" t="str">
        <f>IFERROR(MID(VLOOKUP($B237,Seqs!$A:$B,2,0),AO237,1),"")</f>
        <v>S</v>
      </c>
      <c r="AO237" s="3">
        <v>268</v>
      </c>
      <c r="AP237" s="3" t="str">
        <f>IFERROR(MID(VLOOKUP($B237,Seqs!$A:$B,2,0),AQ237,1),"")</f>
        <v>I</v>
      </c>
      <c r="AQ237" s="3">
        <v>306</v>
      </c>
      <c r="AR237" s="3" t="str">
        <f>IFERROR(MID(VLOOKUP($B237,Seqs!$A:$B,2,0),AS237,1),"")</f>
        <v>T</v>
      </c>
      <c r="AS237" s="3">
        <v>311</v>
      </c>
      <c r="AT237" s="3" t="str">
        <f>IFERROR(MID(VLOOKUP($B237,Seqs!$A:$B,2,0),AU237,1),"")</f>
        <v>L</v>
      </c>
      <c r="AU237" s="3">
        <v>339</v>
      </c>
      <c r="AV237" s="3" t="str">
        <f>IFERROR(MID(VLOOKUP($B237,Seqs!$A:$B,2,0),AW237,1),"")</f>
        <v>D</v>
      </c>
      <c r="AW237" s="3">
        <v>340</v>
      </c>
      <c r="AX237" s="3" t="str">
        <f>IFERROR(MID(VLOOKUP($B237,Seqs!$A:$B,2,0),AY237,1),"")</f>
        <v>I</v>
      </c>
      <c r="AY237" s="3">
        <v>352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62"/>
        <v>1</v>
      </c>
      <c r="BC237" s="23">
        <f t="shared" si="1035"/>
        <v>263</v>
      </c>
      <c r="BD237" s="56" t="s">
        <v>23</v>
      </c>
      <c r="BE237" s="3" t="s">
        <v>23</v>
      </c>
      <c r="BF237" s="119" t="s">
        <v>23</v>
      </c>
      <c r="BG237" s="49" t="s">
        <v>1372</v>
      </c>
      <c r="BH237" s="49" t="s">
        <v>1377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si="1036"/>
        <v>65</v>
      </c>
      <c r="BW237" s="71">
        <f t="shared" si="1037"/>
        <v>97</v>
      </c>
      <c r="BX237" s="72">
        <f t="shared" si="1038"/>
        <v>101</v>
      </c>
      <c r="BY237" s="71">
        <f t="shared" si="1039"/>
        <v>132</v>
      </c>
      <c r="BZ237" s="72">
        <f t="shared" si="1040"/>
        <v>136</v>
      </c>
      <c r="CA237" s="71">
        <f t="shared" si="1041"/>
        <v>172</v>
      </c>
      <c r="CB237" s="72">
        <f t="shared" si="1042"/>
        <v>180</v>
      </c>
      <c r="CC237" s="71">
        <f t="shared" si="1043"/>
        <v>217</v>
      </c>
      <c r="CD237" s="72">
        <f t="shared" si="1044"/>
        <v>225</v>
      </c>
      <c r="CE237" s="71">
        <f t="shared" si="1045"/>
        <v>268</v>
      </c>
      <c r="CF237" s="72">
        <f t="shared" si="1046"/>
        <v>311</v>
      </c>
      <c r="CG237" s="71">
        <f t="shared" si="1047"/>
        <v>340</v>
      </c>
      <c r="CH237" s="70">
        <f t="shared" si="1048"/>
        <v>96</v>
      </c>
      <c r="CI237" s="71">
        <f t="shared" si="1049"/>
        <v>100</v>
      </c>
      <c r="CJ237" s="72">
        <f t="shared" si="1050"/>
        <v>130</v>
      </c>
      <c r="CK237" s="72">
        <f t="shared" si="1051"/>
        <v>135</v>
      </c>
      <c r="CL237" s="72">
        <f t="shared" si="1052"/>
        <v>171</v>
      </c>
      <c r="CM237" s="72">
        <f t="shared" si="1053"/>
        <v>179</v>
      </c>
      <c r="CN237" s="72">
        <f t="shared" si="1054"/>
        <v>206</v>
      </c>
      <c r="CO237" s="72">
        <f t="shared" si="1055"/>
        <v>219</v>
      </c>
      <c r="CP237" s="72">
        <f t="shared" si="1056"/>
        <v>262</v>
      </c>
      <c r="CQ237" s="72">
        <f t="shared" si="1057"/>
        <v>306</v>
      </c>
      <c r="CR237" s="72">
        <f t="shared" si="1058"/>
        <v>339</v>
      </c>
      <c r="CS237" s="72">
        <f t="shared" si="1059"/>
        <v>352</v>
      </c>
      <c r="CT237" s="23">
        <f t="shared" si="1060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61"/>
        <v>oprm_mouse_4DKL</v>
      </c>
      <c r="B238" s="3" t="s">
        <v>917</v>
      </c>
      <c r="C238" s="3" t="s">
        <v>65</v>
      </c>
      <c r="D238" s="3" t="str">
        <f>IFERROR(MID(VLOOKUP($B238,Seqs!$A:$B,2,0),E238,1),"")</f>
        <v>M</v>
      </c>
      <c r="E238" s="3">
        <v>65</v>
      </c>
      <c r="F238" s="3" t="str">
        <f>IFERROR(MID(VLOOKUP($B238,Seqs!$A:$B,2,0),G238,1),"")</f>
        <v>Y</v>
      </c>
      <c r="G238" s="3">
        <v>96</v>
      </c>
      <c r="H238" s="3" t="str">
        <f>IFERROR(MID(VLOOKUP($B238,Seqs!$A:$B,2,0),I238,1),"")</f>
        <v>T</v>
      </c>
      <c r="I238" s="23">
        <v>97</v>
      </c>
      <c r="J238" s="3" t="str">
        <f>IFERROR(MID(VLOOKUP($B238,Seqs!$A:$B,2,0),K238,1),"")</f>
        <v>K</v>
      </c>
      <c r="K238" s="23">
        <v>100</v>
      </c>
      <c r="L238" s="3" t="str">
        <f>IFERROR(MID(VLOOKUP($B238,Seqs!$A:$B,2,0),M238,1),"")</f>
        <v>T</v>
      </c>
      <c r="M238" s="3">
        <v>101</v>
      </c>
      <c r="N238" s="3" t="str">
        <f>IFERROR(MID(VLOOKUP($B238,Seqs!$A:$B,2,0),O238,1),"")</f>
        <v>M</v>
      </c>
      <c r="O238" s="3">
        <v>130</v>
      </c>
      <c r="P238" s="3" t="str">
        <f>IFERROR(MID(VLOOKUP($B238,Seqs!$A:$B,2,0),Q238,1),"")</f>
        <v>T</v>
      </c>
      <c r="Q238" s="3">
        <v>132</v>
      </c>
      <c r="R238" s="3" t="str">
        <f>IFERROR(MID(VLOOKUP($B238,Seqs!$A:$B,2,0),S238,1),"")</f>
        <v>F</v>
      </c>
      <c r="S238" s="3">
        <v>135</v>
      </c>
      <c r="T238" s="3" t="str">
        <f>IFERROR(MID(VLOOKUP($B238,Seqs!$A:$B,2,0),U238,1),"")</f>
        <v>G</v>
      </c>
      <c r="U238" s="3">
        <v>136</v>
      </c>
      <c r="V238" s="3" t="str">
        <f>IFERROR(MID(VLOOKUP($B238,Seqs!$A:$B,2,0),W238,1),"")</f>
        <v>H</v>
      </c>
      <c r="W238" s="3">
        <v>171</v>
      </c>
      <c r="X238" s="3" t="str">
        <f>IFERROR(MID(VLOOKUP($B238,Seqs!$A:$B,2,0),Y238,1),"")</f>
        <v>P</v>
      </c>
      <c r="Y238" s="3">
        <v>172</v>
      </c>
      <c r="Z238" s="3" t="str">
        <f>IFERROR(MID(VLOOKUP($B238,Seqs!$A:$B,2,0),AA238,1),"")</f>
        <v>R</v>
      </c>
      <c r="AA238" s="3">
        <v>179</v>
      </c>
      <c r="AB238" s="3" t="str">
        <f>IFERROR(MID(VLOOKUP($B238,Seqs!$A:$B,2,0),AC238,1),"")</f>
        <v>T</v>
      </c>
      <c r="AC238" s="3">
        <v>180</v>
      </c>
      <c r="AD238" s="3" t="str">
        <f>IFERROR(MID(VLOOKUP($B238,Seqs!$A:$B,2,0),AE238,1),"")</f>
        <v>A</v>
      </c>
      <c r="AE238" s="3">
        <v>206</v>
      </c>
      <c r="AF238" s="3" t="str">
        <f>IFERROR(MID(VLOOKUP($B238,Seqs!$A:$B,2,0),AG238,1),"")</f>
        <v>C</v>
      </c>
      <c r="AG238" s="3">
        <v>217</v>
      </c>
      <c r="AH238" s="3" t="str">
        <f>IFERROR(MID(VLOOKUP($B238,Seqs!$A:$B,2,0),AI238,1),"")</f>
        <v>L</v>
      </c>
      <c r="AI238" s="3">
        <v>219</v>
      </c>
      <c r="AJ238" s="3" t="str">
        <f>IFERROR(MID(VLOOKUP($B238,Seqs!$A:$B,2,0),AK238,1),"")</f>
        <v>T</v>
      </c>
      <c r="AK238" s="3">
        <v>225</v>
      </c>
      <c r="AL238" s="3" t="str">
        <f>IFERROR(MID(VLOOKUP($B238,Seqs!$A:$B,2,0),AM238,1),"")</f>
        <v>L</v>
      </c>
      <c r="AM238" s="3">
        <v>257</v>
      </c>
      <c r="AN238" s="3" t="str">
        <f>IFERROR(MID(VLOOKUP($B238,Seqs!$A:$B,2,0),AO238,1),"")</f>
        <v>N</v>
      </c>
      <c r="AO238" s="3">
        <v>274</v>
      </c>
      <c r="AP238" s="3" t="str">
        <f>IFERROR(MID(VLOOKUP($B238,Seqs!$A:$B,2,0),AQ238,1),"")</f>
        <v>I</v>
      </c>
      <c r="AQ238" s="3">
        <v>306</v>
      </c>
      <c r="AR238" s="3" t="str">
        <f>IFERROR(MID(VLOOKUP($B238,Seqs!$A:$B,2,0),AS238,1),"")</f>
        <v>T</v>
      </c>
      <c r="AS238" s="3">
        <v>311</v>
      </c>
      <c r="AT238" s="3" t="str">
        <f>IFERROR(MID(VLOOKUP($B238,Seqs!$A:$B,2,0),AU238,1),"")</f>
        <v>L</v>
      </c>
      <c r="AU238" s="3">
        <v>339</v>
      </c>
      <c r="AV238" s="3" t="str">
        <f>IFERROR(MID(VLOOKUP($B238,Seqs!$A:$B,2,0),AW238,1),"")</f>
        <v>D</v>
      </c>
      <c r="AW238" s="3">
        <v>340</v>
      </c>
      <c r="AX238" s="3" t="str">
        <f>IFERROR(MID(VLOOKUP($B238,Seqs!$A:$B,2,0),AY238,1),"")</f>
        <v>I</v>
      </c>
      <c r="AY238" s="3">
        <v>352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 t="shared" si="1062"/>
        <v>1</v>
      </c>
      <c r="BC238" s="23">
        <f t="shared" si="1035"/>
        <v>252</v>
      </c>
      <c r="BD238" s="2" t="s">
        <v>1376</v>
      </c>
      <c r="BE238" s="3" t="s">
        <v>1374</v>
      </c>
      <c r="BF238" s="119">
        <v>2.8</v>
      </c>
      <c r="BG238" s="49" t="s">
        <v>1377</v>
      </c>
      <c r="BH238" s="49" t="s">
        <v>1377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si="1036"/>
        <v>65</v>
      </c>
      <c r="BW238" s="71">
        <f t="shared" si="1037"/>
        <v>97</v>
      </c>
      <c r="BX238" s="72">
        <f t="shared" si="1038"/>
        <v>101</v>
      </c>
      <c r="BY238" s="71">
        <f t="shared" si="1039"/>
        <v>132</v>
      </c>
      <c r="BZ238" s="72">
        <f t="shared" si="1040"/>
        <v>136</v>
      </c>
      <c r="CA238" s="71">
        <f t="shared" si="1041"/>
        <v>172</v>
      </c>
      <c r="CB238" s="72">
        <f t="shared" si="1042"/>
        <v>180</v>
      </c>
      <c r="CC238" s="71">
        <f t="shared" si="1043"/>
        <v>217</v>
      </c>
      <c r="CD238" s="72">
        <f t="shared" si="1044"/>
        <v>225</v>
      </c>
      <c r="CE238" s="71">
        <f t="shared" si="1045"/>
        <v>274</v>
      </c>
      <c r="CF238" s="72">
        <f t="shared" si="1046"/>
        <v>311</v>
      </c>
      <c r="CG238" s="71">
        <f t="shared" si="1047"/>
        <v>340</v>
      </c>
      <c r="CH238" s="70">
        <f t="shared" si="1048"/>
        <v>96</v>
      </c>
      <c r="CI238" s="71">
        <f t="shared" si="1049"/>
        <v>100</v>
      </c>
      <c r="CJ238" s="72">
        <f t="shared" si="1050"/>
        <v>130</v>
      </c>
      <c r="CK238" s="72">
        <f t="shared" si="1051"/>
        <v>135</v>
      </c>
      <c r="CL238" s="72">
        <f t="shared" si="1052"/>
        <v>171</v>
      </c>
      <c r="CM238" s="72">
        <f t="shared" si="1053"/>
        <v>179</v>
      </c>
      <c r="CN238" s="72">
        <f t="shared" si="1054"/>
        <v>206</v>
      </c>
      <c r="CO238" s="72">
        <f t="shared" si="1055"/>
        <v>219</v>
      </c>
      <c r="CP238" s="72">
        <f t="shared" si="1056"/>
        <v>257</v>
      </c>
      <c r="CQ238" s="72">
        <f t="shared" si="1057"/>
        <v>306</v>
      </c>
      <c r="CR238" s="72">
        <f t="shared" si="1058"/>
        <v>339</v>
      </c>
      <c r="CS238" s="72">
        <f t="shared" si="1059"/>
        <v>352</v>
      </c>
      <c r="CT238" s="23">
        <f t="shared" si="1060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61"/>
        <v>oprm_mouse_5C1M</v>
      </c>
      <c r="B239" s="3" t="s">
        <v>917</v>
      </c>
      <c r="C239" s="3" t="s">
        <v>84</v>
      </c>
      <c r="D239" s="3" t="str">
        <f>IFERROR(MID(VLOOKUP($B239,Seqs!$A:$B,2,0),E239,1),"")</f>
        <v>M</v>
      </c>
      <c r="E239" s="3">
        <v>65</v>
      </c>
      <c r="F239" s="3" t="str">
        <f>IFERROR(MID(VLOOKUP($B239,Seqs!$A:$B,2,0),G239,1),"")</f>
        <v>Y</v>
      </c>
      <c r="G239" s="3">
        <v>96</v>
      </c>
      <c r="H239" s="3" t="str">
        <f>IFERROR(MID(VLOOKUP($B239,Seqs!$A:$B,2,0),I239,1),"")</f>
        <v/>
      </c>
      <c r="I239" s="23" t="s">
        <v>23</v>
      </c>
      <c r="J239" s="3" t="str">
        <f>IFERROR(MID(VLOOKUP($B239,Seqs!$A:$B,2,0),K239,1),"")</f>
        <v/>
      </c>
      <c r="K239" s="23" t="s">
        <v>23</v>
      </c>
      <c r="L239" s="3" t="str">
        <f>IFERROR(MID(VLOOKUP($B239,Seqs!$A:$B,2,0),M239,1),"")</f>
        <v>T</v>
      </c>
      <c r="M239" s="3">
        <v>101</v>
      </c>
      <c r="N239" s="3" t="str">
        <f>IFERROR(MID(VLOOKUP($B239,Seqs!$A:$B,2,0),O239,1),"")</f>
        <v>M</v>
      </c>
      <c r="O239" s="3">
        <v>130</v>
      </c>
      <c r="P239" s="3" t="str">
        <f>IFERROR(MID(VLOOKUP($B239,Seqs!$A:$B,2,0),Q239,1),"")</f>
        <v>T</v>
      </c>
      <c r="Q239" s="3">
        <v>132</v>
      </c>
      <c r="R239" s="3" t="str">
        <f>IFERROR(MID(VLOOKUP($B239,Seqs!$A:$B,2,0),S239,1),"")</f>
        <v>F</v>
      </c>
      <c r="S239" s="3">
        <v>135</v>
      </c>
      <c r="T239" s="3" t="str">
        <f>IFERROR(MID(VLOOKUP($B239,Seqs!$A:$B,2,0),U239,1),"")</f>
        <v>G</v>
      </c>
      <c r="U239" s="3">
        <v>136</v>
      </c>
      <c r="V239" s="3" t="str">
        <f>IFERROR(MID(VLOOKUP($B239,Seqs!$A:$B,2,0),W239,1),"")</f>
        <v>H</v>
      </c>
      <c r="W239" s="3">
        <v>171</v>
      </c>
      <c r="X239" s="3" t="str">
        <f>IFERROR(MID(VLOOKUP($B239,Seqs!$A:$B,2,0),Y239,1),"")</f>
        <v>P</v>
      </c>
      <c r="Y239" s="3">
        <v>172</v>
      </c>
      <c r="Z239" s="3" t="str">
        <f>IFERROR(MID(VLOOKUP($B239,Seqs!$A:$B,2,0),AA239,1),"")</f>
        <v>R</v>
      </c>
      <c r="AA239" s="3">
        <v>179</v>
      </c>
      <c r="AB239" s="3" t="str">
        <f>IFERROR(MID(VLOOKUP($B239,Seqs!$A:$B,2,0),AC239,1),"")</f>
        <v>T</v>
      </c>
      <c r="AC239" s="3">
        <v>180</v>
      </c>
      <c r="AD239" s="3" t="str">
        <f>IFERROR(MID(VLOOKUP($B239,Seqs!$A:$B,2,0),AE239,1),"")</f>
        <v>A</v>
      </c>
      <c r="AE239" s="3">
        <v>206</v>
      </c>
      <c r="AF239" s="3" t="str">
        <f>IFERROR(MID(VLOOKUP($B239,Seqs!$A:$B,2,0),AG239,1),"")</f>
        <v>C</v>
      </c>
      <c r="AG239" s="3">
        <v>217</v>
      </c>
      <c r="AH239" s="3" t="str">
        <f>IFERROR(MID(VLOOKUP($B239,Seqs!$A:$B,2,0),AI239,1),"")</f>
        <v>L</v>
      </c>
      <c r="AI239" s="3">
        <v>219</v>
      </c>
      <c r="AJ239" s="3" t="str">
        <f>IFERROR(MID(VLOOKUP($B239,Seqs!$A:$B,2,0),AK239,1),"")</f>
        <v>T</v>
      </c>
      <c r="AK239" s="3">
        <v>225</v>
      </c>
      <c r="AL239" s="3" t="str">
        <f>IFERROR(MID(VLOOKUP($B239,Seqs!$A:$B,2,0),AM239,1),"")</f>
        <v>V</v>
      </c>
      <c r="AM239" s="3">
        <v>262</v>
      </c>
      <c r="AN239" s="3" t="str">
        <f>IFERROR(MID(VLOOKUP($B239,Seqs!$A:$B,2,0),AO239,1),"")</f>
        <v>S</v>
      </c>
      <c r="AO239" s="3">
        <v>268</v>
      </c>
      <c r="AP239" s="3" t="str">
        <f>IFERROR(MID(VLOOKUP($B239,Seqs!$A:$B,2,0),AQ239,1),"")</f>
        <v>I</v>
      </c>
      <c r="AQ239" s="3">
        <v>306</v>
      </c>
      <c r="AR239" s="3" t="str">
        <f>IFERROR(MID(VLOOKUP($B239,Seqs!$A:$B,2,0),AS239,1),"")</f>
        <v>T</v>
      </c>
      <c r="AS239" s="3">
        <v>311</v>
      </c>
      <c r="AT239" s="3" t="str">
        <f>IFERROR(MID(VLOOKUP($B239,Seqs!$A:$B,2,0),AU239,1),"")</f>
        <v>P</v>
      </c>
      <c r="AU239" s="3">
        <v>333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 t="shared" si="1062"/>
        <v>1</v>
      </c>
      <c r="BC239" s="23">
        <f t="shared" si="1035"/>
        <v>242</v>
      </c>
      <c r="BD239" s="5" t="s">
        <v>1375</v>
      </c>
      <c r="BE239" s="3" t="s">
        <v>1291</v>
      </c>
      <c r="BF239" s="119">
        <v>2.1</v>
      </c>
      <c r="BG239" s="49" t="s">
        <v>1377</v>
      </c>
      <c r="BH239" s="49" t="s">
        <v>1377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si="1036"/>
        <v>65</v>
      </c>
      <c r="BW239" s="71" t="str">
        <f t="shared" si="1037"/>
        <v>-</v>
      </c>
      <c r="BX239" s="72">
        <f t="shared" si="1038"/>
        <v>101</v>
      </c>
      <c r="BY239" s="71">
        <f t="shared" si="1039"/>
        <v>132</v>
      </c>
      <c r="BZ239" s="72">
        <f t="shared" si="1040"/>
        <v>136</v>
      </c>
      <c r="CA239" s="71">
        <f t="shared" si="1041"/>
        <v>172</v>
      </c>
      <c r="CB239" s="72">
        <f t="shared" si="1042"/>
        <v>180</v>
      </c>
      <c r="CC239" s="71">
        <f t="shared" si="1043"/>
        <v>217</v>
      </c>
      <c r="CD239" s="72">
        <f t="shared" si="1044"/>
        <v>225</v>
      </c>
      <c r="CE239" s="71">
        <f t="shared" si="1045"/>
        <v>268</v>
      </c>
      <c r="CF239" s="72">
        <f t="shared" si="1046"/>
        <v>311</v>
      </c>
      <c r="CG239" s="71" t="str">
        <f t="shared" si="1047"/>
        <v>-</v>
      </c>
      <c r="CH239" s="70">
        <f t="shared" si="1048"/>
        <v>96</v>
      </c>
      <c r="CI239" s="71" t="str">
        <f t="shared" si="1049"/>
        <v>-</v>
      </c>
      <c r="CJ239" s="72">
        <f t="shared" si="1050"/>
        <v>130</v>
      </c>
      <c r="CK239" s="72">
        <f t="shared" si="1051"/>
        <v>135</v>
      </c>
      <c r="CL239" s="72">
        <f t="shared" si="1052"/>
        <v>171</v>
      </c>
      <c r="CM239" s="72">
        <f t="shared" si="1053"/>
        <v>179</v>
      </c>
      <c r="CN239" s="72">
        <f t="shared" si="1054"/>
        <v>206</v>
      </c>
      <c r="CO239" s="72">
        <f t="shared" si="1055"/>
        <v>219</v>
      </c>
      <c r="CP239" s="72">
        <f t="shared" si="1056"/>
        <v>262</v>
      </c>
      <c r="CQ239" s="72">
        <f t="shared" si="1057"/>
        <v>306</v>
      </c>
      <c r="CR239" s="72">
        <f t="shared" si="1058"/>
        <v>333</v>
      </c>
      <c r="CS239" s="72" t="str">
        <f t="shared" si="1059"/>
        <v>-</v>
      </c>
      <c r="CT239" s="23" t="e">
        <f t="shared" si="1060"/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>CONCATENATE(B240,"_",C240)</f>
        <v>oprm_mouse_6DDE</v>
      </c>
      <c r="B240" s="3" t="s">
        <v>917</v>
      </c>
      <c r="C240" s="3" t="s">
        <v>1500</v>
      </c>
      <c r="D240" s="3" t="str">
        <f>IFERROR(MID(VLOOKUP($B240,Seqs!$A:$B,2,0),E240,1),"")</f>
        <v>T</v>
      </c>
      <c r="E240" s="3">
        <v>67</v>
      </c>
      <c r="F240" s="3" t="str">
        <f>IFERROR(MID(VLOOKUP($B240,Seqs!$A:$B,2,0),G240,1),"")</f>
        <v>K</v>
      </c>
      <c r="G240" s="3">
        <v>98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A</v>
      </c>
      <c r="M240" s="3">
        <v>102</v>
      </c>
      <c r="N240" s="3" t="str">
        <f>IFERROR(MID(VLOOKUP($B240,Seqs!$A:$B,2,0),O240,1),"")</f>
        <v>G</v>
      </c>
      <c r="O240" s="3">
        <v>131</v>
      </c>
      <c r="P240" s="3" t="str">
        <f>IFERROR(MID(VLOOKUP($B240,Seqs!$A:$B,2,0),Q240,1),"")</f>
        <v>T</v>
      </c>
      <c r="Q240" s="3">
        <v>132</v>
      </c>
      <c r="R240" s="3" t="str">
        <f>IFERROR(MID(VLOOKUP($B240,Seqs!$A:$B,2,0),S240,1),"")</f>
        <v>F</v>
      </c>
      <c r="S240" s="3">
        <v>135</v>
      </c>
      <c r="T240" s="3" t="str">
        <f>IFERROR(MID(VLOOKUP($B240,Seqs!$A:$B,2,0),U240,1),"")</f>
        <v>G</v>
      </c>
      <c r="U240" s="3">
        <v>136</v>
      </c>
      <c r="V240" s="3" t="str">
        <f>IFERROR(MID(VLOOKUP($B240,Seqs!$A:$B,2,0),W240,1),"")</f>
        <v>H</v>
      </c>
      <c r="W240" s="3">
        <v>171</v>
      </c>
      <c r="X240" s="3" t="str">
        <f>IFERROR(MID(VLOOKUP($B240,Seqs!$A:$B,2,0),Y240,1),"")</f>
        <v>P</v>
      </c>
      <c r="Y240" s="3">
        <v>172</v>
      </c>
      <c r="Z240" s="3" t="str">
        <f>IFERROR(MID(VLOOKUP($B240,Seqs!$A:$B,2,0),AA240,1),"")</f>
        <v>R</v>
      </c>
      <c r="AA240" s="3">
        <v>179</v>
      </c>
      <c r="AB240" s="3" t="str">
        <f>IFERROR(MID(VLOOKUP($B240,Seqs!$A:$B,2,0),AC240,1),"")</f>
        <v>T</v>
      </c>
      <c r="AC240" s="3">
        <v>180</v>
      </c>
      <c r="AD240" s="3" t="str">
        <f>IFERROR(MID(VLOOKUP($B240,Seqs!$A:$B,2,0),AE240,1),"")</f>
        <v>F</v>
      </c>
      <c r="AE240" s="3">
        <v>204</v>
      </c>
      <c r="AF240" s="3" t="str">
        <f>IFERROR(MID(VLOOKUP($B240,Seqs!$A:$B,2,0),AG240,1),"")</f>
        <v>C</v>
      </c>
      <c r="AG240" s="3">
        <v>217</v>
      </c>
      <c r="AH240" s="3" t="str">
        <f>IFERROR(MID(VLOOKUP($B240,Seqs!$A:$B,2,0),AI240,1),"")</f>
        <v>L</v>
      </c>
      <c r="AI240" s="3">
        <v>219</v>
      </c>
      <c r="AJ240" s="3" t="str">
        <f>IFERROR(MID(VLOOKUP($B240,Seqs!$A:$B,2,0),AK240,1),"")</f>
        <v>Y</v>
      </c>
      <c r="AK240" s="3">
        <v>227</v>
      </c>
      <c r="AL240" s="3" t="str">
        <f>IFERROR(MID(VLOOKUP($B240,Seqs!$A:$B,2,0),AM240,1),"")</f>
        <v>V</v>
      </c>
      <c r="AM240" s="3">
        <v>262</v>
      </c>
      <c r="AN240" s="3" t="str">
        <f>IFERROR(MID(VLOOKUP($B240,Seqs!$A:$B,2,0),AO240,1),"")</f>
        <v>S</v>
      </c>
      <c r="AO240" s="3">
        <v>268</v>
      </c>
      <c r="AP240" s="3" t="str">
        <f>IFERROR(MID(VLOOKUP($B240,Seqs!$A:$B,2,0),AQ240,1),"")</f>
        <v>I</v>
      </c>
      <c r="AQ240" s="3">
        <v>306</v>
      </c>
      <c r="AR240" s="3" t="str">
        <f>IFERROR(MID(VLOOKUP($B240,Seqs!$A:$B,2,0),AS240,1),"")</f>
        <v>F</v>
      </c>
      <c r="AS240" s="3">
        <v>313</v>
      </c>
      <c r="AT240" s="3" t="str">
        <f>IFERROR(MID(VLOOKUP($B240,Seqs!$A:$B,2,0),AU240,1),"")</f>
        <v>Y</v>
      </c>
      <c r="AU240" s="3">
        <v>336</v>
      </c>
      <c r="AV240" s="3" t="str">
        <f>IFERROR(MID(VLOOKUP($B240,Seqs!$A:$B,2,0),AW240,1),"")</f>
        <v/>
      </c>
      <c r="AW240" s="3" t="s">
        <v>23</v>
      </c>
      <c r="AX240" s="3" t="str">
        <f>IFERROR(MID(VLOOKUP($B240,Seqs!$A:$B,2,0),AY240,1),"")</f>
        <v/>
      </c>
      <c r="AY240" s="3" t="s">
        <v>23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>_xlfn.AGGREGATE(9,6,CH240:CS240)-_xlfn.AGGREGATE(9,6,BV240:CG240)+12</f>
        <v>239</v>
      </c>
      <c r="BD240" s="5" t="s">
        <v>23</v>
      </c>
      <c r="BE240" s="3" t="s">
        <v>1291</v>
      </c>
      <c r="BF240" s="119">
        <v>3.5</v>
      </c>
      <c r="BG240" s="49" t="s">
        <v>1422</v>
      </c>
      <c r="BH240" s="49" t="s">
        <v>1422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>E240</f>
        <v>67</v>
      </c>
      <c r="BW240" s="71" t="str">
        <f>I240</f>
        <v>-</v>
      </c>
      <c r="BX240" s="72">
        <f>M240</f>
        <v>102</v>
      </c>
      <c r="BY240" s="71">
        <f>Q240</f>
        <v>132</v>
      </c>
      <c r="BZ240" s="72">
        <f>U240</f>
        <v>136</v>
      </c>
      <c r="CA240" s="71">
        <f>Y240</f>
        <v>172</v>
      </c>
      <c r="CB240" s="72">
        <f>AC240</f>
        <v>180</v>
      </c>
      <c r="CC240" s="71">
        <f>AG240</f>
        <v>217</v>
      </c>
      <c r="CD240" s="72">
        <f>AK240</f>
        <v>227</v>
      </c>
      <c r="CE240" s="71">
        <f>AO240</f>
        <v>268</v>
      </c>
      <c r="CF240" s="72">
        <f>AS240</f>
        <v>313</v>
      </c>
      <c r="CG240" s="71" t="str">
        <f>AW240</f>
        <v>-</v>
      </c>
      <c r="CH240" s="70">
        <f>G240</f>
        <v>98</v>
      </c>
      <c r="CI240" s="71" t="str">
        <f>K240</f>
        <v>-</v>
      </c>
      <c r="CJ240" s="72">
        <f>O240</f>
        <v>131</v>
      </c>
      <c r="CK240" s="72">
        <f>S240</f>
        <v>135</v>
      </c>
      <c r="CL240" s="72">
        <f>W240</f>
        <v>171</v>
      </c>
      <c r="CM240" s="72">
        <f>AA240</f>
        <v>179</v>
      </c>
      <c r="CN240" s="72">
        <f>AE240</f>
        <v>204</v>
      </c>
      <c r="CO240" s="72">
        <f>AI240</f>
        <v>219</v>
      </c>
      <c r="CP240" s="72">
        <f>AM240</f>
        <v>262</v>
      </c>
      <c r="CQ240" s="72">
        <f>AQ240</f>
        <v>306</v>
      </c>
      <c r="CR240" s="72">
        <f>AU240</f>
        <v>336</v>
      </c>
      <c r="CS240" s="72" t="str">
        <f>AY240</f>
        <v>-</v>
      </c>
      <c r="CT240" s="23" t="e">
        <f>M240-K240</f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>CONCATENATE(B241,"_",C241)</f>
        <v>oprm_mouse_6DDF</v>
      </c>
      <c r="B241" s="3" t="s">
        <v>917</v>
      </c>
      <c r="C241" s="3" t="s">
        <v>1501</v>
      </c>
      <c r="D241" s="3" t="str">
        <f>IFERROR(MID(VLOOKUP($B241,Seqs!$A:$B,2,0),E241,1),"")</f>
        <v>T</v>
      </c>
      <c r="E241" s="3">
        <v>67</v>
      </c>
      <c r="F241" s="3" t="str">
        <f>IFERROR(MID(VLOOKUP($B241,Seqs!$A:$B,2,0),G241,1),"")</f>
        <v>K</v>
      </c>
      <c r="G241" s="3">
        <v>98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A</v>
      </c>
      <c r="M241" s="3">
        <v>102</v>
      </c>
      <c r="N241" s="3" t="str">
        <f>IFERROR(MID(VLOOKUP($B241,Seqs!$A:$B,2,0),O241,1),"")</f>
        <v>G</v>
      </c>
      <c r="O241" s="3">
        <v>131</v>
      </c>
      <c r="P241" s="3" t="str">
        <f>IFERROR(MID(VLOOKUP($B241,Seqs!$A:$B,2,0),Q241,1),"")</f>
        <v>T</v>
      </c>
      <c r="Q241" s="3">
        <v>132</v>
      </c>
      <c r="R241" s="3" t="str">
        <f>IFERROR(MID(VLOOKUP($B241,Seqs!$A:$B,2,0),S241,1),"")</f>
        <v>F</v>
      </c>
      <c r="S241" s="3">
        <v>135</v>
      </c>
      <c r="T241" s="3" t="str">
        <f>IFERROR(MID(VLOOKUP($B241,Seqs!$A:$B,2,0),U241,1),"")</f>
        <v>G</v>
      </c>
      <c r="U241" s="3">
        <v>136</v>
      </c>
      <c r="V241" s="3" t="str">
        <f>IFERROR(MID(VLOOKUP($B241,Seqs!$A:$B,2,0),W241,1),"")</f>
        <v>H</v>
      </c>
      <c r="W241" s="3">
        <v>171</v>
      </c>
      <c r="X241" s="3" t="str">
        <f>IFERROR(MID(VLOOKUP($B241,Seqs!$A:$B,2,0),Y241,1),"")</f>
        <v>P</v>
      </c>
      <c r="Y241" s="3">
        <v>172</v>
      </c>
      <c r="Z241" s="3" t="str">
        <f>IFERROR(MID(VLOOKUP($B241,Seqs!$A:$B,2,0),AA241,1),"")</f>
        <v>R</v>
      </c>
      <c r="AA241" s="3">
        <v>179</v>
      </c>
      <c r="AB241" s="3" t="str">
        <f>IFERROR(MID(VLOOKUP($B241,Seqs!$A:$B,2,0),AC241,1),"")</f>
        <v>T</v>
      </c>
      <c r="AC241" s="3">
        <v>180</v>
      </c>
      <c r="AD241" s="3" t="str">
        <f>IFERROR(MID(VLOOKUP($B241,Seqs!$A:$B,2,0),AE241,1),"")</f>
        <v>F</v>
      </c>
      <c r="AE241" s="3">
        <v>204</v>
      </c>
      <c r="AF241" s="3" t="str">
        <f>IFERROR(MID(VLOOKUP($B241,Seqs!$A:$B,2,0),AG241,1),"")</f>
        <v>C</v>
      </c>
      <c r="AG241" s="3">
        <v>217</v>
      </c>
      <c r="AH241" s="3" t="str">
        <f>IFERROR(MID(VLOOKUP($B241,Seqs!$A:$B,2,0),AI241,1),"")</f>
        <v>L</v>
      </c>
      <c r="AI241" s="3">
        <v>219</v>
      </c>
      <c r="AJ241" s="3" t="str">
        <f>IFERROR(MID(VLOOKUP($B241,Seqs!$A:$B,2,0),AK241,1),"")</f>
        <v>Y</v>
      </c>
      <c r="AK241" s="3">
        <v>227</v>
      </c>
      <c r="AL241" s="3" t="str">
        <f>IFERROR(MID(VLOOKUP($B241,Seqs!$A:$B,2,0),AM241,1),"")</f>
        <v>V</v>
      </c>
      <c r="AM241" s="3">
        <v>262</v>
      </c>
      <c r="AN241" s="3" t="str">
        <f>IFERROR(MID(VLOOKUP($B241,Seqs!$A:$B,2,0),AO241,1),"")</f>
        <v>S</v>
      </c>
      <c r="AO241" s="3">
        <v>268</v>
      </c>
      <c r="AP241" s="3" t="str">
        <f>IFERROR(MID(VLOOKUP($B241,Seqs!$A:$B,2,0),AQ241,1),"")</f>
        <v>I</v>
      </c>
      <c r="AQ241" s="3">
        <v>306</v>
      </c>
      <c r="AR241" s="3" t="str">
        <f>IFERROR(MID(VLOOKUP($B241,Seqs!$A:$B,2,0),AS241,1),"")</f>
        <v>F</v>
      </c>
      <c r="AS241" s="3">
        <v>313</v>
      </c>
      <c r="AT241" s="3" t="str">
        <f>IFERROR(MID(VLOOKUP($B241,Seqs!$A:$B,2,0),AU241,1),"")</f>
        <v>Y</v>
      </c>
      <c r="AU241" s="3">
        <v>336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Opioid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239</v>
      </c>
      <c r="BD241" s="5" t="s">
        <v>23</v>
      </c>
      <c r="BE241" s="3" t="s">
        <v>1291</v>
      </c>
      <c r="BF241" s="119">
        <v>4.5</v>
      </c>
      <c r="BG241" s="49" t="s">
        <v>1422</v>
      </c>
      <c r="BH241" s="49" t="s">
        <v>1422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>E241</f>
        <v>67</v>
      </c>
      <c r="BW241" s="71" t="str">
        <f>I241</f>
        <v>-</v>
      </c>
      <c r="BX241" s="72">
        <f>M241</f>
        <v>102</v>
      </c>
      <c r="BY241" s="71">
        <f>Q241</f>
        <v>132</v>
      </c>
      <c r="BZ241" s="72">
        <f>U241</f>
        <v>136</v>
      </c>
      <c r="CA241" s="71">
        <f>Y241</f>
        <v>172</v>
      </c>
      <c r="CB241" s="72">
        <f>AC241</f>
        <v>180</v>
      </c>
      <c r="CC241" s="71">
        <f>AG241</f>
        <v>217</v>
      </c>
      <c r="CD241" s="72">
        <f>AK241</f>
        <v>227</v>
      </c>
      <c r="CE241" s="71">
        <f>AO241</f>
        <v>268</v>
      </c>
      <c r="CF241" s="72">
        <f>AS241</f>
        <v>313</v>
      </c>
      <c r="CG241" s="71" t="str">
        <f>AW241</f>
        <v>-</v>
      </c>
      <c r="CH241" s="70">
        <f>G241</f>
        <v>98</v>
      </c>
      <c r="CI241" s="71" t="str">
        <f>K241</f>
        <v>-</v>
      </c>
      <c r="CJ241" s="72">
        <f>O241</f>
        <v>131</v>
      </c>
      <c r="CK241" s="72">
        <f>S241</f>
        <v>135</v>
      </c>
      <c r="CL241" s="72">
        <f>W241</f>
        <v>171</v>
      </c>
      <c r="CM241" s="72">
        <f>AA241</f>
        <v>179</v>
      </c>
      <c r="CN241" s="72">
        <f>AE241</f>
        <v>204</v>
      </c>
      <c r="CO241" s="72">
        <f>AI241</f>
        <v>219</v>
      </c>
      <c r="CP241" s="72">
        <f>AM241</f>
        <v>262</v>
      </c>
      <c r="CQ241" s="72">
        <f>AQ241</f>
        <v>306</v>
      </c>
      <c r="CR241" s="72">
        <f>AU241</f>
        <v>336</v>
      </c>
      <c r="CS241" s="72" t="str">
        <f>AY241</f>
        <v>-</v>
      </c>
      <c r="CT241" s="23" t="e">
        <f>M241-K241</f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61"/>
        <v>oprx_human__wt</v>
      </c>
      <c r="B242" s="3" t="s">
        <v>1173</v>
      </c>
      <c r="C242" s="3" t="s">
        <v>100</v>
      </c>
      <c r="D242" s="3" t="str">
        <f>IFERROR(MID(VLOOKUP($B242,Seqs!$A:$B,2,0),E242,1),"")</f>
        <v>L</v>
      </c>
      <c r="E242" s="3">
        <v>48</v>
      </c>
      <c r="F242" s="3" t="str">
        <f>IFERROR(MID(VLOOKUP($B242,Seqs!$A:$B,2,0),G242,1),"")</f>
        <v>H</v>
      </c>
      <c r="G242" s="3">
        <v>79</v>
      </c>
      <c r="H242" s="3" t="str">
        <f>IFERROR(MID(VLOOKUP($B242,Seqs!$A:$B,2,0),I242,1),"")</f>
        <v>T</v>
      </c>
      <c r="I242" s="23">
        <v>80</v>
      </c>
      <c r="J242" s="3" t="str">
        <f>IFERROR(MID(VLOOKUP($B242,Seqs!$A:$B,2,0),K242,1),"")</f>
        <v>K</v>
      </c>
      <c r="K242" s="23">
        <v>83</v>
      </c>
      <c r="L242" s="3" t="str">
        <f>IFERROR(MID(VLOOKUP($B242,Seqs!$A:$B,2,0),M242,1),"")</f>
        <v>T</v>
      </c>
      <c r="M242" s="3">
        <v>84</v>
      </c>
      <c r="N242" s="3" t="str">
        <f>IFERROR(MID(VLOOKUP($B242,Seqs!$A:$B,2,0),O242,1),"")</f>
        <v>L</v>
      </c>
      <c r="O242" s="3">
        <v>113</v>
      </c>
      <c r="P242" s="3" t="str">
        <f>IFERROR(MID(VLOOKUP($B242,Seqs!$A:$B,2,0),Q242,1),"")</f>
        <v>F</v>
      </c>
      <c r="Q242" s="3">
        <v>115</v>
      </c>
      <c r="R242" s="3" t="str">
        <f>IFERROR(MID(VLOOKUP($B242,Seqs!$A:$B,2,0),S242,1),"")</f>
        <v>F</v>
      </c>
      <c r="S242" s="3">
        <v>118</v>
      </c>
      <c r="T242" s="3" t="str">
        <f>IFERROR(MID(VLOOKUP($B242,Seqs!$A:$B,2,0),U242,1),"")</f>
        <v>G</v>
      </c>
      <c r="U242" s="3">
        <v>119</v>
      </c>
      <c r="V242" s="3" t="str">
        <f>IFERROR(MID(VLOOKUP($B242,Seqs!$A:$B,2,0),W242,1),"")</f>
        <v>H</v>
      </c>
      <c r="W242" s="3">
        <v>154</v>
      </c>
      <c r="X242" s="3" t="str">
        <f>IFERROR(MID(VLOOKUP($B242,Seqs!$A:$B,2,0),Y242,1),"")</f>
        <v>P</v>
      </c>
      <c r="Y242" s="3">
        <v>155</v>
      </c>
      <c r="Z242" s="3" t="str">
        <f>IFERROR(MID(VLOOKUP($B242,Seqs!$A:$B,2,0),AA242,1),"")</f>
        <v>R</v>
      </c>
      <c r="AA242" s="3">
        <v>162</v>
      </c>
      <c r="AB242" s="3" t="str">
        <f>IFERROR(MID(VLOOKUP($B242,Seqs!$A:$B,2,0),AC242,1),"")</f>
        <v>T</v>
      </c>
      <c r="AC242" s="9">
        <v>163</v>
      </c>
      <c r="AD242" s="3" t="str">
        <f>IFERROR(MID(VLOOKUP($B242,Seqs!$A:$B,2,0),AE242,1),"")</f>
        <v>G</v>
      </c>
      <c r="AE242" s="3">
        <v>189</v>
      </c>
      <c r="AF242" s="3" t="str">
        <f>IFERROR(MID(VLOOKUP($B242,Seqs!$A:$B,2,0),AG242,1),"")</f>
        <v>C</v>
      </c>
      <c r="AG242" s="3">
        <v>200</v>
      </c>
      <c r="AH242" s="3" t="str">
        <f>IFERROR(MID(VLOOKUP($B242,Seqs!$A:$B,2,0),AI242,1),"")</f>
        <v>V</v>
      </c>
      <c r="AI242" s="3">
        <v>202</v>
      </c>
      <c r="AJ242" s="3" t="str">
        <f>IFERROR(MID(VLOOKUP($B242,Seqs!$A:$B,2,0),AK242,1),"")</f>
        <v>Q</v>
      </c>
      <c r="AK242" s="3">
        <v>208</v>
      </c>
      <c r="AL242" s="3" t="str">
        <f>IFERROR(MID(VLOOKUP($B242,Seqs!$A:$B,2,0),AM242,1),"")</f>
        <v>V</v>
      </c>
      <c r="AM242" s="3">
        <v>245</v>
      </c>
      <c r="AN242" s="3" t="str">
        <f>IFERROR(MID(VLOOKUP($B242,Seqs!$A:$B,2,0),AO242,1),"")</f>
        <v>S</v>
      </c>
      <c r="AO242" s="3">
        <v>251</v>
      </c>
      <c r="AP242" s="3" t="str">
        <f>IFERROR(MID(VLOOKUP($B242,Seqs!$A:$B,2,0),AQ242,1),"")</f>
        <v>G</v>
      </c>
      <c r="AQ242" s="3">
        <v>289</v>
      </c>
      <c r="AR242" s="3" t="str">
        <f>IFERROR(MID(VLOOKUP($B242,Seqs!$A:$B,2,0),AS242,1),"")</f>
        <v>S</v>
      </c>
      <c r="AS242" s="3">
        <v>294</v>
      </c>
      <c r="AT242" s="3" t="str">
        <f>IFERROR(MID(VLOOKUP($B242,Seqs!$A:$B,2,0),AU242,1),"")</f>
        <v>L</v>
      </c>
      <c r="AU242" s="3">
        <v>322</v>
      </c>
      <c r="AV242" s="3" t="str">
        <f>IFERROR(MID(VLOOKUP($B242,Seqs!$A:$B,2,0),AW242,1),"")</f>
        <v>D</v>
      </c>
      <c r="AW242" s="3">
        <v>323</v>
      </c>
      <c r="AX242" s="3" t="str">
        <f>IFERROR(MID(VLOOKUP($B242,Seqs!$A:$B,2,0),AY242,1),"")</f>
        <v>C</v>
      </c>
      <c r="AY242" s="3">
        <v>335</v>
      </c>
      <c r="AZ242" s="77" t="str">
        <f>VLOOKUP(B242,Classification!A:D,2,0)</f>
        <v>A</v>
      </c>
      <c r="BA242" s="94" t="str">
        <f>VLOOKUP(B242,Classification!A:D,4,0)</f>
        <v>Opioid</v>
      </c>
      <c r="BB242" s="27" t="b">
        <f t="shared" si="1062"/>
        <v>1</v>
      </c>
      <c r="BC242" s="23">
        <f t="shared" si="1035"/>
        <v>263</v>
      </c>
      <c r="BD242" s="56" t="s">
        <v>23</v>
      </c>
      <c r="BE242" s="3" t="s">
        <v>23</v>
      </c>
      <c r="BF242" s="119" t="s">
        <v>23</v>
      </c>
      <c r="BG242" s="49" t="s">
        <v>1372</v>
      </c>
      <c r="BH242" s="49" t="s">
        <v>1377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si="1036"/>
        <v>48</v>
      </c>
      <c r="BW242" s="71">
        <f t="shared" si="1037"/>
        <v>80</v>
      </c>
      <c r="BX242" s="72">
        <f t="shared" si="1038"/>
        <v>84</v>
      </c>
      <c r="BY242" s="71">
        <f t="shared" si="1039"/>
        <v>115</v>
      </c>
      <c r="BZ242" s="72">
        <f t="shared" si="1040"/>
        <v>119</v>
      </c>
      <c r="CA242" s="71">
        <f t="shared" si="1041"/>
        <v>155</v>
      </c>
      <c r="CB242" s="72">
        <f t="shared" si="1042"/>
        <v>163</v>
      </c>
      <c r="CC242" s="71">
        <f t="shared" si="1043"/>
        <v>200</v>
      </c>
      <c r="CD242" s="72">
        <f t="shared" si="1044"/>
        <v>208</v>
      </c>
      <c r="CE242" s="71">
        <f t="shared" si="1045"/>
        <v>251</v>
      </c>
      <c r="CF242" s="72">
        <f t="shared" si="1046"/>
        <v>294</v>
      </c>
      <c r="CG242" s="71">
        <f t="shared" si="1047"/>
        <v>323</v>
      </c>
      <c r="CH242" s="70">
        <f t="shared" si="1048"/>
        <v>79</v>
      </c>
      <c r="CI242" s="71">
        <f t="shared" si="1049"/>
        <v>83</v>
      </c>
      <c r="CJ242" s="72">
        <f t="shared" si="1050"/>
        <v>113</v>
      </c>
      <c r="CK242" s="72">
        <f t="shared" si="1051"/>
        <v>118</v>
      </c>
      <c r="CL242" s="72">
        <f t="shared" si="1052"/>
        <v>154</v>
      </c>
      <c r="CM242" s="72">
        <f t="shared" si="1053"/>
        <v>162</v>
      </c>
      <c r="CN242" s="72">
        <f t="shared" si="1054"/>
        <v>189</v>
      </c>
      <c r="CO242" s="72">
        <f t="shared" si="1055"/>
        <v>202</v>
      </c>
      <c r="CP242" s="72">
        <f t="shared" si="1056"/>
        <v>245</v>
      </c>
      <c r="CQ242" s="72">
        <f t="shared" si="1057"/>
        <v>289</v>
      </c>
      <c r="CR242" s="72">
        <f t="shared" si="1058"/>
        <v>322</v>
      </c>
      <c r="CS242" s="72">
        <f t="shared" si="1059"/>
        <v>335</v>
      </c>
      <c r="CT242" s="23">
        <f t="shared" si="1060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061"/>
        <v>oprx_human_4EA3</v>
      </c>
      <c r="B243" s="3" t="s">
        <v>1173</v>
      </c>
      <c r="C243" s="3" t="s">
        <v>67</v>
      </c>
      <c r="D243" s="3" t="str">
        <f>IFERROR(MID(VLOOKUP($B243,Seqs!$A:$B,2,0),E243,1),"")</f>
        <v>L</v>
      </c>
      <c r="E243" s="3">
        <v>48</v>
      </c>
      <c r="F243" s="3" t="str">
        <f>IFERROR(MID(VLOOKUP($B243,Seqs!$A:$B,2,0),G243,1),"")</f>
        <v>H</v>
      </c>
      <c r="G243" s="3">
        <v>79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84</v>
      </c>
      <c r="N243" s="3" t="str">
        <f>IFERROR(MID(VLOOKUP($B243,Seqs!$A:$B,2,0),O243,1),"")</f>
        <v>L</v>
      </c>
      <c r="O243" s="3">
        <v>113</v>
      </c>
      <c r="P243" s="3" t="str">
        <f>IFERROR(MID(VLOOKUP($B243,Seqs!$A:$B,2,0),Q243,1),"")</f>
        <v>F</v>
      </c>
      <c r="Q243" s="3">
        <v>115</v>
      </c>
      <c r="R243" s="3" t="str">
        <f>IFERROR(MID(VLOOKUP($B243,Seqs!$A:$B,2,0),S243,1),"")</f>
        <v>F</v>
      </c>
      <c r="S243" s="3">
        <v>118</v>
      </c>
      <c r="T243" s="3" t="str">
        <f>IFERROR(MID(VLOOKUP($B243,Seqs!$A:$B,2,0),U243,1),"")</f>
        <v>G</v>
      </c>
      <c r="U243" s="3">
        <v>119</v>
      </c>
      <c r="V243" s="3" t="str">
        <f>IFERROR(MID(VLOOKUP($B243,Seqs!$A:$B,2,0),W243,1),"")</f>
        <v>H</v>
      </c>
      <c r="W243" s="3">
        <v>154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163</v>
      </c>
      <c r="AD243" s="3" t="str">
        <f>IFERROR(MID(VLOOKUP($B243,Seqs!$A:$B,2,0),AE243,1),"")</f>
        <v>G</v>
      </c>
      <c r="AE243" s="3">
        <v>189</v>
      </c>
      <c r="AF243" s="3" t="str">
        <f>IFERROR(MID(VLOOKUP($B243,Seqs!$A:$B,2,0),AG243,1),"")</f>
        <v>C</v>
      </c>
      <c r="AG243" s="3">
        <v>200</v>
      </c>
      <c r="AH243" s="3" t="str">
        <f>IFERROR(MID(VLOOKUP($B243,Seqs!$A:$B,2,0),AI243,1),"")</f>
        <v>V</v>
      </c>
      <c r="AI243" s="3">
        <v>202</v>
      </c>
      <c r="AJ243" s="3" t="str">
        <f>IFERROR(MID(VLOOKUP($B243,Seqs!$A:$B,2,0),AK243,1),"")</f>
        <v>Q</v>
      </c>
      <c r="AK243" s="3">
        <v>208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S</v>
      </c>
      <c r="AO243" s="3">
        <v>251</v>
      </c>
      <c r="AP243" s="3" t="str">
        <f>IFERROR(MID(VLOOKUP($B243,Seqs!$A:$B,2,0),AQ243,1),"")</f>
        <v>G</v>
      </c>
      <c r="AQ243" s="3">
        <v>289</v>
      </c>
      <c r="AR243" s="3" t="str">
        <f>IFERROR(MID(VLOOKUP($B243,Seqs!$A:$B,2,0),AS243,1),"")</f>
        <v>S</v>
      </c>
      <c r="AS243" s="3">
        <v>294</v>
      </c>
      <c r="AT243" s="3" t="str">
        <f>IFERROR(MID(VLOOKUP($B243,Seqs!$A:$B,2,0),AU243,1),"")</f>
        <v>L</v>
      </c>
      <c r="AU243" s="3">
        <v>322</v>
      </c>
      <c r="AV243" s="3" t="str">
        <f>IFERROR(MID(VLOOKUP($B243,Seqs!$A:$B,2,0),AW243,1),"")</f>
        <v>D</v>
      </c>
      <c r="AW243" s="3">
        <v>323</v>
      </c>
      <c r="AX243" s="3" t="str">
        <f>IFERROR(MID(VLOOKUP($B243,Seqs!$A:$B,2,0),AY243,1),"")</f>
        <v>R</v>
      </c>
      <c r="AY243" s="3">
        <v>331</v>
      </c>
      <c r="AZ243" s="77" t="str">
        <f>VLOOKUP(B243,Classification!A:D,2,0)</f>
        <v>A</v>
      </c>
      <c r="BA243" s="94" t="str">
        <f>VLOOKUP(B243,Classification!A:D,4,0)</f>
        <v>Opioid</v>
      </c>
      <c r="BB243" s="27" t="b">
        <f t="shared" si="1062"/>
        <v>1</v>
      </c>
      <c r="BC243" s="23">
        <f t="shared" si="1035"/>
        <v>246</v>
      </c>
      <c r="BD243" s="5" t="s">
        <v>23</v>
      </c>
      <c r="BE243" s="3" t="s">
        <v>1374</v>
      </c>
      <c r="BF243" s="119">
        <v>3.01</v>
      </c>
      <c r="BG243" s="49" t="s">
        <v>1377</v>
      </c>
      <c r="BH243" s="49" t="s">
        <v>1377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 t="shared" si="1036"/>
        <v>48</v>
      </c>
      <c r="BW243" s="71" t="str">
        <f t="shared" si="1037"/>
        <v>-</v>
      </c>
      <c r="BX243" s="72">
        <f t="shared" si="1038"/>
        <v>84</v>
      </c>
      <c r="BY243" s="71">
        <f t="shared" si="1039"/>
        <v>115</v>
      </c>
      <c r="BZ243" s="72">
        <f t="shared" si="1040"/>
        <v>119</v>
      </c>
      <c r="CA243" s="71" t="str">
        <f t="shared" si="1041"/>
        <v>-</v>
      </c>
      <c r="CB243" s="72">
        <f t="shared" si="1042"/>
        <v>163</v>
      </c>
      <c r="CC243" s="71">
        <f t="shared" si="1043"/>
        <v>200</v>
      </c>
      <c r="CD243" s="72">
        <f t="shared" si="1044"/>
        <v>208</v>
      </c>
      <c r="CE243" s="71">
        <f t="shared" si="1045"/>
        <v>251</v>
      </c>
      <c r="CF243" s="72">
        <f t="shared" si="1046"/>
        <v>294</v>
      </c>
      <c r="CG243" s="71">
        <f t="shared" si="1047"/>
        <v>323</v>
      </c>
      <c r="CH243" s="70">
        <f t="shared" si="1048"/>
        <v>79</v>
      </c>
      <c r="CI243" s="71" t="str">
        <f t="shared" si="1049"/>
        <v>-</v>
      </c>
      <c r="CJ243" s="72">
        <f t="shared" si="1050"/>
        <v>113</v>
      </c>
      <c r="CK243" s="72">
        <f t="shared" si="1051"/>
        <v>118</v>
      </c>
      <c r="CL243" s="72">
        <f t="shared" si="1052"/>
        <v>154</v>
      </c>
      <c r="CM243" s="72" t="str">
        <f t="shared" si="1053"/>
        <v>-</v>
      </c>
      <c r="CN243" s="72">
        <f t="shared" si="1054"/>
        <v>189</v>
      </c>
      <c r="CO243" s="72">
        <f t="shared" si="1055"/>
        <v>202</v>
      </c>
      <c r="CP243" s="72">
        <f t="shared" si="1056"/>
        <v>242</v>
      </c>
      <c r="CQ243" s="72">
        <f t="shared" si="1057"/>
        <v>289</v>
      </c>
      <c r="CR243" s="72">
        <f t="shared" si="1058"/>
        <v>322</v>
      </c>
      <c r="CS243" s="72">
        <f t="shared" si="1059"/>
        <v>331</v>
      </c>
      <c r="CT243" s="23" t="e">
        <f t="shared" si="1060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61"/>
        <v>oprx_human_5DHG</v>
      </c>
      <c r="B244" s="3" t="s">
        <v>1173</v>
      </c>
      <c r="C244" s="3" t="s">
        <v>1355</v>
      </c>
      <c r="D244" s="3" t="str">
        <f>IFERROR(MID(VLOOKUP($B244,Seqs!$A:$B,2,0),E244,1),"")</f>
        <v>L</v>
      </c>
      <c r="E244" s="3">
        <v>48</v>
      </c>
      <c r="F244" s="3" t="str">
        <f>IFERROR(MID(VLOOKUP($B244,Seqs!$A:$B,2,0),G244,1),"")</f>
        <v>H</v>
      </c>
      <c r="G244" s="3">
        <v>79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T</v>
      </c>
      <c r="M244" s="3">
        <v>84</v>
      </c>
      <c r="N244" s="3" t="str">
        <f>IFERROR(MID(VLOOKUP($B244,Seqs!$A:$B,2,0),O244,1),"")</f>
        <v>L</v>
      </c>
      <c r="O244" s="3">
        <v>113</v>
      </c>
      <c r="P244" s="3" t="str">
        <f>IFERROR(MID(VLOOKUP($B244,Seqs!$A:$B,2,0),Q244,1),"")</f>
        <v>F</v>
      </c>
      <c r="Q244" s="3">
        <v>115</v>
      </c>
      <c r="R244" s="3" t="str">
        <f>IFERROR(MID(VLOOKUP($B244,Seqs!$A:$B,2,0),S244,1),"")</f>
        <v>F</v>
      </c>
      <c r="S244" s="3">
        <v>118</v>
      </c>
      <c r="T244" s="3" t="str">
        <f>IFERROR(MID(VLOOKUP($B244,Seqs!$A:$B,2,0),U244,1),"")</f>
        <v>G</v>
      </c>
      <c r="U244" s="3">
        <v>119</v>
      </c>
      <c r="V244" s="3" t="str">
        <f>IFERROR(MID(VLOOKUP($B244,Seqs!$A:$B,2,0),W244,1),"")</f>
        <v>H</v>
      </c>
      <c r="W244" s="3">
        <v>154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T</v>
      </c>
      <c r="AC244" s="9">
        <v>163</v>
      </c>
      <c r="AD244" s="3" t="str">
        <f>IFERROR(MID(VLOOKUP($B244,Seqs!$A:$B,2,0),AE244,1),"")</f>
        <v>G</v>
      </c>
      <c r="AE244" s="3">
        <v>189</v>
      </c>
      <c r="AF244" s="3" t="str">
        <f>IFERROR(MID(VLOOKUP($B244,Seqs!$A:$B,2,0),AG244,1),"")</f>
        <v>C</v>
      </c>
      <c r="AG244" s="3">
        <v>200</v>
      </c>
      <c r="AH244" s="3" t="str">
        <f>IFERROR(MID(VLOOKUP($B244,Seqs!$A:$B,2,0),AI244,1),"")</f>
        <v>V</v>
      </c>
      <c r="AI244" s="3">
        <v>202</v>
      </c>
      <c r="AJ244" s="3" t="str">
        <f>IFERROR(MID(VLOOKUP($B244,Seqs!$A:$B,2,0),AK244,1),"")</f>
        <v>Q</v>
      </c>
      <c r="AK244" s="3">
        <v>208</v>
      </c>
      <c r="AL244" s="3" t="str">
        <f>IFERROR(MID(VLOOKUP($B244,Seqs!$A:$B,2,0),AM244,1),"")</f>
        <v>L</v>
      </c>
      <c r="AM244" s="3">
        <v>242</v>
      </c>
      <c r="AN244" s="3" t="str">
        <f>IFERROR(MID(VLOOKUP($B244,Seqs!$A:$B,2,0),AO244,1),"")</f>
        <v>S</v>
      </c>
      <c r="AO244" s="3">
        <v>251</v>
      </c>
      <c r="AP244" s="3" t="str">
        <f>IFERROR(MID(VLOOKUP($B244,Seqs!$A:$B,2,0),AQ244,1),"")</f>
        <v>G</v>
      </c>
      <c r="AQ244" s="3">
        <v>289</v>
      </c>
      <c r="AR244" s="3" t="str">
        <f>IFERROR(MID(VLOOKUP($B244,Seqs!$A:$B,2,0),AS244,1),"")</f>
        <v>S</v>
      </c>
      <c r="AS244" s="3">
        <v>294</v>
      </c>
      <c r="AT244" s="3" t="str">
        <f>IFERROR(MID(VLOOKUP($B244,Seqs!$A:$B,2,0),AU244,1),"")</f>
        <v>L</v>
      </c>
      <c r="AU244" s="3">
        <v>322</v>
      </c>
      <c r="AV244" s="3" t="str">
        <f>IFERROR(MID(VLOOKUP($B244,Seqs!$A:$B,2,0),AW244,1),"")</f>
        <v>D</v>
      </c>
      <c r="AW244" s="3">
        <v>323</v>
      </c>
      <c r="AX244" s="3" t="str">
        <f>IFERROR(MID(VLOOKUP($B244,Seqs!$A:$B,2,0),AY244,1),"")</f>
        <v>F</v>
      </c>
      <c r="AY244" s="3">
        <v>333</v>
      </c>
      <c r="AZ244" s="77" t="str">
        <f>VLOOKUP(B244,Classification!A:D,2,0)</f>
        <v>A</v>
      </c>
      <c r="BA244" s="94" t="str">
        <f>VLOOKUP(B244,Classification!A:D,4,0)</f>
        <v>Opioid</v>
      </c>
      <c r="BB244" s="27" t="b">
        <f t="shared" si="1062"/>
        <v>1</v>
      </c>
      <c r="BC244" s="23">
        <f t="shared" si="1035"/>
        <v>248</v>
      </c>
      <c r="BD244" s="16" t="s">
        <v>1376</v>
      </c>
      <c r="BE244" s="3" t="s">
        <v>1374</v>
      </c>
      <c r="BF244" s="119">
        <v>3</v>
      </c>
      <c r="BG244" s="49" t="s">
        <v>1281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 t="shared" si="1036"/>
        <v>48</v>
      </c>
      <c r="BW244" s="71" t="str">
        <f t="shared" si="1037"/>
        <v>-</v>
      </c>
      <c r="BX244" s="72">
        <f t="shared" si="1038"/>
        <v>84</v>
      </c>
      <c r="BY244" s="71">
        <f t="shared" si="1039"/>
        <v>115</v>
      </c>
      <c r="BZ244" s="72">
        <f t="shared" si="1040"/>
        <v>119</v>
      </c>
      <c r="CA244" s="71" t="str">
        <f t="shared" si="1041"/>
        <v>-</v>
      </c>
      <c r="CB244" s="72">
        <f t="shared" si="1042"/>
        <v>163</v>
      </c>
      <c r="CC244" s="71">
        <f t="shared" si="1043"/>
        <v>200</v>
      </c>
      <c r="CD244" s="72">
        <f t="shared" si="1044"/>
        <v>208</v>
      </c>
      <c r="CE244" s="71">
        <f t="shared" si="1045"/>
        <v>251</v>
      </c>
      <c r="CF244" s="72">
        <f t="shared" si="1046"/>
        <v>294</v>
      </c>
      <c r="CG244" s="71">
        <f t="shared" si="1047"/>
        <v>323</v>
      </c>
      <c r="CH244" s="70">
        <f t="shared" si="1048"/>
        <v>79</v>
      </c>
      <c r="CI244" s="71" t="str">
        <f t="shared" si="1049"/>
        <v>-</v>
      </c>
      <c r="CJ244" s="72">
        <f t="shared" si="1050"/>
        <v>113</v>
      </c>
      <c r="CK244" s="72">
        <f t="shared" si="1051"/>
        <v>118</v>
      </c>
      <c r="CL244" s="72">
        <f t="shared" si="1052"/>
        <v>154</v>
      </c>
      <c r="CM244" s="72" t="str">
        <f t="shared" si="1053"/>
        <v>-</v>
      </c>
      <c r="CN244" s="72">
        <f t="shared" si="1054"/>
        <v>189</v>
      </c>
      <c r="CO244" s="72">
        <f t="shared" si="1055"/>
        <v>202</v>
      </c>
      <c r="CP244" s="72">
        <f t="shared" si="1056"/>
        <v>242</v>
      </c>
      <c r="CQ244" s="72">
        <f t="shared" si="1057"/>
        <v>289</v>
      </c>
      <c r="CR244" s="72">
        <f t="shared" si="1058"/>
        <v>322</v>
      </c>
      <c r="CS244" s="72">
        <f t="shared" si="1059"/>
        <v>333</v>
      </c>
      <c r="CT244" s="23" t="e">
        <f t="shared" si="1060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061"/>
        <v>oprx_human_5DHH</v>
      </c>
      <c r="B245" s="3" t="s">
        <v>1173</v>
      </c>
      <c r="C245" s="3" t="s">
        <v>1356</v>
      </c>
      <c r="D245" s="3" t="str">
        <f>IFERROR(MID(VLOOKUP($B245,Seqs!$A:$B,2,0),E245,1),"")</f>
        <v>L</v>
      </c>
      <c r="E245" s="3">
        <v>48</v>
      </c>
      <c r="F245" s="3" t="str">
        <f>IFERROR(MID(VLOOKUP($B245,Seqs!$A:$B,2,0),G245,1),"")</f>
        <v>H</v>
      </c>
      <c r="G245" s="3">
        <v>79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84</v>
      </c>
      <c r="N245" s="3" t="str">
        <f>IFERROR(MID(VLOOKUP($B245,Seqs!$A:$B,2,0),O245,1),"")</f>
        <v>L</v>
      </c>
      <c r="O245" s="3">
        <v>113</v>
      </c>
      <c r="P245" s="3" t="str">
        <f>IFERROR(MID(VLOOKUP($B245,Seqs!$A:$B,2,0),Q245,1),"")</f>
        <v>F</v>
      </c>
      <c r="Q245" s="3">
        <v>115</v>
      </c>
      <c r="R245" s="3" t="str">
        <f>IFERROR(MID(VLOOKUP($B245,Seqs!$A:$B,2,0),S245,1),"")</f>
        <v>F</v>
      </c>
      <c r="S245" s="3">
        <v>118</v>
      </c>
      <c r="T245" s="3" t="str">
        <f>IFERROR(MID(VLOOKUP($B245,Seqs!$A:$B,2,0),U245,1),"")</f>
        <v>G</v>
      </c>
      <c r="U245" s="3">
        <v>119</v>
      </c>
      <c r="V245" s="3" t="str">
        <f>IFERROR(MID(VLOOKUP($B245,Seqs!$A:$B,2,0),W245,1),"")</f>
        <v>H</v>
      </c>
      <c r="W245" s="3">
        <v>154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163</v>
      </c>
      <c r="AD245" s="3" t="str">
        <f>IFERROR(MID(VLOOKUP($B245,Seqs!$A:$B,2,0),AE245,1),"")</f>
        <v>G</v>
      </c>
      <c r="AE245" s="3">
        <v>189</v>
      </c>
      <c r="AF245" s="3" t="str">
        <f>IFERROR(MID(VLOOKUP($B245,Seqs!$A:$B,2,0),AG245,1),"")</f>
        <v>C</v>
      </c>
      <c r="AG245" s="3">
        <v>200</v>
      </c>
      <c r="AH245" s="3" t="str">
        <f>IFERROR(MID(VLOOKUP($B245,Seqs!$A:$B,2,0),AI245,1),"")</f>
        <v>V</v>
      </c>
      <c r="AI245" s="3">
        <v>202</v>
      </c>
      <c r="AJ245" s="3" t="str">
        <f>IFERROR(MID(VLOOKUP($B245,Seqs!$A:$B,2,0),AK245,1),"")</f>
        <v>Q</v>
      </c>
      <c r="AK245" s="3">
        <v>208</v>
      </c>
      <c r="AL245" s="3" t="str">
        <f>IFERROR(MID(VLOOKUP($B245,Seqs!$A:$B,2,0),AM245,1),"")</f>
        <v>L</v>
      </c>
      <c r="AM245" s="3">
        <v>242</v>
      </c>
      <c r="AN245" s="3" t="str">
        <f>IFERROR(MID(VLOOKUP($B245,Seqs!$A:$B,2,0),AO245,1),"")</f>
        <v>S</v>
      </c>
      <c r="AO245" s="3">
        <v>251</v>
      </c>
      <c r="AP245" s="3" t="str">
        <f>IFERROR(MID(VLOOKUP($B245,Seqs!$A:$B,2,0),AQ245,1),"")</f>
        <v>G</v>
      </c>
      <c r="AQ245" s="3">
        <v>289</v>
      </c>
      <c r="AR245" s="3" t="str">
        <f>IFERROR(MID(VLOOKUP($B245,Seqs!$A:$B,2,0),AS245,1),"")</f>
        <v>S</v>
      </c>
      <c r="AS245" s="3">
        <v>294</v>
      </c>
      <c r="AT245" s="3" t="str">
        <f>IFERROR(MID(VLOOKUP($B245,Seqs!$A:$B,2,0),AU245,1),"")</f>
        <v>L</v>
      </c>
      <c r="AU245" s="3">
        <v>322</v>
      </c>
      <c r="AV245" s="3" t="str">
        <f>IFERROR(MID(VLOOKUP($B245,Seqs!$A:$B,2,0),AW245,1),"")</f>
        <v>D</v>
      </c>
      <c r="AW245" s="3">
        <v>323</v>
      </c>
      <c r="AX245" s="3" t="str">
        <f>IFERROR(MID(VLOOKUP($B245,Seqs!$A:$B,2,0),AY245,1),"")</f>
        <v>R</v>
      </c>
      <c r="AY245" s="3">
        <v>331</v>
      </c>
      <c r="AZ245" s="77" t="str">
        <f>VLOOKUP(B245,Classification!A:D,2,0)</f>
        <v>A</v>
      </c>
      <c r="BA245" s="94" t="str">
        <f>VLOOKUP(B245,Classification!A:D,4,0)</f>
        <v>Opioid</v>
      </c>
      <c r="BB245" s="27" t="b">
        <f t="shared" si="1062"/>
        <v>1</v>
      </c>
      <c r="BC245" s="23">
        <f t="shared" si="1035"/>
        <v>246</v>
      </c>
      <c r="BD245" s="5" t="s">
        <v>23</v>
      </c>
      <c r="BE245" s="3" t="s">
        <v>1374</v>
      </c>
      <c r="BF245" s="119">
        <v>3</v>
      </c>
      <c r="BG245" s="49" t="s">
        <v>1</v>
      </c>
      <c r="BH245" s="49" t="s">
        <v>1377</v>
      </c>
      <c r="BI245" s="1" t="s">
        <v>1360</v>
      </c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 t="shared" si="1036"/>
        <v>48</v>
      </c>
      <c r="BW245" s="71" t="str">
        <f t="shared" si="1037"/>
        <v>-</v>
      </c>
      <c r="BX245" s="72">
        <f t="shared" si="1038"/>
        <v>84</v>
      </c>
      <c r="BY245" s="71">
        <f t="shared" si="1039"/>
        <v>115</v>
      </c>
      <c r="BZ245" s="72">
        <f t="shared" si="1040"/>
        <v>119</v>
      </c>
      <c r="CA245" s="71" t="str">
        <f t="shared" si="1041"/>
        <v>-</v>
      </c>
      <c r="CB245" s="72">
        <f t="shared" si="1042"/>
        <v>163</v>
      </c>
      <c r="CC245" s="71">
        <f t="shared" si="1043"/>
        <v>200</v>
      </c>
      <c r="CD245" s="72">
        <f t="shared" si="1044"/>
        <v>208</v>
      </c>
      <c r="CE245" s="71">
        <f t="shared" si="1045"/>
        <v>251</v>
      </c>
      <c r="CF245" s="72">
        <f t="shared" si="1046"/>
        <v>294</v>
      </c>
      <c r="CG245" s="71">
        <f t="shared" si="1047"/>
        <v>323</v>
      </c>
      <c r="CH245" s="70">
        <f t="shared" si="1048"/>
        <v>79</v>
      </c>
      <c r="CI245" s="71" t="str">
        <f t="shared" si="1049"/>
        <v>-</v>
      </c>
      <c r="CJ245" s="72">
        <f t="shared" si="1050"/>
        <v>113</v>
      </c>
      <c r="CK245" s="72">
        <f t="shared" si="1051"/>
        <v>118</v>
      </c>
      <c r="CL245" s="72">
        <f t="shared" si="1052"/>
        <v>154</v>
      </c>
      <c r="CM245" s="72" t="str">
        <f t="shared" si="1053"/>
        <v>-</v>
      </c>
      <c r="CN245" s="72">
        <f t="shared" si="1054"/>
        <v>189</v>
      </c>
      <c r="CO245" s="72">
        <f t="shared" si="1055"/>
        <v>202</v>
      </c>
      <c r="CP245" s="72">
        <f t="shared" si="1056"/>
        <v>242</v>
      </c>
      <c r="CQ245" s="72">
        <f t="shared" si="1057"/>
        <v>289</v>
      </c>
      <c r="CR245" s="72">
        <f t="shared" si="1058"/>
        <v>322</v>
      </c>
      <c r="CS245" s="72">
        <f t="shared" si="1059"/>
        <v>331</v>
      </c>
      <c r="CT245" s="23" t="e">
        <f t="shared" si="1060"/>
        <v>#VALUE!</v>
      </c>
    </row>
    <row r="246" spans="1:1030" x14ac:dyDescent="0.2">
      <c r="A246" s="3" t="str">
        <f t="shared" si="1061"/>
        <v>opsd_bovin__wt</v>
      </c>
      <c r="B246" s="3" t="s">
        <v>919</v>
      </c>
      <c r="C246" s="3" t="s">
        <v>100</v>
      </c>
      <c r="D246" s="3" t="str">
        <f>IFERROR(MID(VLOOKUP($B246,Seqs!$A:$B,2,0),E246,1),"")</f>
        <v>E</v>
      </c>
      <c r="E246" s="105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>P</v>
      </c>
      <c r="Y246" s="3">
        <v>142</v>
      </c>
      <c r="Z246" s="3" t="str">
        <f>IFERROR(MID(VLOOKUP($B246,Seqs!$A:$B,2,0),AA246,1),"")</f>
        <v>F</v>
      </c>
      <c r="AA246" s="105">
        <v>148</v>
      </c>
      <c r="AB246" s="3" t="str">
        <f>IFERROR(MID(VLOOKUP($B246,Seqs!$A:$B,2,0),AC246,1),"")</f>
        <v>G</v>
      </c>
      <c r="AC246" s="105">
        <v>149</v>
      </c>
      <c r="AD246" s="3" t="str">
        <f>IFERROR(MID(VLOOKUP($B246,Seqs!$A:$B,2,0),AE246,1),"")</f>
        <v>V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S</v>
      </c>
      <c r="AO246" s="105">
        <v>240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62"/>
        <v>1</v>
      </c>
      <c r="BC246" s="23">
        <f t="shared" si="1035"/>
        <v>260</v>
      </c>
      <c r="BD246" s="34" t="s">
        <v>23</v>
      </c>
      <c r="BE246" s="3" t="s">
        <v>23</v>
      </c>
      <c r="BF246" s="119" t="s">
        <v>23</v>
      </c>
      <c r="BG246" s="49" t="s">
        <v>1372</v>
      </c>
      <c r="BH246" s="49" t="s">
        <v>1377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 t="shared" si="1036"/>
        <v>33</v>
      </c>
      <c r="BW246" s="71">
        <f t="shared" si="1037"/>
        <v>66</v>
      </c>
      <c r="BX246" s="72">
        <f t="shared" si="1038"/>
        <v>70</v>
      </c>
      <c r="BY246" s="71">
        <f t="shared" si="1039"/>
        <v>102</v>
      </c>
      <c r="BZ246" s="72">
        <f t="shared" si="1040"/>
        <v>106</v>
      </c>
      <c r="CA246" s="71">
        <f t="shared" si="1041"/>
        <v>142</v>
      </c>
      <c r="CB246" s="72">
        <f t="shared" si="1042"/>
        <v>149</v>
      </c>
      <c r="CC246" s="71">
        <f t="shared" si="1043"/>
        <v>187</v>
      </c>
      <c r="CD246" s="72">
        <f t="shared" si="1044"/>
        <v>199</v>
      </c>
      <c r="CE246" s="71">
        <f t="shared" si="1045"/>
        <v>240</v>
      </c>
      <c r="CF246" s="72">
        <f t="shared" si="1046"/>
        <v>284</v>
      </c>
      <c r="CG246" s="71">
        <f t="shared" si="1047"/>
        <v>310</v>
      </c>
      <c r="CH246" s="70">
        <f t="shared" si="1048"/>
        <v>65</v>
      </c>
      <c r="CI246" s="71">
        <f t="shared" si="1049"/>
        <v>69</v>
      </c>
      <c r="CJ246" s="72">
        <f t="shared" si="1050"/>
        <v>100</v>
      </c>
      <c r="CK246" s="72">
        <f t="shared" si="1051"/>
        <v>105</v>
      </c>
      <c r="CL246" s="72">
        <f t="shared" si="1052"/>
        <v>141</v>
      </c>
      <c r="CM246" s="72">
        <f t="shared" si="1053"/>
        <v>148</v>
      </c>
      <c r="CN246" s="72">
        <f t="shared" si="1054"/>
        <v>173</v>
      </c>
      <c r="CO246" s="72">
        <f t="shared" si="1055"/>
        <v>189</v>
      </c>
      <c r="CP246" s="72">
        <f t="shared" si="1056"/>
        <v>237</v>
      </c>
      <c r="CQ246" s="72">
        <f t="shared" si="1057"/>
        <v>278</v>
      </c>
      <c r="CR246" s="72">
        <f t="shared" si="1058"/>
        <v>309</v>
      </c>
      <c r="CS246" s="72">
        <f t="shared" si="1059"/>
        <v>322</v>
      </c>
      <c r="CT246" s="23">
        <f t="shared" si="1060"/>
        <v>1</v>
      </c>
    </row>
    <row r="247" spans="1:1030" x14ac:dyDescent="0.2">
      <c r="A247" s="3" t="str">
        <f t="shared" si="1061"/>
        <v>opsd_bovin_1GZM</v>
      </c>
      <c r="B247" s="3" t="s">
        <v>919</v>
      </c>
      <c r="C247" s="3" t="s">
        <v>1337</v>
      </c>
      <c r="D247" s="3" t="str">
        <f>IFERROR(MID(VLOOKUP($B247,Seqs!$A:$B,2,0),E247,1),"")</f>
        <v>E</v>
      </c>
      <c r="E247" s="105">
        <v>33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V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A</v>
      </c>
      <c r="AM247" s="3">
        <v>233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 t="shared" si="1062"/>
        <v>1</v>
      </c>
      <c r="BC247" s="23">
        <f t="shared" si="1035"/>
        <v>249</v>
      </c>
      <c r="BD247" s="56" t="s">
        <v>1376</v>
      </c>
      <c r="BE247" s="3" t="s">
        <v>1374</v>
      </c>
      <c r="BF247" s="119">
        <v>2.65</v>
      </c>
      <c r="BG247" s="49" t="s">
        <v>1377</v>
      </c>
      <c r="BH247" s="49" t="s">
        <v>1377</v>
      </c>
      <c r="BI247" s="1"/>
      <c r="BJ247" s="70" t="s">
        <v>1287</v>
      </c>
      <c r="BK247" s="57" t="s">
        <v>1287</v>
      </c>
      <c r="BL247" s="57" t="s">
        <v>1287</v>
      </c>
      <c r="BM247" s="57" t="s">
        <v>1287</v>
      </c>
      <c r="BN247" s="57" t="s">
        <v>1287</v>
      </c>
      <c r="BO247" s="57" t="s">
        <v>1287</v>
      </c>
      <c r="BP247" s="57" t="s">
        <v>1287</v>
      </c>
      <c r="BQ247" s="57" t="s">
        <v>1287</v>
      </c>
      <c r="BR247" s="57" t="s">
        <v>1287</v>
      </c>
      <c r="BS247" s="57" t="s">
        <v>1287</v>
      </c>
      <c r="BT247" s="57" t="s">
        <v>1287</v>
      </c>
      <c r="BU247" s="57" t="s">
        <v>1287</v>
      </c>
      <c r="BV247" s="70">
        <f t="shared" si="1036"/>
        <v>33</v>
      </c>
      <c r="BW247" s="71">
        <f t="shared" si="1037"/>
        <v>66</v>
      </c>
      <c r="BX247" s="72">
        <f t="shared" si="1038"/>
        <v>70</v>
      </c>
      <c r="BY247" s="71">
        <f t="shared" si="1039"/>
        <v>102</v>
      </c>
      <c r="BZ247" s="72">
        <f t="shared" si="1040"/>
        <v>106</v>
      </c>
      <c r="CA247" s="71" t="str">
        <f t="shared" si="1041"/>
        <v>-</v>
      </c>
      <c r="CB247" s="72">
        <f t="shared" si="1042"/>
        <v>149</v>
      </c>
      <c r="CC247" s="71">
        <f t="shared" si="1043"/>
        <v>187</v>
      </c>
      <c r="CD247" s="72">
        <f t="shared" si="1044"/>
        <v>199</v>
      </c>
      <c r="CE247" s="71">
        <f t="shared" si="1045"/>
        <v>241</v>
      </c>
      <c r="CF247" s="72">
        <f t="shared" si="1046"/>
        <v>284</v>
      </c>
      <c r="CG247" s="71">
        <f t="shared" si="1047"/>
        <v>310</v>
      </c>
      <c r="CH247" s="70">
        <f t="shared" si="1048"/>
        <v>65</v>
      </c>
      <c r="CI247" s="71">
        <f t="shared" si="1049"/>
        <v>69</v>
      </c>
      <c r="CJ247" s="72">
        <f t="shared" si="1050"/>
        <v>100</v>
      </c>
      <c r="CK247" s="72">
        <f t="shared" si="1051"/>
        <v>105</v>
      </c>
      <c r="CL247" s="72">
        <f t="shared" si="1052"/>
        <v>141</v>
      </c>
      <c r="CM247" s="72" t="str">
        <f t="shared" si="1053"/>
        <v>-</v>
      </c>
      <c r="CN247" s="72">
        <f t="shared" si="1054"/>
        <v>173</v>
      </c>
      <c r="CO247" s="72">
        <f t="shared" si="1055"/>
        <v>189</v>
      </c>
      <c r="CP247" s="72">
        <f t="shared" si="1056"/>
        <v>233</v>
      </c>
      <c r="CQ247" s="72">
        <f t="shared" si="1057"/>
        <v>278</v>
      </c>
      <c r="CR247" s="72">
        <f t="shared" si="1058"/>
        <v>309</v>
      </c>
      <c r="CS247" s="72">
        <f t="shared" si="1059"/>
        <v>322</v>
      </c>
      <c r="CT247" s="23">
        <f t="shared" si="1060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1061"/>
        <v>opsd_bovin_1U19</v>
      </c>
      <c r="B248" s="3" t="s">
        <v>919</v>
      </c>
      <c r="C248" s="3" t="s">
        <v>53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G</v>
      </c>
      <c r="AC248" s="9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225</v>
      </c>
      <c r="AN248" s="3" t="str">
        <f>IFERROR(MID(VLOOKUP($B248,Seqs!$A:$B,2,0),AO248,1),"")</f>
        <v>T</v>
      </c>
      <c r="AO248" s="3">
        <v>243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62"/>
        <v>1</v>
      </c>
      <c r="BC248" s="23">
        <f t="shared" si="1035"/>
        <v>239</v>
      </c>
      <c r="BD248" s="74" t="s">
        <v>23</v>
      </c>
      <c r="BE248" s="3" t="s">
        <v>1374</v>
      </c>
      <c r="BF248" s="119">
        <v>2.2000000000000002</v>
      </c>
      <c r="BG248" s="49" t="s">
        <v>1</v>
      </c>
      <c r="BH248" s="49" t="s">
        <v>1377</v>
      </c>
      <c r="BI248" s="1"/>
      <c r="BJ248" s="70" t="s">
        <v>1287</v>
      </c>
      <c r="BK248" s="57" t="s">
        <v>1287</v>
      </c>
      <c r="BL248" s="57" t="s">
        <v>1287</v>
      </c>
      <c r="BM248" s="57" t="s">
        <v>1287</v>
      </c>
      <c r="BN248" s="57" t="s">
        <v>1287</v>
      </c>
      <c r="BO248" s="57" t="s">
        <v>1287</v>
      </c>
      <c r="BP248" s="57" t="s">
        <v>1287</v>
      </c>
      <c r="BQ248" s="57" t="s">
        <v>1287</v>
      </c>
      <c r="BR248" s="57" t="s">
        <v>1287</v>
      </c>
      <c r="BS248" s="57" t="s">
        <v>1287</v>
      </c>
      <c r="BT248" s="57" t="s">
        <v>1287</v>
      </c>
      <c r="BU248" s="57" t="s">
        <v>1287</v>
      </c>
      <c r="BV248" s="70">
        <f t="shared" si="1036"/>
        <v>33</v>
      </c>
      <c r="BW248" s="71">
        <f t="shared" si="1037"/>
        <v>66</v>
      </c>
      <c r="BX248" s="72">
        <f t="shared" si="1038"/>
        <v>70</v>
      </c>
      <c r="BY248" s="71">
        <f t="shared" si="1039"/>
        <v>102</v>
      </c>
      <c r="BZ248" s="72">
        <f t="shared" si="1040"/>
        <v>106</v>
      </c>
      <c r="CA248" s="71" t="str">
        <f t="shared" si="1041"/>
        <v>-</v>
      </c>
      <c r="CB248" s="72">
        <f t="shared" si="1042"/>
        <v>149</v>
      </c>
      <c r="CC248" s="71">
        <f t="shared" si="1043"/>
        <v>187</v>
      </c>
      <c r="CD248" s="72">
        <f t="shared" si="1044"/>
        <v>199</v>
      </c>
      <c r="CE248" s="71">
        <f t="shared" si="1045"/>
        <v>243</v>
      </c>
      <c r="CF248" s="72">
        <f t="shared" si="1046"/>
        <v>284</v>
      </c>
      <c r="CG248" s="71">
        <f t="shared" si="1047"/>
        <v>310</v>
      </c>
      <c r="CH248" s="70">
        <f t="shared" si="1048"/>
        <v>65</v>
      </c>
      <c r="CI248" s="71">
        <f t="shared" si="1049"/>
        <v>69</v>
      </c>
      <c r="CJ248" s="72">
        <f t="shared" si="1050"/>
        <v>100</v>
      </c>
      <c r="CK248" s="72">
        <f t="shared" si="1051"/>
        <v>105</v>
      </c>
      <c r="CL248" s="72">
        <f t="shared" si="1052"/>
        <v>141</v>
      </c>
      <c r="CM248" s="72" t="str">
        <f t="shared" si="1053"/>
        <v>-</v>
      </c>
      <c r="CN248" s="72">
        <f t="shared" si="1054"/>
        <v>173</v>
      </c>
      <c r="CO248" s="72">
        <f t="shared" si="1055"/>
        <v>189</v>
      </c>
      <c r="CP248" s="72">
        <f t="shared" si="1056"/>
        <v>225</v>
      </c>
      <c r="CQ248" s="72">
        <f t="shared" si="1057"/>
        <v>278</v>
      </c>
      <c r="CR248" s="72">
        <f t="shared" si="1058"/>
        <v>309</v>
      </c>
      <c r="CS248" s="72">
        <f t="shared" si="1059"/>
        <v>322</v>
      </c>
      <c r="CT248" s="23">
        <f t="shared" si="1060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61"/>
        <v>opsd_bovin_2X72</v>
      </c>
      <c r="B249" s="2" t="s">
        <v>919</v>
      </c>
      <c r="C249" s="3" t="s">
        <v>1369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253</v>
      </c>
      <c r="BD249" s="56" t="s">
        <v>23</v>
      </c>
      <c r="BE249" s="3" t="s">
        <v>1291</v>
      </c>
      <c r="BF249" s="119">
        <v>3</v>
      </c>
      <c r="BG249" s="49" t="s">
        <v>1377</v>
      </c>
      <c r="BH249" s="49" t="s">
        <v>1377</v>
      </c>
      <c r="BI249" s="1"/>
      <c r="BJ249" s="70" t="s">
        <v>1287</v>
      </c>
      <c r="BK249" s="57" t="s">
        <v>1287</v>
      </c>
      <c r="BL249" s="57" t="s">
        <v>1287</v>
      </c>
      <c r="BM249" s="57" t="s">
        <v>1287</v>
      </c>
      <c r="BN249" s="57" t="s">
        <v>1287</v>
      </c>
      <c r="BO249" s="57" t="s">
        <v>1287</v>
      </c>
      <c r="BP249" s="57" t="s">
        <v>1287</v>
      </c>
      <c r="BQ249" s="57" t="s">
        <v>1287</v>
      </c>
      <c r="BR249" s="57" t="s">
        <v>1287</v>
      </c>
      <c r="BS249" s="57" t="s">
        <v>1287</v>
      </c>
      <c r="BT249" s="57" t="s">
        <v>1287</v>
      </c>
      <c r="BU249" s="57" t="s">
        <v>1287</v>
      </c>
      <c r="BV249" s="70">
        <f>E249</f>
        <v>33</v>
      </c>
      <c r="BW249" s="71">
        <f>I249</f>
        <v>66</v>
      </c>
      <c r="BX249" s="72">
        <f>M249</f>
        <v>70</v>
      </c>
      <c r="BY249" s="71">
        <f>Q249</f>
        <v>102</v>
      </c>
      <c r="BZ249" s="72">
        <f>U249</f>
        <v>106</v>
      </c>
      <c r="CA249" s="71" t="str">
        <f>Y249</f>
        <v>-</v>
      </c>
      <c r="CB249" s="72">
        <f>AC249</f>
        <v>149</v>
      </c>
      <c r="CC249" s="71">
        <f>AG249</f>
        <v>187</v>
      </c>
      <c r="CD249" s="72">
        <f>AK249</f>
        <v>199</v>
      </c>
      <c r="CE249" s="71">
        <f>AO249</f>
        <v>241</v>
      </c>
      <c r="CF249" s="72">
        <f>AS249</f>
        <v>284</v>
      </c>
      <c r="CG249" s="71">
        <f>AW249</f>
        <v>310</v>
      </c>
      <c r="CH249" s="70">
        <f>G249</f>
        <v>65</v>
      </c>
      <c r="CI249" s="71">
        <f>K249</f>
        <v>69</v>
      </c>
      <c r="CJ249" s="72">
        <f>O249</f>
        <v>100</v>
      </c>
      <c r="CK249" s="72">
        <f>S249</f>
        <v>105</v>
      </c>
      <c r="CL249" s="72">
        <f>W249</f>
        <v>141</v>
      </c>
      <c r="CM249" s="72" t="str">
        <f>AA249</f>
        <v>-</v>
      </c>
      <c r="CN249" s="72">
        <f>AE249</f>
        <v>173</v>
      </c>
      <c r="CO249" s="72">
        <f>AI249</f>
        <v>189</v>
      </c>
      <c r="CP249" s="72">
        <f>AM249</f>
        <v>237</v>
      </c>
      <c r="CQ249" s="72">
        <f>AQ249</f>
        <v>278</v>
      </c>
      <c r="CR249" s="72">
        <f>AU249</f>
        <v>309</v>
      </c>
      <c r="CS249" s="72">
        <f>AY249</f>
        <v>322</v>
      </c>
      <c r="CT249" s="23">
        <f>M249-K249</f>
        <v>1</v>
      </c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6"/>
      <c r="ACQ249" s="6"/>
      <c r="ACR249" s="6"/>
      <c r="ACS249" s="6"/>
      <c r="ACT249" s="6"/>
      <c r="ACU249" s="6"/>
      <c r="ACV249" s="6"/>
      <c r="ACW249" s="6"/>
      <c r="ACX249" s="6"/>
      <c r="ACY249" s="6"/>
      <c r="ACZ249" s="6"/>
      <c r="ADA249" s="6"/>
      <c r="ADB249" s="6"/>
      <c r="ADC249" s="6"/>
      <c r="ADD249" s="6"/>
      <c r="ADE249" s="6"/>
      <c r="ADF249" s="6"/>
      <c r="ADG249" s="6"/>
      <c r="ADH249" s="6"/>
      <c r="ADI249" s="6"/>
      <c r="ADJ249" s="6"/>
      <c r="ADK249" s="6"/>
      <c r="ADL249" s="6"/>
      <c r="ADM249" s="6"/>
      <c r="ADN249" s="6"/>
      <c r="ADO249" s="6"/>
      <c r="ADP249" s="6"/>
      <c r="ADQ249" s="6"/>
      <c r="ADR249" s="6"/>
      <c r="ADS249" s="6"/>
      <c r="ADT249" s="6"/>
      <c r="ADU249" s="6"/>
      <c r="ADV249" s="6"/>
      <c r="ADW249" s="6"/>
      <c r="ADX249" s="6"/>
      <c r="ADY249" s="6"/>
      <c r="ADZ249" s="6"/>
      <c r="AEA249" s="6"/>
      <c r="AEB249" s="6"/>
      <c r="AEC249" s="6"/>
      <c r="AED249" s="6"/>
      <c r="AEE249" s="6"/>
      <c r="AEF249" s="6"/>
      <c r="AEG249" s="6"/>
      <c r="AEH249" s="6"/>
      <c r="AEI249" s="6"/>
      <c r="AEJ249" s="6"/>
      <c r="AEK249" s="6"/>
      <c r="AEL249" s="6"/>
      <c r="AEM249" s="6"/>
      <c r="AEN249" s="6"/>
      <c r="AEO249" s="6"/>
      <c r="AEP249" s="6"/>
      <c r="AEQ249" s="6"/>
      <c r="AER249" s="6"/>
      <c r="AES249" s="6"/>
      <c r="AET249" s="6"/>
      <c r="AEU249" s="6"/>
      <c r="AEV249" s="6"/>
      <c r="AEW249" s="6"/>
      <c r="AEX249" s="6"/>
      <c r="AEY249" s="6"/>
      <c r="AEZ249" s="6"/>
      <c r="AFA249" s="6"/>
      <c r="AFB249" s="6"/>
      <c r="AFC249" s="6"/>
      <c r="AFD249" s="6"/>
      <c r="AFE249" s="6"/>
      <c r="AFF249" s="6"/>
      <c r="AFG249" s="6"/>
      <c r="AFH249" s="6"/>
      <c r="AFI249" s="6"/>
      <c r="AFJ249" s="6"/>
      <c r="AFK249" s="6"/>
      <c r="AFL249" s="6"/>
      <c r="AFM249" s="6"/>
      <c r="AFN249" s="6"/>
      <c r="AFO249" s="6"/>
      <c r="AFP249" s="6"/>
      <c r="AFQ249" s="6"/>
      <c r="AFR249" s="6"/>
      <c r="AFS249" s="6"/>
      <c r="AFT249" s="6"/>
      <c r="AFU249" s="6"/>
      <c r="AFV249" s="6"/>
      <c r="AFW249" s="6"/>
      <c r="AFX249" s="6"/>
      <c r="AFY249" s="6"/>
      <c r="AFZ249" s="6"/>
      <c r="AGA249" s="6"/>
      <c r="AGB249" s="6"/>
      <c r="AGC249" s="6"/>
      <c r="AGD249" s="6"/>
      <c r="AGE249" s="6"/>
      <c r="AGF249" s="6"/>
      <c r="AGG249" s="6"/>
      <c r="AGH249" s="6"/>
      <c r="AGI249" s="6"/>
      <c r="AGJ249" s="6"/>
      <c r="AGK249" s="6"/>
      <c r="AGL249" s="6"/>
      <c r="AGM249" s="6"/>
      <c r="AGN249" s="6"/>
      <c r="AGO249" s="6"/>
      <c r="AGP249" s="6"/>
      <c r="AGQ249" s="6"/>
      <c r="AGR249" s="6"/>
      <c r="AGS249" s="6"/>
      <c r="AGT249" s="6"/>
      <c r="AGU249" s="6"/>
      <c r="AGV249" s="6"/>
      <c r="AGW249" s="6"/>
      <c r="AGX249" s="6"/>
      <c r="AGY249" s="6"/>
      <c r="AGZ249" s="6"/>
      <c r="AHA249" s="6"/>
      <c r="AHB249" s="6"/>
      <c r="AHC249" s="6"/>
      <c r="AHD249" s="6"/>
      <c r="AHE249" s="6"/>
      <c r="AHF249" s="6"/>
      <c r="AHG249" s="6"/>
      <c r="AHH249" s="6"/>
      <c r="AHI249" s="6"/>
      <c r="AHJ249" s="6"/>
      <c r="AHK249" s="6"/>
      <c r="AHL249" s="6"/>
      <c r="AHM249" s="6"/>
      <c r="AHN249" s="6"/>
      <c r="AHO249" s="6"/>
      <c r="AHP249" s="6"/>
      <c r="AHQ249" s="6"/>
      <c r="AHR249" s="6"/>
      <c r="AHS249" s="6"/>
      <c r="AHT249" s="6"/>
      <c r="AHU249" s="6"/>
      <c r="AHV249" s="6"/>
      <c r="AHW249" s="6"/>
      <c r="AHX249" s="6"/>
      <c r="AHY249" s="6"/>
      <c r="AHZ249" s="6"/>
      <c r="AIA249" s="6"/>
      <c r="AIB249" s="6"/>
      <c r="AIC249" s="6"/>
      <c r="AID249" s="6"/>
      <c r="AIE249" s="6"/>
      <c r="AIF249" s="6"/>
      <c r="AIG249" s="6"/>
      <c r="AIH249" s="6"/>
      <c r="AII249" s="6"/>
      <c r="AIJ249" s="6"/>
      <c r="AIK249" s="6"/>
      <c r="AIL249" s="6"/>
      <c r="AIM249" s="6"/>
      <c r="AIN249" s="6"/>
      <c r="AIO249" s="6"/>
      <c r="AIP249" s="6"/>
      <c r="AIQ249" s="6"/>
      <c r="AIR249" s="6"/>
      <c r="AIS249" s="6"/>
      <c r="AIT249" s="6"/>
      <c r="AIU249" s="6"/>
      <c r="AIV249" s="6"/>
      <c r="AIW249" s="6"/>
      <c r="AIX249" s="6"/>
      <c r="AIY249" s="6"/>
      <c r="AIZ249" s="6"/>
      <c r="AJA249" s="6"/>
      <c r="AJB249" s="6"/>
      <c r="AJC249" s="6"/>
      <c r="AJD249" s="6"/>
      <c r="AJE249" s="6"/>
      <c r="AJF249" s="6"/>
      <c r="AJG249" s="6"/>
      <c r="AJH249" s="6"/>
      <c r="AJI249" s="6"/>
      <c r="AJJ249" s="6"/>
      <c r="AJK249" s="6"/>
      <c r="AJL249" s="6"/>
      <c r="AJM249" s="6"/>
      <c r="AJN249" s="6"/>
      <c r="AJO249" s="6"/>
      <c r="AJP249" s="6"/>
      <c r="AJQ249" s="6"/>
      <c r="AJR249" s="6"/>
      <c r="AJS249" s="6"/>
      <c r="AJT249" s="6"/>
      <c r="AJU249" s="6"/>
      <c r="AJV249" s="6"/>
      <c r="AJW249" s="6"/>
      <c r="AJX249" s="6"/>
      <c r="AJY249" s="6"/>
      <c r="AJZ249" s="6"/>
      <c r="AKA249" s="6"/>
      <c r="AKB249" s="6"/>
      <c r="AKC249" s="6"/>
      <c r="AKD249" s="6"/>
      <c r="AKE249" s="6"/>
      <c r="AKF249" s="6"/>
      <c r="AKG249" s="6"/>
      <c r="AKH249" s="6"/>
      <c r="AKI249" s="6"/>
      <c r="AKJ249" s="6"/>
      <c r="AKK249" s="6"/>
      <c r="AKL249" s="6"/>
      <c r="AKM249" s="6"/>
      <c r="AKN249" s="6"/>
      <c r="AKO249" s="6"/>
      <c r="AKP249" s="6"/>
      <c r="AKQ249" s="6"/>
      <c r="AKR249" s="6"/>
      <c r="AKS249" s="6"/>
      <c r="AKT249" s="6"/>
      <c r="AKU249" s="6"/>
      <c r="AKV249" s="6"/>
      <c r="AKW249" s="6"/>
      <c r="AKX249" s="6"/>
      <c r="AKY249" s="6"/>
      <c r="AKZ249" s="6"/>
      <c r="ALA249" s="6"/>
      <c r="ALB249" s="6"/>
      <c r="ALC249" s="6"/>
      <c r="ALD249" s="6"/>
      <c r="ALE249" s="6"/>
      <c r="ALF249" s="6"/>
      <c r="ALG249" s="6"/>
      <c r="ALH249" s="6"/>
      <c r="ALI249" s="6"/>
      <c r="ALJ249" s="6"/>
      <c r="ALK249" s="6"/>
      <c r="ALL249" s="6"/>
      <c r="ALM249" s="6"/>
      <c r="ALN249" s="6"/>
      <c r="ALO249" s="6"/>
      <c r="ALP249" s="6"/>
      <c r="ALQ249" s="6"/>
      <c r="ALR249" s="6"/>
      <c r="ALS249" s="6"/>
      <c r="ALT249" s="6"/>
      <c r="ALU249" s="6"/>
      <c r="ALV249" s="6"/>
      <c r="ALW249" s="6"/>
      <c r="ALX249" s="6"/>
      <c r="ALY249" s="6"/>
      <c r="ALZ249" s="6"/>
      <c r="AMA249" s="6"/>
      <c r="AMB249" s="6"/>
      <c r="AMC249" s="6"/>
      <c r="AMD249" s="6"/>
      <c r="AME249" s="6"/>
      <c r="AMF249" s="6"/>
      <c r="AMG249" s="6"/>
      <c r="AMH249" s="6"/>
      <c r="AMI249" s="6"/>
      <c r="AMJ249" s="6"/>
      <c r="AMK249" s="6"/>
      <c r="AML249" s="6"/>
      <c r="AMM249" s="6"/>
      <c r="AMN249" s="6"/>
      <c r="AMO249" s="6"/>
      <c r="AMP249" s="6"/>
    </row>
    <row r="250" spans="1:1030" x14ac:dyDescent="0.2">
      <c r="A250" s="3" t="str">
        <f t="shared" si="1061"/>
        <v>opsd_bovin_3DQB</v>
      </c>
      <c r="B250" s="3" t="s">
        <v>919</v>
      </c>
      <c r="C250" s="3" t="s">
        <v>54</v>
      </c>
      <c r="D250" s="3" t="str">
        <f>IFERROR(MID(VLOOKUP($B250,Seqs!$A:$B,2,0),E250,1),"")</f>
        <v>E</v>
      </c>
      <c r="E250" s="105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H</v>
      </c>
      <c r="O250" s="3">
        <v>100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199</v>
      </c>
      <c r="AL250" s="3" t="str">
        <f>IFERROR(MID(VLOOKUP($B250,Seqs!$A:$B,2,0),AM250,1),"")</f>
        <v>Q</v>
      </c>
      <c r="AM250" s="3">
        <v>237</v>
      </c>
      <c r="AN250" s="3" t="str">
        <f>IFERROR(MID(VLOOKUP($B250,Seqs!$A:$B,2,0),AO250,1),"")</f>
        <v>A</v>
      </c>
      <c r="AO250" s="3">
        <v>241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G</v>
      </c>
      <c r="AS250" s="3">
        <v>284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322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si="1062"/>
        <v>1</v>
      </c>
      <c r="BC250" s="23">
        <f>_xlfn.AGGREGATE(9,6,CH250:CS250)-_xlfn.AGGREGATE(9,6,BV250:CG250)+12</f>
        <v>253</v>
      </c>
      <c r="BD250" s="74" t="s">
        <v>23</v>
      </c>
      <c r="BE250" s="3" t="s">
        <v>1291</v>
      </c>
      <c r="BF250" s="119">
        <v>3.2</v>
      </c>
      <c r="BG250" s="49" t="s">
        <v>1377</v>
      </c>
      <c r="BH250" s="49" t="s">
        <v>1377</v>
      </c>
      <c r="BI250" s="1"/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>E250</f>
        <v>33</v>
      </c>
      <c r="BW250" s="71">
        <f>I250</f>
        <v>66</v>
      </c>
      <c r="BX250" s="72">
        <f>M250</f>
        <v>70</v>
      </c>
      <c r="BY250" s="71">
        <f>Q250</f>
        <v>102</v>
      </c>
      <c r="BZ250" s="72">
        <f>U250</f>
        <v>106</v>
      </c>
      <c r="CA250" s="71" t="str">
        <f>Y250</f>
        <v>-</v>
      </c>
      <c r="CB250" s="72">
        <f>AC250</f>
        <v>149</v>
      </c>
      <c r="CC250" s="71">
        <f>AG250</f>
        <v>187</v>
      </c>
      <c r="CD250" s="72">
        <f>AK250</f>
        <v>199</v>
      </c>
      <c r="CE250" s="71">
        <f>AO250</f>
        <v>241</v>
      </c>
      <c r="CF250" s="72">
        <f>AS250</f>
        <v>284</v>
      </c>
      <c r="CG250" s="71">
        <f>AW250</f>
        <v>310</v>
      </c>
      <c r="CH250" s="70">
        <f>G250</f>
        <v>65</v>
      </c>
      <c r="CI250" s="71">
        <f>K250</f>
        <v>69</v>
      </c>
      <c r="CJ250" s="72">
        <f>O250</f>
        <v>100</v>
      </c>
      <c r="CK250" s="72">
        <f>S250</f>
        <v>105</v>
      </c>
      <c r="CL250" s="72">
        <f>W250</f>
        <v>141</v>
      </c>
      <c r="CM250" s="72" t="str">
        <f>AA250</f>
        <v>-</v>
      </c>
      <c r="CN250" s="72">
        <f>AE250</f>
        <v>173</v>
      </c>
      <c r="CO250" s="72">
        <f>AI250</f>
        <v>189</v>
      </c>
      <c r="CP250" s="72">
        <f>AM250</f>
        <v>237</v>
      </c>
      <c r="CQ250" s="72">
        <f>AQ250</f>
        <v>278</v>
      </c>
      <c r="CR250" s="72">
        <f>AU250</f>
        <v>309</v>
      </c>
      <c r="CS250" s="72">
        <f>AY250</f>
        <v>322</v>
      </c>
      <c r="CT250" s="23">
        <f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061"/>
        <v>opsd_bovin_3PQR</v>
      </c>
      <c r="B251" s="3" t="s">
        <v>919</v>
      </c>
      <c r="C251" s="3" t="s">
        <v>1032</v>
      </c>
      <c r="D251" s="3" t="str">
        <f>IFERROR(MID(VLOOKUP($B251,Seqs!$A:$B,2,0),E251,1),"")</f>
        <v>E</v>
      </c>
      <c r="E251" s="105">
        <v>33</v>
      </c>
      <c r="F251" s="3" t="str">
        <f>IFERROR(MID(VLOOKUP($B251,Seqs!$A:$B,2,0),G251,1),"")</f>
        <v>H</v>
      </c>
      <c r="G251" s="3">
        <v>65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T</v>
      </c>
      <c r="M251" s="3">
        <v>70</v>
      </c>
      <c r="N251" s="3" t="str">
        <f>IFERROR(MID(VLOOKUP($B251,Seqs!$A:$B,2,0),O251,1),"")</f>
        <v>H</v>
      </c>
      <c r="O251" s="3">
        <v>100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F</v>
      </c>
      <c r="S251" s="3">
        <v>105</v>
      </c>
      <c r="T251" s="3" t="str">
        <f>IFERROR(MID(VLOOKUP($B251,Seqs!$A:$B,2,0),U251,1),"")</f>
        <v>G</v>
      </c>
      <c r="U251" s="3">
        <v>106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9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237</v>
      </c>
      <c r="AN251" s="3" t="str">
        <f>IFERROR(MID(VLOOKUP($B251,Seqs!$A:$B,2,0),AO251,1),"")</f>
        <v>A</v>
      </c>
      <c r="AO251" s="3">
        <v>241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062"/>
        <v>1</v>
      </c>
      <c r="BC251" s="23">
        <f>_xlfn.AGGREGATE(9,6,CH251:CS251)-_xlfn.AGGREGATE(9,6,BV251:CG251)+12</f>
        <v>253</v>
      </c>
      <c r="BD251" s="4" t="s">
        <v>23</v>
      </c>
      <c r="BE251" s="3" t="s">
        <v>1291</v>
      </c>
      <c r="BF251" s="119">
        <v>2.85</v>
      </c>
      <c r="BG251" s="49" t="s">
        <v>1377</v>
      </c>
      <c r="BH251" s="49" t="s">
        <v>1377</v>
      </c>
      <c r="BI251" s="1"/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>E251</f>
        <v>33</v>
      </c>
      <c r="BW251" s="71">
        <f>I251</f>
        <v>66</v>
      </c>
      <c r="BX251" s="72">
        <f>M251</f>
        <v>70</v>
      </c>
      <c r="BY251" s="71">
        <f>Q251</f>
        <v>102</v>
      </c>
      <c r="BZ251" s="72">
        <f>U251</f>
        <v>106</v>
      </c>
      <c r="CA251" s="71" t="str">
        <f>Y251</f>
        <v>-</v>
      </c>
      <c r="CB251" s="72">
        <f>AC251</f>
        <v>149</v>
      </c>
      <c r="CC251" s="71">
        <f>AG251</f>
        <v>187</v>
      </c>
      <c r="CD251" s="72">
        <f>AK251</f>
        <v>199</v>
      </c>
      <c r="CE251" s="71">
        <f>AO251</f>
        <v>241</v>
      </c>
      <c r="CF251" s="72">
        <f>AS251</f>
        <v>284</v>
      </c>
      <c r="CG251" s="71">
        <f>AW251</f>
        <v>310</v>
      </c>
      <c r="CH251" s="70">
        <f>G251</f>
        <v>65</v>
      </c>
      <c r="CI251" s="71">
        <f>K251</f>
        <v>69</v>
      </c>
      <c r="CJ251" s="72">
        <f>O251</f>
        <v>100</v>
      </c>
      <c r="CK251" s="72">
        <f>S251</f>
        <v>105</v>
      </c>
      <c r="CL251" s="72">
        <f>W251</f>
        <v>141</v>
      </c>
      <c r="CM251" s="72" t="str">
        <f>AA251</f>
        <v>-</v>
      </c>
      <c r="CN251" s="72">
        <f>AE251</f>
        <v>173</v>
      </c>
      <c r="CO251" s="72">
        <f>AI251</f>
        <v>189</v>
      </c>
      <c r="CP251" s="72">
        <f>AM251</f>
        <v>237</v>
      </c>
      <c r="CQ251" s="72">
        <f>AQ251</f>
        <v>278</v>
      </c>
      <c r="CR251" s="72">
        <f>AU251</f>
        <v>309</v>
      </c>
      <c r="CS251" s="72">
        <f>AY251</f>
        <v>322</v>
      </c>
      <c r="CT251" s="23">
        <f>M251-K251</f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061"/>
        <v>opsd_bovin_4A4M</v>
      </c>
      <c r="B252" s="2" t="s">
        <v>919</v>
      </c>
      <c r="C252" s="3" t="s">
        <v>1370</v>
      </c>
      <c r="D252" s="3" t="str">
        <f>IFERROR(MID(VLOOKUP($B252,Seqs!$A:$B,2,0),E252,1),"")</f>
        <v>E</v>
      </c>
      <c r="E252" s="105">
        <v>33</v>
      </c>
      <c r="F252" s="3" t="str">
        <f>IFERROR(MID(VLOOKUP($B252,Seqs!$A:$B,2,0),G252,1),"")</f>
        <v>H</v>
      </c>
      <c r="G252" s="3">
        <v>65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T</v>
      </c>
      <c r="M252" s="3">
        <v>70</v>
      </c>
      <c r="N252" s="3" t="str">
        <f>IFERROR(MID(VLOOKUP($B252,Seqs!$A:$B,2,0),O252,1),"")</f>
        <v>H</v>
      </c>
      <c r="O252" s="3">
        <v>100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F</v>
      </c>
      <c r="S252" s="3">
        <v>105</v>
      </c>
      <c r="T252" s="3" t="str">
        <f>IFERROR(MID(VLOOKUP($B252,Seqs!$A:$B,2,0),U252,1),"")</f>
        <v>G</v>
      </c>
      <c r="U252" s="3">
        <v>106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9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N</v>
      </c>
      <c r="AK252" s="3">
        <v>199</v>
      </c>
      <c r="AL252" s="3" t="str">
        <f>IFERROR(MID(VLOOKUP($B252,Seqs!$A:$B,2,0),AM252,1),"")</f>
        <v>Q</v>
      </c>
      <c r="AM252" s="3">
        <v>237</v>
      </c>
      <c r="AN252" s="3" t="str">
        <f>IFERROR(MID(VLOOKUP($B252,Seqs!$A:$B,2,0),AO252,1),"")</f>
        <v>A</v>
      </c>
      <c r="AO252" s="3">
        <v>241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G</v>
      </c>
      <c r="AS252" s="3">
        <v>284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322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>_xlfn.AGGREGATE(9,6,CH252:CS252)-_xlfn.AGGREGATE(9,6,BV252:CG252)+12</f>
        <v>253</v>
      </c>
      <c r="BD252" s="4" t="s">
        <v>23</v>
      </c>
      <c r="BE252" s="3" t="s">
        <v>1291</v>
      </c>
      <c r="BF252" s="119">
        <v>3.3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>E252</f>
        <v>33</v>
      </c>
      <c r="BW252" s="71">
        <f>I252</f>
        <v>66</v>
      </c>
      <c r="BX252" s="72">
        <f>M252</f>
        <v>70</v>
      </c>
      <c r="BY252" s="71">
        <f>Q252</f>
        <v>102</v>
      </c>
      <c r="BZ252" s="72">
        <f>U252</f>
        <v>106</v>
      </c>
      <c r="CA252" s="71" t="str">
        <f>Y252</f>
        <v>-</v>
      </c>
      <c r="CB252" s="72">
        <f>AC252</f>
        <v>149</v>
      </c>
      <c r="CC252" s="71">
        <f>AG252</f>
        <v>187</v>
      </c>
      <c r="CD252" s="72">
        <f>AK252</f>
        <v>199</v>
      </c>
      <c r="CE252" s="71">
        <f>AO252</f>
        <v>241</v>
      </c>
      <c r="CF252" s="72">
        <f>AS252</f>
        <v>284</v>
      </c>
      <c r="CG252" s="71">
        <f>AW252</f>
        <v>310</v>
      </c>
      <c r="CH252" s="70">
        <f>G252</f>
        <v>65</v>
      </c>
      <c r="CI252" s="71">
        <f>K252</f>
        <v>69</v>
      </c>
      <c r="CJ252" s="72">
        <f>O252</f>
        <v>100</v>
      </c>
      <c r="CK252" s="72">
        <f>S252</f>
        <v>105</v>
      </c>
      <c r="CL252" s="72">
        <f>W252</f>
        <v>141</v>
      </c>
      <c r="CM252" s="72" t="str">
        <f>AA252</f>
        <v>-</v>
      </c>
      <c r="CN252" s="72">
        <f>AE252</f>
        <v>173</v>
      </c>
      <c r="CO252" s="72">
        <f>AI252</f>
        <v>189</v>
      </c>
      <c r="CP252" s="72">
        <f>AM252</f>
        <v>237</v>
      </c>
      <c r="CQ252" s="72">
        <f>AQ252</f>
        <v>278</v>
      </c>
      <c r="CR252" s="72">
        <f>AU252</f>
        <v>309</v>
      </c>
      <c r="CS252" s="72">
        <f>AY252</f>
        <v>322</v>
      </c>
      <c r="CT252" s="23">
        <f>M252-K252</f>
        <v>1</v>
      </c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r="SY252" s="6"/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r="UW252" s="6"/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  <c r="WI252" s="6"/>
      <c r="WJ252" s="6"/>
      <c r="WK252" s="6"/>
      <c r="WL252" s="6"/>
      <c r="WM252" s="6"/>
      <c r="WN252" s="6"/>
      <c r="WO252" s="6"/>
      <c r="WP252" s="6"/>
      <c r="WQ252" s="6"/>
      <c r="WR252" s="6"/>
      <c r="WS252" s="6"/>
      <c r="WT252" s="6"/>
      <c r="WU252" s="6"/>
      <c r="WV252" s="6"/>
      <c r="WW252" s="6"/>
      <c r="WX252" s="6"/>
      <c r="WY252" s="6"/>
      <c r="WZ252" s="6"/>
      <c r="XA252" s="6"/>
      <c r="XB252" s="6"/>
      <c r="XC252" s="6"/>
      <c r="XD252" s="6"/>
      <c r="XE252" s="6"/>
      <c r="XF252" s="6"/>
      <c r="XG252" s="6"/>
      <c r="XH252" s="6"/>
      <c r="XI252" s="6"/>
      <c r="XJ252" s="6"/>
      <c r="XK252" s="6"/>
      <c r="XL252" s="6"/>
      <c r="XM252" s="6"/>
      <c r="XN252" s="6"/>
      <c r="XO252" s="6"/>
      <c r="XP252" s="6"/>
      <c r="XQ252" s="6"/>
      <c r="XR252" s="6"/>
      <c r="XS252" s="6"/>
      <c r="XT252" s="6"/>
      <c r="XU252" s="6"/>
      <c r="XV252" s="6"/>
      <c r="XW252" s="6"/>
      <c r="XX252" s="6"/>
      <c r="XY252" s="6"/>
      <c r="XZ252" s="6"/>
      <c r="YA252" s="6"/>
      <c r="YB252" s="6"/>
      <c r="YC252" s="6"/>
      <c r="YD252" s="6"/>
      <c r="YE252" s="6"/>
      <c r="YF252" s="6"/>
      <c r="YG252" s="6"/>
      <c r="YH252" s="6"/>
      <c r="YI252" s="6"/>
      <c r="YJ252" s="6"/>
      <c r="YK252" s="6"/>
      <c r="YL252" s="6"/>
      <c r="YM252" s="6"/>
      <c r="YN252" s="6"/>
      <c r="YO252" s="6"/>
      <c r="YP252" s="6"/>
      <c r="YQ252" s="6"/>
      <c r="YR252" s="6"/>
      <c r="YS252" s="6"/>
      <c r="YT252" s="6"/>
      <c r="YU252" s="6"/>
      <c r="YV252" s="6"/>
      <c r="YW252" s="6"/>
      <c r="YX252" s="6"/>
      <c r="YY252" s="6"/>
      <c r="YZ252" s="6"/>
      <c r="ZA252" s="6"/>
      <c r="ZB252" s="6"/>
      <c r="ZC252" s="6"/>
      <c r="ZD252" s="6"/>
      <c r="ZE252" s="6"/>
      <c r="ZF252" s="6"/>
      <c r="ZG252" s="6"/>
      <c r="ZH252" s="6"/>
      <c r="ZI252" s="6"/>
      <c r="ZJ252" s="6"/>
      <c r="ZK252" s="6"/>
      <c r="ZL252" s="6"/>
      <c r="ZM252" s="6"/>
      <c r="ZN252" s="6"/>
      <c r="ZO252" s="6"/>
      <c r="ZP252" s="6"/>
      <c r="ZQ252" s="6"/>
      <c r="ZR252" s="6"/>
      <c r="ZS252" s="6"/>
      <c r="ZT252" s="6"/>
      <c r="ZU252" s="6"/>
      <c r="ZV252" s="6"/>
      <c r="ZW252" s="6"/>
      <c r="ZX252" s="6"/>
      <c r="ZY252" s="6"/>
      <c r="ZZ252" s="6"/>
      <c r="AAA252" s="6"/>
      <c r="AAB252" s="6"/>
      <c r="AAC252" s="6"/>
      <c r="AAD252" s="6"/>
      <c r="AAE252" s="6"/>
      <c r="AAF252" s="6"/>
      <c r="AAG252" s="6"/>
      <c r="AAH252" s="6"/>
      <c r="AAI252" s="6"/>
      <c r="AAJ252" s="6"/>
      <c r="AAK252" s="6"/>
      <c r="AAL252" s="6"/>
      <c r="AAM252" s="6"/>
      <c r="AAN252" s="6"/>
      <c r="AAO252" s="6"/>
      <c r="AAP252" s="6"/>
      <c r="AAQ252" s="6"/>
      <c r="AAR252" s="6"/>
      <c r="AAS252" s="6"/>
      <c r="AAT252" s="6"/>
      <c r="AAU252" s="6"/>
      <c r="AAV252" s="6"/>
      <c r="AAW252" s="6"/>
      <c r="AAX252" s="6"/>
      <c r="AAY252" s="6"/>
      <c r="AAZ252" s="6"/>
      <c r="ABA252" s="6"/>
      <c r="ABB252" s="6"/>
      <c r="ABC252" s="6"/>
      <c r="ABD252" s="6"/>
      <c r="ABE252" s="6"/>
      <c r="ABF252" s="6"/>
      <c r="ABG252" s="6"/>
      <c r="ABH252" s="6"/>
      <c r="ABI252" s="6"/>
      <c r="ABJ252" s="6"/>
      <c r="ABK252" s="6"/>
      <c r="ABL252" s="6"/>
      <c r="ABM252" s="6"/>
      <c r="ABN252" s="6"/>
      <c r="ABO252" s="6"/>
      <c r="ABP252" s="6"/>
      <c r="ABQ252" s="6"/>
      <c r="ABR252" s="6"/>
      <c r="ABS252" s="6"/>
      <c r="ABT252" s="6"/>
      <c r="ABU252" s="6"/>
      <c r="ABV252" s="6"/>
      <c r="ABW252" s="6"/>
      <c r="ABX252" s="6"/>
      <c r="ABY252" s="6"/>
      <c r="ABZ252" s="6"/>
      <c r="ACA252" s="6"/>
      <c r="ACB252" s="6"/>
      <c r="ACC252" s="6"/>
      <c r="ACD252" s="6"/>
      <c r="ACE252" s="6"/>
      <c r="ACF252" s="6"/>
      <c r="ACG252" s="6"/>
      <c r="ACH252" s="6"/>
      <c r="ACI252" s="6"/>
      <c r="ACJ252" s="6"/>
      <c r="ACK252" s="6"/>
      <c r="ACL252" s="6"/>
      <c r="ACM252" s="6"/>
      <c r="ACN252" s="6"/>
      <c r="ACO252" s="6"/>
      <c r="ACP252" s="6"/>
      <c r="ACQ252" s="6"/>
      <c r="ACR252" s="6"/>
      <c r="ACS252" s="6"/>
      <c r="ACT252" s="6"/>
      <c r="ACU252" s="6"/>
      <c r="ACV252" s="6"/>
      <c r="ACW252" s="6"/>
      <c r="ACX252" s="6"/>
      <c r="ACY252" s="6"/>
      <c r="ACZ252" s="6"/>
      <c r="ADA252" s="6"/>
      <c r="ADB252" s="6"/>
      <c r="ADC252" s="6"/>
      <c r="ADD252" s="6"/>
      <c r="ADE252" s="6"/>
      <c r="ADF252" s="6"/>
      <c r="ADG252" s="6"/>
      <c r="ADH252" s="6"/>
      <c r="ADI252" s="6"/>
      <c r="ADJ252" s="6"/>
      <c r="ADK252" s="6"/>
      <c r="ADL252" s="6"/>
      <c r="ADM252" s="6"/>
      <c r="ADN252" s="6"/>
      <c r="ADO252" s="6"/>
      <c r="ADP252" s="6"/>
      <c r="ADQ252" s="6"/>
      <c r="ADR252" s="6"/>
      <c r="ADS252" s="6"/>
      <c r="ADT252" s="6"/>
      <c r="ADU252" s="6"/>
      <c r="ADV252" s="6"/>
      <c r="ADW252" s="6"/>
      <c r="ADX252" s="6"/>
      <c r="ADY252" s="6"/>
      <c r="ADZ252" s="6"/>
      <c r="AEA252" s="6"/>
      <c r="AEB252" s="6"/>
      <c r="AEC252" s="6"/>
      <c r="AED252" s="6"/>
      <c r="AEE252" s="6"/>
      <c r="AEF252" s="6"/>
      <c r="AEG252" s="6"/>
      <c r="AEH252" s="6"/>
      <c r="AEI252" s="6"/>
      <c r="AEJ252" s="6"/>
      <c r="AEK252" s="6"/>
      <c r="AEL252" s="6"/>
      <c r="AEM252" s="6"/>
      <c r="AEN252" s="6"/>
      <c r="AEO252" s="6"/>
      <c r="AEP252" s="6"/>
      <c r="AEQ252" s="6"/>
      <c r="AER252" s="6"/>
      <c r="AES252" s="6"/>
      <c r="AET252" s="6"/>
      <c r="AEU252" s="6"/>
      <c r="AEV252" s="6"/>
      <c r="AEW252" s="6"/>
      <c r="AEX252" s="6"/>
      <c r="AEY252" s="6"/>
      <c r="AEZ252" s="6"/>
      <c r="AFA252" s="6"/>
      <c r="AFB252" s="6"/>
      <c r="AFC252" s="6"/>
      <c r="AFD252" s="6"/>
      <c r="AFE252" s="6"/>
      <c r="AFF252" s="6"/>
      <c r="AFG252" s="6"/>
      <c r="AFH252" s="6"/>
      <c r="AFI252" s="6"/>
      <c r="AFJ252" s="6"/>
      <c r="AFK252" s="6"/>
      <c r="AFL252" s="6"/>
      <c r="AFM252" s="6"/>
      <c r="AFN252" s="6"/>
      <c r="AFO252" s="6"/>
      <c r="AFP252" s="6"/>
      <c r="AFQ252" s="6"/>
      <c r="AFR252" s="6"/>
      <c r="AFS252" s="6"/>
      <c r="AFT252" s="6"/>
      <c r="AFU252" s="6"/>
      <c r="AFV252" s="6"/>
      <c r="AFW252" s="6"/>
      <c r="AFX252" s="6"/>
      <c r="AFY252" s="6"/>
      <c r="AFZ252" s="6"/>
      <c r="AGA252" s="6"/>
      <c r="AGB252" s="6"/>
      <c r="AGC252" s="6"/>
      <c r="AGD252" s="6"/>
      <c r="AGE252" s="6"/>
      <c r="AGF252" s="6"/>
      <c r="AGG252" s="6"/>
      <c r="AGH252" s="6"/>
      <c r="AGI252" s="6"/>
      <c r="AGJ252" s="6"/>
      <c r="AGK252" s="6"/>
      <c r="AGL252" s="6"/>
      <c r="AGM252" s="6"/>
      <c r="AGN252" s="6"/>
      <c r="AGO252" s="6"/>
      <c r="AGP252" s="6"/>
      <c r="AGQ252" s="6"/>
      <c r="AGR252" s="6"/>
      <c r="AGS252" s="6"/>
      <c r="AGT252" s="6"/>
      <c r="AGU252" s="6"/>
      <c r="AGV252" s="6"/>
      <c r="AGW252" s="6"/>
      <c r="AGX252" s="6"/>
      <c r="AGY252" s="6"/>
      <c r="AGZ252" s="6"/>
      <c r="AHA252" s="6"/>
      <c r="AHB252" s="6"/>
      <c r="AHC252" s="6"/>
      <c r="AHD252" s="6"/>
      <c r="AHE252" s="6"/>
      <c r="AHF252" s="6"/>
      <c r="AHG252" s="6"/>
      <c r="AHH252" s="6"/>
      <c r="AHI252" s="6"/>
      <c r="AHJ252" s="6"/>
      <c r="AHK252" s="6"/>
      <c r="AHL252" s="6"/>
      <c r="AHM252" s="6"/>
      <c r="AHN252" s="6"/>
      <c r="AHO252" s="6"/>
      <c r="AHP252" s="6"/>
      <c r="AHQ252" s="6"/>
      <c r="AHR252" s="6"/>
      <c r="AHS252" s="6"/>
      <c r="AHT252" s="6"/>
      <c r="AHU252" s="6"/>
      <c r="AHV252" s="6"/>
      <c r="AHW252" s="6"/>
      <c r="AHX252" s="6"/>
      <c r="AHY252" s="6"/>
      <c r="AHZ252" s="6"/>
      <c r="AIA252" s="6"/>
      <c r="AIB252" s="6"/>
      <c r="AIC252" s="6"/>
      <c r="AID252" s="6"/>
      <c r="AIE252" s="6"/>
      <c r="AIF252" s="6"/>
      <c r="AIG252" s="6"/>
      <c r="AIH252" s="6"/>
      <c r="AII252" s="6"/>
      <c r="AIJ252" s="6"/>
      <c r="AIK252" s="6"/>
      <c r="AIL252" s="6"/>
      <c r="AIM252" s="6"/>
      <c r="AIN252" s="6"/>
      <c r="AIO252" s="6"/>
      <c r="AIP252" s="6"/>
      <c r="AIQ252" s="6"/>
      <c r="AIR252" s="6"/>
      <c r="AIS252" s="6"/>
      <c r="AIT252" s="6"/>
      <c r="AIU252" s="6"/>
      <c r="AIV252" s="6"/>
      <c r="AIW252" s="6"/>
      <c r="AIX252" s="6"/>
      <c r="AIY252" s="6"/>
      <c r="AIZ252" s="6"/>
      <c r="AJA252" s="6"/>
      <c r="AJB252" s="6"/>
      <c r="AJC252" s="6"/>
      <c r="AJD252" s="6"/>
      <c r="AJE252" s="6"/>
      <c r="AJF252" s="6"/>
      <c r="AJG252" s="6"/>
      <c r="AJH252" s="6"/>
      <c r="AJI252" s="6"/>
      <c r="AJJ252" s="6"/>
      <c r="AJK252" s="6"/>
      <c r="AJL252" s="6"/>
      <c r="AJM252" s="6"/>
      <c r="AJN252" s="6"/>
      <c r="AJO252" s="6"/>
      <c r="AJP252" s="6"/>
      <c r="AJQ252" s="6"/>
      <c r="AJR252" s="6"/>
      <c r="AJS252" s="6"/>
      <c r="AJT252" s="6"/>
      <c r="AJU252" s="6"/>
      <c r="AJV252" s="6"/>
      <c r="AJW252" s="6"/>
      <c r="AJX252" s="6"/>
      <c r="AJY252" s="6"/>
      <c r="AJZ252" s="6"/>
      <c r="AKA252" s="6"/>
      <c r="AKB252" s="6"/>
      <c r="AKC252" s="6"/>
      <c r="AKD252" s="6"/>
      <c r="AKE252" s="6"/>
      <c r="AKF252" s="6"/>
      <c r="AKG252" s="6"/>
      <c r="AKH252" s="6"/>
      <c r="AKI252" s="6"/>
      <c r="AKJ252" s="6"/>
      <c r="AKK252" s="6"/>
      <c r="AKL252" s="6"/>
      <c r="AKM252" s="6"/>
      <c r="AKN252" s="6"/>
      <c r="AKO252" s="6"/>
      <c r="AKP252" s="6"/>
      <c r="AKQ252" s="6"/>
      <c r="AKR252" s="6"/>
      <c r="AKS252" s="6"/>
      <c r="AKT252" s="6"/>
      <c r="AKU252" s="6"/>
      <c r="AKV252" s="6"/>
      <c r="AKW252" s="6"/>
      <c r="AKX252" s="6"/>
      <c r="AKY252" s="6"/>
      <c r="AKZ252" s="6"/>
      <c r="ALA252" s="6"/>
      <c r="ALB252" s="6"/>
      <c r="ALC252" s="6"/>
      <c r="ALD252" s="6"/>
      <c r="ALE252" s="6"/>
      <c r="ALF252" s="6"/>
      <c r="ALG252" s="6"/>
      <c r="ALH252" s="6"/>
      <c r="ALI252" s="6"/>
      <c r="ALJ252" s="6"/>
      <c r="ALK252" s="6"/>
      <c r="ALL252" s="6"/>
      <c r="ALM252" s="6"/>
      <c r="ALN252" s="6"/>
      <c r="ALO252" s="6"/>
      <c r="ALP252" s="6"/>
      <c r="ALQ252" s="6"/>
      <c r="ALR252" s="6"/>
      <c r="ALS252" s="6"/>
      <c r="ALT252" s="6"/>
      <c r="ALU252" s="6"/>
      <c r="ALV252" s="6"/>
      <c r="ALW252" s="6"/>
      <c r="ALX252" s="6"/>
      <c r="ALY252" s="6"/>
      <c r="ALZ252" s="6"/>
      <c r="AMA252" s="6"/>
      <c r="AMB252" s="6"/>
      <c r="AMC252" s="6"/>
      <c r="AMD252" s="6"/>
      <c r="AME252" s="6"/>
      <c r="AMF252" s="6"/>
      <c r="AMG252" s="6"/>
      <c r="AMH252" s="6"/>
      <c r="AMI252" s="6"/>
      <c r="AMJ252" s="6"/>
      <c r="AMK252" s="6"/>
      <c r="AML252" s="6"/>
      <c r="AMM252" s="6"/>
      <c r="AMN252" s="6"/>
      <c r="AMO252" s="6"/>
      <c r="AMP252" s="6"/>
    </row>
    <row r="253" spans="1:1030" x14ac:dyDescent="0.2">
      <c r="A253" s="3" t="str">
        <f t="shared" si="1061"/>
        <v>opsd_bovin_4J4Q</v>
      </c>
      <c r="B253" s="3" t="s">
        <v>919</v>
      </c>
      <c r="C253" s="3" t="s">
        <v>1043</v>
      </c>
      <c r="D253" s="3" t="str">
        <f>IFERROR(MID(VLOOKUP($B253,Seqs!$A:$B,2,0),E253,1),"")</f>
        <v>E</v>
      </c>
      <c r="E253" s="105">
        <v>33</v>
      </c>
      <c r="F253" s="3" t="str">
        <f>IFERROR(MID(VLOOKUP($B253,Seqs!$A:$B,2,0),G253,1),"")</f>
        <v>H</v>
      </c>
      <c r="G253" s="3">
        <v>65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T</v>
      </c>
      <c r="M253" s="3">
        <v>70</v>
      </c>
      <c r="N253" s="3" t="str">
        <f>IFERROR(MID(VLOOKUP($B253,Seqs!$A:$B,2,0),O253,1),"")</f>
        <v>H</v>
      </c>
      <c r="O253" s="3">
        <v>100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F</v>
      </c>
      <c r="S253" s="3">
        <v>105</v>
      </c>
      <c r="T253" s="3" t="str">
        <f>IFERROR(MID(VLOOKUP($B253,Seqs!$A:$B,2,0),U253,1),"")</f>
        <v>G</v>
      </c>
      <c r="U253" s="3">
        <v>106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9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237</v>
      </c>
      <c r="AN253" s="3" t="str">
        <f>IFERROR(MID(VLOOKUP($B253,Seqs!$A:$B,2,0),AO253,1),"")</f>
        <v>A</v>
      </c>
      <c r="AO253" s="3">
        <v>241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si="1062"/>
        <v>1</v>
      </c>
      <c r="BC253" s="23">
        <f t="shared" ref="BC253:BC317" si="1565">_xlfn.AGGREGATE(9,6,CH253:CS253)-_xlfn.AGGREGATE(9,6,BV253:CG253)+12</f>
        <v>253</v>
      </c>
      <c r="BD253" s="4" t="s">
        <v>23</v>
      </c>
      <c r="BE253" s="3" t="s">
        <v>1291</v>
      </c>
      <c r="BF253" s="119">
        <v>2.65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ref="BV253:BV317" si="1566">E253</f>
        <v>33</v>
      </c>
      <c r="BW253" s="71">
        <f t="shared" ref="BW253:BW317" si="1567">I253</f>
        <v>66</v>
      </c>
      <c r="BX253" s="72">
        <f t="shared" ref="BX253:BX317" si="1568">M253</f>
        <v>70</v>
      </c>
      <c r="BY253" s="71">
        <f t="shared" ref="BY253:BY317" si="1569">Q253</f>
        <v>102</v>
      </c>
      <c r="BZ253" s="72">
        <f t="shared" ref="BZ253:BZ317" si="1570">U253</f>
        <v>106</v>
      </c>
      <c r="CA253" s="71" t="str">
        <f t="shared" ref="CA253:CA317" si="1571">Y253</f>
        <v>-</v>
      </c>
      <c r="CB253" s="72">
        <f t="shared" ref="CB253:CB317" si="1572">AC253</f>
        <v>149</v>
      </c>
      <c r="CC253" s="71">
        <f t="shared" ref="CC253:CC317" si="1573">AG253</f>
        <v>187</v>
      </c>
      <c r="CD253" s="72">
        <f t="shared" ref="CD253:CD317" si="1574">AK253</f>
        <v>199</v>
      </c>
      <c r="CE253" s="71">
        <f t="shared" ref="CE253:CE317" si="1575">AO253</f>
        <v>241</v>
      </c>
      <c r="CF253" s="72">
        <f t="shared" ref="CF253:CF317" si="1576">AS253</f>
        <v>284</v>
      </c>
      <c r="CG253" s="71">
        <f t="shared" ref="CG253:CG317" si="1577">AW253</f>
        <v>310</v>
      </c>
      <c r="CH253" s="70">
        <f t="shared" ref="CH253:CH317" si="1578">G253</f>
        <v>65</v>
      </c>
      <c r="CI253" s="71">
        <f t="shared" ref="CI253:CI317" si="1579">K253</f>
        <v>69</v>
      </c>
      <c r="CJ253" s="72">
        <f t="shared" ref="CJ253:CJ317" si="1580">O253</f>
        <v>100</v>
      </c>
      <c r="CK253" s="72">
        <f t="shared" ref="CK253:CK317" si="1581">S253</f>
        <v>105</v>
      </c>
      <c r="CL253" s="72">
        <f t="shared" ref="CL253:CL317" si="1582">W253</f>
        <v>141</v>
      </c>
      <c r="CM253" s="72" t="str">
        <f t="shared" ref="CM253:CM317" si="1583">AA253</f>
        <v>-</v>
      </c>
      <c r="CN253" s="72">
        <f t="shared" ref="CN253:CN317" si="1584">AE253</f>
        <v>173</v>
      </c>
      <c r="CO253" s="72">
        <f t="shared" ref="CO253:CO317" si="1585">AI253</f>
        <v>189</v>
      </c>
      <c r="CP253" s="72">
        <f t="shared" ref="CP253:CP317" si="1586">AM253</f>
        <v>237</v>
      </c>
      <c r="CQ253" s="72">
        <f t="shared" ref="CQ253:CQ317" si="1587">AQ253</f>
        <v>278</v>
      </c>
      <c r="CR253" s="72">
        <f t="shared" ref="CR253:CR317" si="1588">AU253</f>
        <v>309</v>
      </c>
      <c r="CS253" s="72">
        <f t="shared" ref="CS253:CS317" si="1589">AY253</f>
        <v>322</v>
      </c>
      <c r="CT253" s="23">
        <f t="shared" ref="CT253:CT317" si="1590">M253-K253</f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061"/>
        <v>opsd_bovin_5DYS</v>
      </c>
      <c r="B254" s="3" t="s">
        <v>919</v>
      </c>
      <c r="C254" s="3" t="s">
        <v>1357</v>
      </c>
      <c r="D254" s="3" t="str">
        <f>IFERROR(MID(VLOOKUP($B254,Seqs!$A:$B,2,0),E254,1),"")</f>
        <v>E</v>
      </c>
      <c r="E254" s="105">
        <v>33</v>
      </c>
      <c r="F254" s="3" t="str">
        <f>IFERROR(MID(VLOOKUP($B254,Seqs!$A:$B,2,0),G254,1),"")</f>
        <v>H</v>
      </c>
      <c r="G254" s="3">
        <v>65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T</v>
      </c>
      <c r="M254" s="3">
        <v>70</v>
      </c>
      <c r="N254" s="3" t="str">
        <f>IFERROR(MID(VLOOKUP($B254,Seqs!$A:$B,2,0),O254,1),"")</f>
        <v>H</v>
      </c>
      <c r="O254" s="3">
        <v>100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F</v>
      </c>
      <c r="S254" s="3">
        <v>105</v>
      </c>
      <c r="T254" s="3" t="str">
        <f>IFERROR(MID(VLOOKUP($B254,Seqs!$A:$B,2,0),U254,1),"")</f>
        <v>G</v>
      </c>
      <c r="U254" s="3">
        <v>106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9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237</v>
      </c>
      <c r="AN254" s="3" t="str">
        <f>IFERROR(MID(VLOOKUP($B254,Seqs!$A:$B,2,0),AO254,1),"")</f>
        <v>A</v>
      </c>
      <c r="AO254" s="3">
        <v>241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si="1062"/>
        <v>1</v>
      </c>
      <c r="BC254" s="23">
        <f t="shared" si="1565"/>
        <v>253</v>
      </c>
      <c r="BD254" s="5" t="s">
        <v>1375</v>
      </c>
      <c r="BE254" s="3" t="s">
        <v>1291</v>
      </c>
      <c r="BF254" s="119">
        <v>2.2999999999999998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si="1566"/>
        <v>33</v>
      </c>
      <c r="BW254" s="71">
        <f t="shared" si="1567"/>
        <v>66</v>
      </c>
      <c r="BX254" s="72">
        <f t="shared" si="1568"/>
        <v>70</v>
      </c>
      <c r="BY254" s="71">
        <f t="shared" si="1569"/>
        <v>102</v>
      </c>
      <c r="BZ254" s="72">
        <f t="shared" si="1570"/>
        <v>106</v>
      </c>
      <c r="CA254" s="71" t="str">
        <f t="shared" si="1571"/>
        <v>-</v>
      </c>
      <c r="CB254" s="72">
        <f t="shared" si="1572"/>
        <v>149</v>
      </c>
      <c r="CC254" s="71">
        <f t="shared" si="1573"/>
        <v>187</v>
      </c>
      <c r="CD254" s="72">
        <f t="shared" si="1574"/>
        <v>199</v>
      </c>
      <c r="CE254" s="71">
        <f t="shared" si="1575"/>
        <v>241</v>
      </c>
      <c r="CF254" s="72">
        <f t="shared" si="1576"/>
        <v>284</v>
      </c>
      <c r="CG254" s="71">
        <f t="shared" si="1577"/>
        <v>310</v>
      </c>
      <c r="CH254" s="70">
        <f t="shared" si="1578"/>
        <v>65</v>
      </c>
      <c r="CI254" s="71">
        <f t="shared" si="1579"/>
        <v>69</v>
      </c>
      <c r="CJ254" s="72">
        <f t="shared" si="1580"/>
        <v>100</v>
      </c>
      <c r="CK254" s="72">
        <f t="shared" si="1581"/>
        <v>105</v>
      </c>
      <c r="CL254" s="72">
        <f t="shared" si="1582"/>
        <v>141</v>
      </c>
      <c r="CM254" s="72" t="str">
        <f t="shared" si="1583"/>
        <v>-</v>
      </c>
      <c r="CN254" s="72">
        <f t="shared" si="1584"/>
        <v>173</v>
      </c>
      <c r="CO254" s="72">
        <f t="shared" si="1585"/>
        <v>189</v>
      </c>
      <c r="CP254" s="72">
        <f t="shared" si="1586"/>
        <v>237</v>
      </c>
      <c r="CQ254" s="72">
        <f t="shared" si="1587"/>
        <v>278</v>
      </c>
      <c r="CR254" s="72">
        <f t="shared" si="1588"/>
        <v>309</v>
      </c>
      <c r="CS254" s="72">
        <f t="shared" si="1589"/>
        <v>322</v>
      </c>
      <c r="CT254" s="23">
        <f t="shared" si="1590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ref="A255:A337" si="1591">CONCATENATE(B255,"_",C255)</f>
        <v>opsd_bovin_5EN0</v>
      </c>
      <c r="B255" s="3" t="s">
        <v>919</v>
      </c>
      <c r="C255" s="3" t="s">
        <v>1358</v>
      </c>
      <c r="D255" s="3" t="str">
        <f>IFERROR(MID(VLOOKUP($B255,Seqs!$A:$B,2,0),E255,1),"")</f>
        <v>E</v>
      </c>
      <c r="E255" s="105">
        <v>33</v>
      </c>
      <c r="F255" s="3" t="str">
        <f>IFERROR(MID(VLOOKUP($B255,Seqs!$A:$B,2,0),G255,1),"")</f>
        <v>H</v>
      </c>
      <c r="G255" s="3">
        <v>65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T</v>
      </c>
      <c r="M255" s="3">
        <v>70</v>
      </c>
      <c r="N255" s="3" t="str">
        <f>IFERROR(MID(VLOOKUP($B255,Seqs!$A:$B,2,0),O255,1),"")</f>
        <v>H</v>
      </c>
      <c r="O255" s="3">
        <v>100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F</v>
      </c>
      <c r="S255" s="3">
        <v>105</v>
      </c>
      <c r="T255" s="3" t="str">
        <f>IFERROR(MID(VLOOKUP($B255,Seqs!$A:$B,2,0),U255,1),"")</f>
        <v>G</v>
      </c>
      <c r="U255" s="3">
        <v>106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9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N</v>
      </c>
      <c r="AK255" s="3">
        <v>199</v>
      </c>
      <c r="AL255" s="3" t="str">
        <f>IFERROR(MID(VLOOKUP($B255,Seqs!$A:$B,2,0),AM255,1),"")</f>
        <v>Q</v>
      </c>
      <c r="AM255" s="3">
        <v>237</v>
      </c>
      <c r="AN255" s="3" t="str">
        <f>IFERROR(MID(VLOOKUP($B255,Seqs!$A:$B,2,0),AO255,1),"")</f>
        <v>A</v>
      </c>
      <c r="AO255" s="3">
        <v>241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G</v>
      </c>
      <c r="AS255" s="3">
        <v>284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322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ref="BB255:BB337" si="1592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si="1565"/>
        <v>253</v>
      </c>
      <c r="BD255" s="4" t="s">
        <v>23</v>
      </c>
      <c r="BE255" s="3" t="s">
        <v>1291</v>
      </c>
      <c r="BF255" s="119">
        <v>2.81</v>
      </c>
      <c r="BG255" s="49" t="s">
        <v>1377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si="1566"/>
        <v>33</v>
      </c>
      <c r="BW255" s="71">
        <f t="shared" si="1567"/>
        <v>66</v>
      </c>
      <c r="BX255" s="72">
        <f t="shared" si="1568"/>
        <v>70</v>
      </c>
      <c r="BY255" s="71">
        <f t="shared" si="1569"/>
        <v>102</v>
      </c>
      <c r="BZ255" s="72">
        <f t="shared" si="1570"/>
        <v>106</v>
      </c>
      <c r="CA255" s="71" t="str">
        <f t="shared" si="1571"/>
        <v>-</v>
      </c>
      <c r="CB255" s="72">
        <f t="shared" si="1572"/>
        <v>149</v>
      </c>
      <c r="CC255" s="71">
        <f t="shared" si="1573"/>
        <v>187</v>
      </c>
      <c r="CD255" s="72">
        <f t="shared" si="1574"/>
        <v>199</v>
      </c>
      <c r="CE255" s="71">
        <f t="shared" si="1575"/>
        <v>241</v>
      </c>
      <c r="CF255" s="72">
        <f t="shared" si="1576"/>
        <v>284</v>
      </c>
      <c r="CG255" s="71">
        <f t="shared" si="1577"/>
        <v>310</v>
      </c>
      <c r="CH255" s="70">
        <f t="shared" si="1578"/>
        <v>65</v>
      </c>
      <c r="CI255" s="71">
        <f t="shared" si="1579"/>
        <v>69</v>
      </c>
      <c r="CJ255" s="72">
        <f t="shared" si="1580"/>
        <v>100</v>
      </c>
      <c r="CK255" s="72">
        <f t="shared" si="1581"/>
        <v>105</v>
      </c>
      <c r="CL255" s="72">
        <f t="shared" si="1582"/>
        <v>141</v>
      </c>
      <c r="CM255" s="72" t="str">
        <f t="shared" si="1583"/>
        <v>-</v>
      </c>
      <c r="CN255" s="72">
        <f t="shared" si="1584"/>
        <v>173</v>
      </c>
      <c r="CO255" s="72">
        <f t="shared" si="1585"/>
        <v>189</v>
      </c>
      <c r="CP255" s="72">
        <f t="shared" si="1586"/>
        <v>237</v>
      </c>
      <c r="CQ255" s="72">
        <f t="shared" si="1587"/>
        <v>278</v>
      </c>
      <c r="CR255" s="72">
        <f t="shared" si="1588"/>
        <v>309</v>
      </c>
      <c r="CS255" s="72">
        <f t="shared" si="1589"/>
        <v>322</v>
      </c>
      <c r="CT255" s="23">
        <f t="shared" si="1590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ref="A256:A266" si="1593">CONCATENATE(B256,"_",C256)</f>
        <v>opsd_bovin_5TE3</v>
      </c>
      <c r="B256" s="3" t="s">
        <v>919</v>
      </c>
      <c r="C256" s="3" t="s">
        <v>1399</v>
      </c>
      <c r="D256" s="3" t="str">
        <f>IFERROR(MID(VLOOKUP($B256,Seqs!$A:$B,2,0),E256,1),"")</f>
        <v>E</v>
      </c>
      <c r="E256" s="105">
        <v>33</v>
      </c>
      <c r="F256" s="3" t="str">
        <f>IFERROR(MID(VLOOKUP($B256,Seqs!$A:$B,2,0),G256,1),"")</f>
        <v>H</v>
      </c>
      <c r="G256" s="3">
        <v>65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T</v>
      </c>
      <c r="M256" s="3">
        <v>70</v>
      </c>
      <c r="N256" s="3" t="str">
        <f>IFERROR(MID(VLOOKUP($B256,Seqs!$A:$B,2,0),O256,1),"")</f>
        <v>H</v>
      </c>
      <c r="O256" s="3">
        <v>100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F</v>
      </c>
      <c r="S256" s="3">
        <v>105</v>
      </c>
      <c r="T256" s="3" t="str">
        <f>IFERROR(MID(VLOOKUP($B256,Seqs!$A:$B,2,0),U256,1),"")</f>
        <v>G</v>
      </c>
      <c r="U256" s="3">
        <v>106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3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237</v>
      </c>
      <c r="AN256" s="3" t="str">
        <f>IFERROR(MID(VLOOKUP($B256,Seqs!$A:$B,2,0),AO256,1),"")</f>
        <v>A</v>
      </c>
      <c r="AO256" s="3">
        <v>241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ref="BB256:BB266" si="1594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:BC266" si="1595">_xlfn.AGGREGATE(9,6,CH256:CS256)-_xlfn.AGGREGATE(9,6,BV256:CG256)+12</f>
        <v>253</v>
      </c>
      <c r="BD256" s="2" t="s">
        <v>23</v>
      </c>
      <c r="BE256" s="3" t="s">
        <v>1291</v>
      </c>
      <c r="BF256" s="119">
        <v>2.7</v>
      </c>
      <c r="BG256" s="49" t="s">
        <v>1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 t="shared" ref="BV256:BV266" si="1596">E256</f>
        <v>33</v>
      </c>
      <c r="BW256" s="71">
        <f t="shared" ref="BW256:BW266" si="1597">I256</f>
        <v>66</v>
      </c>
      <c r="BX256" s="72">
        <f t="shared" ref="BX256:BX266" si="1598">M256</f>
        <v>70</v>
      </c>
      <c r="BY256" s="71">
        <f t="shared" ref="BY256:BY266" si="1599">Q256</f>
        <v>102</v>
      </c>
      <c r="BZ256" s="72">
        <f t="shared" ref="BZ256:BZ266" si="1600">U256</f>
        <v>106</v>
      </c>
      <c r="CA256" s="71" t="str">
        <f t="shared" ref="CA256:CA266" si="1601">Y256</f>
        <v>-</v>
      </c>
      <c r="CB256" s="72">
        <f t="shared" ref="CB256:CB266" si="1602">AC256</f>
        <v>149</v>
      </c>
      <c r="CC256" s="71">
        <f t="shared" ref="CC256:CC266" si="1603">AG256</f>
        <v>187</v>
      </c>
      <c r="CD256" s="72">
        <f t="shared" ref="CD256:CD266" si="1604">AK256</f>
        <v>199</v>
      </c>
      <c r="CE256" s="71">
        <f t="shared" ref="CE256:CE266" si="1605">AO256</f>
        <v>241</v>
      </c>
      <c r="CF256" s="72">
        <f t="shared" ref="CF256:CF266" si="1606">AS256</f>
        <v>284</v>
      </c>
      <c r="CG256" s="71">
        <f t="shared" ref="CG256:CG266" si="1607">AW256</f>
        <v>310</v>
      </c>
      <c r="CH256" s="70">
        <f t="shared" ref="CH256:CH266" si="1608">G256</f>
        <v>65</v>
      </c>
      <c r="CI256" s="71">
        <f t="shared" ref="CI256:CI266" si="1609">K256</f>
        <v>69</v>
      </c>
      <c r="CJ256" s="72">
        <f t="shared" ref="CJ256:CJ266" si="1610">O256</f>
        <v>100</v>
      </c>
      <c r="CK256" s="72">
        <f t="shared" ref="CK256:CK266" si="1611">S256</f>
        <v>105</v>
      </c>
      <c r="CL256" s="72">
        <f t="shared" ref="CL256:CL266" si="1612">W256</f>
        <v>141</v>
      </c>
      <c r="CM256" s="72" t="str">
        <f t="shared" ref="CM256:CM266" si="1613">AA256</f>
        <v>-</v>
      </c>
      <c r="CN256" s="72">
        <f t="shared" ref="CN256:CN266" si="1614">AE256</f>
        <v>173</v>
      </c>
      <c r="CO256" s="72">
        <f t="shared" ref="CO256:CO266" si="1615">AI256</f>
        <v>189</v>
      </c>
      <c r="CP256" s="72">
        <f t="shared" ref="CP256:CP266" si="1616">AM256</f>
        <v>237</v>
      </c>
      <c r="CQ256" s="72">
        <f t="shared" ref="CQ256:CQ266" si="1617">AQ256</f>
        <v>278</v>
      </c>
      <c r="CR256" s="72">
        <f t="shared" ref="CR256:CR266" si="1618">AU256</f>
        <v>309</v>
      </c>
      <c r="CS256" s="72">
        <f t="shared" ref="CS256:CS266" si="1619">AY256</f>
        <v>322</v>
      </c>
      <c r="CT256" s="23">
        <f t="shared" ref="CT256:CT266" si="1620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593"/>
        <v>opsd_bovin_5TE5</v>
      </c>
      <c r="B257" s="3" t="s">
        <v>919</v>
      </c>
      <c r="C257" s="3" t="s">
        <v>1400</v>
      </c>
      <c r="D257" s="3" t="str">
        <f>IFERROR(MID(VLOOKUP($B257,Seqs!$A:$B,2,0),E257,1),"")</f>
        <v>Q</v>
      </c>
      <c r="E257" s="3">
        <v>36</v>
      </c>
      <c r="F257" s="3" t="str">
        <f>IFERROR(MID(VLOOKUP($B257,Seqs!$A:$B,2,0),G257,1),"")</f>
        <v>H</v>
      </c>
      <c r="G257" s="3">
        <v>65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T</v>
      </c>
      <c r="M257" s="3">
        <v>70</v>
      </c>
      <c r="N257" s="3" t="str">
        <f>IFERROR(MID(VLOOKUP($B257,Seqs!$A:$B,2,0),O257,1),"")</f>
        <v>G</v>
      </c>
      <c r="O257" s="3">
        <v>101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F</v>
      </c>
      <c r="S257" s="3">
        <v>105</v>
      </c>
      <c r="T257" s="3" t="str">
        <f>IFERROR(MID(VLOOKUP($B257,Seqs!$A:$B,2,0),U257,1),"")</f>
        <v>G</v>
      </c>
      <c r="U257" s="3">
        <v>106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3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S</v>
      </c>
      <c r="AK257" s="3">
        <v>202</v>
      </c>
      <c r="AL257" s="3" t="str">
        <f>IFERROR(MID(VLOOKUP($B257,Seqs!$A:$B,2,0),AM257,1),"")</f>
        <v>L</v>
      </c>
      <c r="AM257" s="3">
        <v>226</v>
      </c>
      <c r="AN257" s="3" t="str">
        <f>IFERROR(MID(VLOOKUP($B257,Seqs!$A:$B,2,0),AO257,1),"")</f>
        <v>T</v>
      </c>
      <c r="AO257" s="3">
        <v>243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P</v>
      </c>
      <c r="AS257" s="3">
        <v>285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323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594"/>
        <v>1</v>
      </c>
      <c r="BC257" s="23">
        <f t="shared" si="1595"/>
        <v>235</v>
      </c>
      <c r="BD257" s="2" t="s">
        <v>23</v>
      </c>
      <c r="BE257" s="3" t="s">
        <v>1374</v>
      </c>
      <c r="BF257" s="119">
        <v>4.01</v>
      </c>
      <c r="BG257" s="49" t="s">
        <v>1377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596"/>
        <v>36</v>
      </c>
      <c r="BW257" s="71">
        <f t="shared" si="1597"/>
        <v>66</v>
      </c>
      <c r="BX257" s="72">
        <f t="shared" si="1598"/>
        <v>70</v>
      </c>
      <c r="BY257" s="71">
        <f t="shared" si="1599"/>
        <v>102</v>
      </c>
      <c r="BZ257" s="72">
        <f t="shared" si="1600"/>
        <v>106</v>
      </c>
      <c r="CA257" s="71" t="str">
        <f t="shared" si="1601"/>
        <v>-</v>
      </c>
      <c r="CB257" s="72">
        <f t="shared" si="1602"/>
        <v>149</v>
      </c>
      <c r="CC257" s="71">
        <f t="shared" si="1603"/>
        <v>187</v>
      </c>
      <c r="CD257" s="72">
        <f t="shared" si="1604"/>
        <v>202</v>
      </c>
      <c r="CE257" s="71">
        <f t="shared" si="1605"/>
        <v>243</v>
      </c>
      <c r="CF257" s="72">
        <f t="shared" si="1606"/>
        <v>285</v>
      </c>
      <c r="CG257" s="71">
        <f t="shared" si="1607"/>
        <v>310</v>
      </c>
      <c r="CH257" s="70">
        <f t="shared" si="1608"/>
        <v>65</v>
      </c>
      <c r="CI257" s="71">
        <f t="shared" si="1609"/>
        <v>69</v>
      </c>
      <c r="CJ257" s="72">
        <f t="shared" si="1610"/>
        <v>101</v>
      </c>
      <c r="CK257" s="72">
        <f t="shared" si="1611"/>
        <v>105</v>
      </c>
      <c r="CL257" s="72">
        <f t="shared" si="1612"/>
        <v>141</v>
      </c>
      <c r="CM257" s="72" t="str">
        <f t="shared" si="1613"/>
        <v>-</v>
      </c>
      <c r="CN257" s="72">
        <f t="shared" si="1614"/>
        <v>173</v>
      </c>
      <c r="CO257" s="72">
        <f t="shared" si="1615"/>
        <v>189</v>
      </c>
      <c r="CP257" s="72">
        <f t="shared" si="1616"/>
        <v>226</v>
      </c>
      <c r="CQ257" s="72">
        <f t="shared" si="1617"/>
        <v>278</v>
      </c>
      <c r="CR257" s="72">
        <f t="shared" si="1618"/>
        <v>309</v>
      </c>
      <c r="CS257" s="72">
        <f t="shared" si="1619"/>
        <v>323</v>
      </c>
      <c r="CT257" s="23">
        <f t="shared" si="1620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593"/>
        <v>opsd_bovin_5WKT</v>
      </c>
      <c r="B258" s="3" t="s">
        <v>919</v>
      </c>
      <c r="C258" s="3" t="s">
        <v>1450</v>
      </c>
      <c r="D258" s="3" t="str">
        <f>IFERROR(MID(VLOOKUP($B258,Seqs!$A:$B,2,0),E258,1),"")</f>
        <v>E</v>
      </c>
      <c r="E258" s="3">
        <v>33</v>
      </c>
      <c r="F258" s="3" t="str">
        <f>IFERROR(MID(VLOOKUP($B258,Seqs!$A:$B,2,0),G258,1),"")</f>
        <v>Q</v>
      </c>
      <c r="G258" s="3">
        <v>64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N</v>
      </c>
      <c r="M258" s="3">
        <v>73</v>
      </c>
      <c r="N258" s="3" t="str">
        <f>IFERROR(MID(VLOOKUP($B258,Seqs!$A:$B,2,0),O258,1),"")</f>
        <v>G</v>
      </c>
      <c r="O258" s="3">
        <v>101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F</v>
      </c>
      <c r="S258" s="3">
        <v>105</v>
      </c>
      <c r="T258" s="3" t="str">
        <f>IFERROR(MID(VLOOKUP($B258,Seqs!$A:$B,2,0),U258,1),"")</f>
        <v>G</v>
      </c>
      <c r="U258" s="3">
        <v>106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236</v>
      </c>
      <c r="AN258" s="3" t="str">
        <f>IFERROR(MID(VLOOKUP($B258,Seqs!$A:$B,2,0),AO258,1),"")</f>
        <v>S</v>
      </c>
      <c r="AO258" s="3">
        <v>240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594"/>
        <v>1</v>
      </c>
      <c r="BC258" s="23">
        <f t="shared" si="1595"/>
        <v>250</v>
      </c>
      <c r="BD258" s="2" t="s">
        <v>23</v>
      </c>
      <c r="BE258" s="3" t="s">
        <v>1291</v>
      </c>
      <c r="BF258" s="119">
        <v>3.2</v>
      </c>
      <c r="BG258" s="49" t="s">
        <v>1</v>
      </c>
      <c r="BH258" s="49" t="s">
        <v>1</v>
      </c>
      <c r="BI258" s="1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si="1596"/>
        <v>33</v>
      </c>
      <c r="BW258" s="71">
        <f t="shared" si="1597"/>
        <v>66</v>
      </c>
      <c r="BX258" s="72">
        <f t="shared" si="1598"/>
        <v>73</v>
      </c>
      <c r="BY258" s="71">
        <f t="shared" si="1599"/>
        <v>102</v>
      </c>
      <c r="BZ258" s="72">
        <f t="shared" si="1600"/>
        <v>106</v>
      </c>
      <c r="CA258" s="71" t="str">
        <f t="shared" si="1601"/>
        <v>-</v>
      </c>
      <c r="CB258" s="72">
        <f t="shared" si="1602"/>
        <v>149</v>
      </c>
      <c r="CC258" s="71">
        <f t="shared" si="1603"/>
        <v>187</v>
      </c>
      <c r="CD258" s="72">
        <f t="shared" si="1604"/>
        <v>199</v>
      </c>
      <c r="CE258" s="71">
        <f t="shared" si="1605"/>
        <v>240</v>
      </c>
      <c r="CF258" s="72">
        <f t="shared" si="1606"/>
        <v>284</v>
      </c>
      <c r="CG258" s="71">
        <f t="shared" si="1607"/>
        <v>310</v>
      </c>
      <c r="CH258" s="70">
        <f t="shared" si="1608"/>
        <v>64</v>
      </c>
      <c r="CI258" s="71">
        <f t="shared" si="1609"/>
        <v>69</v>
      </c>
      <c r="CJ258" s="72">
        <f t="shared" si="1610"/>
        <v>101</v>
      </c>
      <c r="CK258" s="72">
        <f t="shared" si="1611"/>
        <v>105</v>
      </c>
      <c r="CL258" s="72">
        <f t="shared" si="1612"/>
        <v>141</v>
      </c>
      <c r="CM258" s="72" t="str">
        <f t="shared" si="1613"/>
        <v>-</v>
      </c>
      <c r="CN258" s="72">
        <f t="shared" si="1614"/>
        <v>173</v>
      </c>
      <c r="CO258" s="72">
        <f t="shared" si="1615"/>
        <v>189</v>
      </c>
      <c r="CP258" s="72">
        <f t="shared" si="1616"/>
        <v>236</v>
      </c>
      <c r="CQ258" s="72">
        <f t="shared" si="1617"/>
        <v>278</v>
      </c>
      <c r="CR258" s="72">
        <f t="shared" si="1618"/>
        <v>309</v>
      </c>
      <c r="CS258" s="72">
        <f t="shared" si="1619"/>
        <v>322</v>
      </c>
      <c r="CT258" s="23">
        <f t="shared" si="1620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593"/>
        <v>opsd_bovin_6FK6</v>
      </c>
      <c r="B259" s="3" t="s">
        <v>919</v>
      </c>
      <c r="C259" s="3" t="s">
        <v>1481</v>
      </c>
      <c r="D259" s="3" t="str">
        <f>IFERROR(MID(VLOOKUP($B259,Seqs!$A:$B,2,0),E259,1),"")</f>
        <v>E</v>
      </c>
      <c r="E259" s="3">
        <v>33</v>
      </c>
      <c r="F259" s="3" t="str">
        <f>IFERROR(MID(VLOOKUP($B259,Seqs!$A:$B,2,0),G259,1),"")</f>
        <v>Q</v>
      </c>
      <c r="G259" s="3">
        <v>64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N</v>
      </c>
      <c r="M259" s="3">
        <v>73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F</v>
      </c>
      <c r="S259" s="3">
        <v>105</v>
      </c>
      <c r="T259" s="3" t="str">
        <f>IFERROR(MID(VLOOKUP($B259,Seqs!$A:$B,2,0),U259,1),"")</f>
        <v>G</v>
      </c>
      <c r="U259" s="3">
        <v>106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236</v>
      </c>
      <c r="AN259" s="3" t="str">
        <f>IFERROR(MID(VLOOKUP($B259,Seqs!$A:$B,2,0),AO259,1),"")</f>
        <v>S</v>
      </c>
      <c r="AO259" s="3">
        <v>240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594"/>
        <v>1</v>
      </c>
      <c r="BC259" s="23">
        <f t="shared" si="1595"/>
        <v>250</v>
      </c>
      <c r="BD259" s="2" t="s">
        <v>23</v>
      </c>
      <c r="BE259" s="3" t="s">
        <v>1291</v>
      </c>
      <c r="BF259" s="119">
        <v>2.36</v>
      </c>
      <c r="BG259" s="49" t="s">
        <v>1</v>
      </c>
      <c r="BH259" s="49" t="s">
        <v>1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596"/>
        <v>33</v>
      </c>
      <c r="BW259" s="71">
        <f t="shared" si="1597"/>
        <v>66</v>
      </c>
      <c r="BX259" s="72">
        <f t="shared" si="1598"/>
        <v>73</v>
      </c>
      <c r="BY259" s="71">
        <f t="shared" si="1599"/>
        <v>102</v>
      </c>
      <c r="BZ259" s="72">
        <f t="shared" si="1600"/>
        <v>106</v>
      </c>
      <c r="CA259" s="71" t="str">
        <f t="shared" si="1601"/>
        <v>-</v>
      </c>
      <c r="CB259" s="72">
        <f t="shared" si="1602"/>
        <v>149</v>
      </c>
      <c r="CC259" s="71">
        <f t="shared" si="1603"/>
        <v>187</v>
      </c>
      <c r="CD259" s="72">
        <f t="shared" si="1604"/>
        <v>199</v>
      </c>
      <c r="CE259" s="71">
        <f t="shared" si="1605"/>
        <v>240</v>
      </c>
      <c r="CF259" s="72">
        <f t="shared" si="1606"/>
        <v>284</v>
      </c>
      <c r="CG259" s="71">
        <f t="shared" si="1607"/>
        <v>310</v>
      </c>
      <c r="CH259" s="70">
        <f t="shared" si="1608"/>
        <v>64</v>
      </c>
      <c r="CI259" s="71">
        <f t="shared" si="1609"/>
        <v>69</v>
      </c>
      <c r="CJ259" s="72">
        <f t="shared" si="1610"/>
        <v>101</v>
      </c>
      <c r="CK259" s="72">
        <f t="shared" si="1611"/>
        <v>105</v>
      </c>
      <c r="CL259" s="72">
        <f t="shared" si="1612"/>
        <v>141</v>
      </c>
      <c r="CM259" s="72" t="str">
        <f t="shared" si="1613"/>
        <v>-</v>
      </c>
      <c r="CN259" s="72">
        <f t="shared" si="1614"/>
        <v>173</v>
      </c>
      <c r="CO259" s="72">
        <f t="shared" si="1615"/>
        <v>189</v>
      </c>
      <c r="CP259" s="72">
        <f t="shared" si="1616"/>
        <v>236</v>
      </c>
      <c r="CQ259" s="72">
        <f t="shared" si="1617"/>
        <v>278</v>
      </c>
      <c r="CR259" s="72">
        <f t="shared" si="1618"/>
        <v>309</v>
      </c>
      <c r="CS259" s="72">
        <f t="shared" si="1619"/>
        <v>322</v>
      </c>
      <c r="CT259" s="23">
        <f t="shared" si="1620"/>
        <v>4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593"/>
        <v>opsd_bovin_6FK7</v>
      </c>
      <c r="B260" s="3" t="s">
        <v>919</v>
      </c>
      <c r="C260" s="3" t="s">
        <v>1482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Q</v>
      </c>
      <c r="G260" s="3">
        <v>64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F</v>
      </c>
      <c r="S260" s="3">
        <v>105</v>
      </c>
      <c r="T260" s="3" t="str">
        <f>IFERROR(MID(VLOOKUP($B260,Seqs!$A:$B,2,0),U260,1),"")</f>
        <v>G</v>
      </c>
      <c r="U260" s="3">
        <v>106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236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T</v>
      </c>
      <c r="AS260" s="3">
        <v>289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594"/>
        <v>1</v>
      </c>
      <c r="BC260" s="23">
        <f t="shared" si="1595"/>
        <v>245</v>
      </c>
      <c r="BD260" s="2" t="s">
        <v>23</v>
      </c>
      <c r="BE260" s="3" t="s">
        <v>1291</v>
      </c>
      <c r="BF260" s="119">
        <v>2.62</v>
      </c>
      <c r="BG260" s="49" t="s">
        <v>1</v>
      </c>
      <c r="BH260" s="49" t="s">
        <v>1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596"/>
        <v>33</v>
      </c>
      <c r="BW260" s="71">
        <f t="shared" si="1597"/>
        <v>66</v>
      </c>
      <c r="BX260" s="72">
        <f t="shared" si="1598"/>
        <v>73</v>
      </c>
      <c r="BY260" s="71">
        <f t="shared" si="1599"/>
        <v>102</v>
      </c>
      <c r="BZ260" s="72">
        <f t="shared" si="1600"/>
        <v>106</v>
      </c>
      <c r="CA260" s="71" t="str">
        <f t="shared" si="1601"/>
        <v>-</v>
      </c>
      <c r="CB260" s="72">
        <f t="shared" si="1602"/>
        <v>149</v>
      </c>
      <c r="CC260" s="71">
        <f t="shared" si="1603"/>
        <v>187</v>
      </c>
      <c r="CD260" s="72">
        <f t="shared" si="1604"/>
        <v>199</v>
      </c>
      <c r="CE260" s="71">
        <f t="shared" si="1605"/>
        <v>240</v>
      </c>
      <c r="CF260" s="72">
        <f t="shared" si="1606"/>
        <v>289</v>
      </c>
      <c r="CG260" s="71">
        <f t="shared" si="1607"/>
        <v>310</v>
      </c>
      <c r="CH260" s="70">
        <f t="shared" si="1608"/>
        <v>64</v>
      </c>
      <c r="CI260" s="71">
        <f t="shared" si="1609"/>
        <v>69</v>
      </c>
      <c r="CJ260" s="72">
        <f t="shared" si="1610"/>
        <v>101</v>
      </c>
      <c r="CK260" s="72">
        <f t="shared" si="1611"/>
        <v>105</v>
      </c>
      <c r="CL260" s="72">
        <f t="shared" si="1612"/>
        <v>141</v>
      </c>
      <c r="CM260" s="72" t="str">
        <f t="shared" si="1613"/>
        <v>-</v>
      </c>
      <c r="CN260" s="72">
        <f t="shared" si="1614"/>
        <v>173</v>
      </c>
      <c r="CO260" s="72">
        <f t="shared" si="1615"/>
        <v>189</v>
      </c>
      <c r="CP260" s="72">
        <f t="shared" si="1616"/>
        <v>236</v>
      </c>
      <c r="CQ260" s="72">
        <f t="shared" si="1617"/>
        <v>278</v>
      </c>
      <c r="CR260" s="72">
        <f t="shared" si="1618"/>
        <v>309</v>
      </c>
      <c r="CS260" s="72">
        <f t="shared" si="1619"/>
        <v>322</v>
      </c>
      <c r="CT260" s="23">
        <f t="shared" si="1620"/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593"/>
        <v>opsd_bovin_6FK8</v>
      </c>
      <c r="B261" s="3" t="s">
        <v>919</v>
      </c>
      <c r="C261" s="3" t="s">
        <v>1483</v>
      </c>
      <c r="D261" s="3" t="str">
        <f>IFERROR(MID(VLOOKUP($B261,Seqs!$A:$B,2,0),E261,1),"")</f>
        <v>E</v>
      </c>
      <c r="E261" s="3">
        <v>33</v>
      </c>
      <c r="F261" s="3" t="str">
        <f>IFERROR(MID(VLOOKUP($B261,Seqs!$A:$B,2,0),G261,1),"")</f>
        <v>Q</v>
      </c>
      <c r="G261" s="3">
        <v>64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N</v>
      </c>
      <c r="M261" s="3">
        <v>73</v>
      </c>
      <c r="N261" s="3" t="str">
        <f>IFERROR(MID(VLOOKUP($B261,Seqs!$A:$B,2,0),O261,1),"")</f>
        <v>G</v>
      </c>
      <c r="O261" s="3">
        <v>101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3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236</v>
      </c>
      <c r="AN261" s="3" t="str">
        <f>IFERROR(MID(VLOOKUP($B261,Seqs!$A:$B,2,0),AO261,1),"")</f>
        <v>S</v>
      </c>
      <c r="AO261" s="3">
        <v>240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T</v>
      </c>
      <c r="AS261" s="3">
        <v>289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594"/>
        <v>1</v>
      </c>
      <c r="BC261" s="23">
        <f t="shared" si="1595"/>
        <v>245</v>
      </c>
      <c r="BD261" s="2" t="s">
        <v>23</v>
      </c>
      <c r="BE261" s="3" t="s">
        <v>1291</v>
      </c>
      <c r="BF261" s="119">
        <v>2.87</v>
      </c>
      <c r="BG261" s="49" t="s">
        <v>1</v>
      </c>
      <c r="BH261" s="49" t="s">
        <v>1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596"/>
        <v>33</v>
      </c>
      <c r="BW261" s="71">
        <f t="shared" si="1597"/>
        <v>66</v>
      </c>
      <c r="BX261" s="72">
        <f t="shared" si="1598"/>
        <v>73</v>
      </c>
      <c r="BY261" s="71">
        <f t="shared" si="1599"/>
        <v>102</v>
      </c>
      <c r="BZ261" s="72">
        <f t="shared" si="1600"/>
        <v>106</v>
      </c>
      <c r="CA261" s="71" t="str">
        <f t="shared" si="1601"/>
        <v>-</v>
      </c>
      <c r="CB261" s="72">
        <f t="shared" si="1602"/>
        <v>149</v>
      </c>
      <c r="CC261" s="71">
        <f t="shared" si="1603"/>
        <v>187</v>
      </c>
      <c r="CD261" s="72">
        <f t="shared" si="1604"/>
        <v>199</v>
      </c>
      <c r="CE261" s="71">
        <f t="shared" si="1605"/>
        <v>240</v>
      </c>
      <c r="CF261" s="72">
        <f t="shared" si="1606"/>
        <v>289</v>
      </c>
      <c r="CG261" s="71">
        <f t="shared" si="1607"/>
        <v>310</v>
      </c>
      <c r="CH261" s="70">
        <f t="shared" si="1608"/>
        <v>64</v>
      </c>
      <c r="CI261" s="71">
        <f t="shared" si="1609"/>
        <v>69</v>
      </c>
      <c r="CJ261" s="72">
        <f t="shared" si="1610"/>
        <v>101</v>
      </c>
      <c r="CK261" s="72">
        <f t="shared" si="1611"/>
        <v>105</v>
      </c>
      <c r="CL261" s="72">
        <f t="shared" si="1612"/>
        <v>141</v>
      </c>
      <c r="CM261" s="72" t="str">
        <f t="shared" si="1613"/>
        <v>-</v>
      </c>
      <c r="CN261" s="72">
        <f t="shared" si="1614"/>
        <v>173</v>
      </c>
      <c r="CO261" s="72">
        <f t="shared" si="1615"/>
        <v>189</v>
      </c>
      <c r="CP261" s="72">
        <f t="shared" si="1616"/>
        <v>236</v>
      </c>
      <c r="CQ261" s="72">
        <f t="shared" si="1617"/>
        <v>278</v>
      </c>
      <c r="CR261" s="72">
        <f t="shared" si="1618"/>
        <v>309</v>
      </c>
      <c r="CS261" s="72">
        <f t="shared" si="1619"/>
        <v>322</v>
      </c>
      <c r="CT261" s="23">
        <f t="shared" si="1620"/>
        <v>4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593"/>
        <v>opsd_bovin_6FK9</v>
      </c>
      <c r="B262" s="3" t="s">
        <v>919</v>
      </c>
      <c r="C262" s="3" t="s">
        <v>1484</v>
      </c>
      <c r="D262" s="3" t="str">
        <f>IFERROR(MID(VLOOKUP($B262,Seqs!$A:$B,2,0),E262,1),"")</f>
        <v>E</v>
      </c>
      <c r="E262" s="3">
        <v>33</v>
      </c>
      <c r="F262" s="3" t="str">
        <f>IFERROR(MID(VLOOKUP($B262,Seqs!$A:$B,2,0),G262,1),"")</f>
        <v>Q</v>
      </c>
      <c r="G262" s="3">
        <v>64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N</v>
      </c>
      <c r="M262" s="3">
        <v>73</v>
      </c>
      <c r="N262" s="3" t="str">
        <f>IFERROR(MID(VLOOKUP($B262,Seqs!$A:$B,2,0),O262,1),"")</f>
        <v>G</v>
      </c>
      <c r="O262" s="3">
        <v>101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3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236</v>
      </c>
      <c r="AN262" s="3" t="str">
        <f>IFERROR(MID(VLOOKUP($B262,Seqs!$A:$B,2,0),AO262,1),"")</f>
        <v>S</v>
      </c>
      <c r="AO262" s="3">
        <v>240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G</v>
      </c>
      <c r="AS262" s="3">
        <v>284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si="1594"/>
        <v>1</v>
      </c>
      <c r="BC262" s="23">
        <f t="shared" si="1595"/>
        <v>250</v>
      </c>
      <c r="BD262" s="2" t="s">
        <v>23</v>
      </c>
      <c r="BE262" s="3" t="s">
        <v>1291</v>
      </c>
      <c r="BF262" s="119">
        <v>2.63</v>
      </c>
      <c r="BG262" s="49" t="s">
        <v>1</v>
      </c>
      <c r="BH262" s="49" t="s">
        <v>1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596"/>
        <v>33</v>
      </c>
      <c r="BW262" s="71">
        <f t="shared" si="1597"/>
        <v>66</v>
      </c>
      <c r="BX262" s="72">
        <f t="shared" si="1598"/>
        <v>73</v>
      </c>
      <c r="BY262" s="71">
        <f t="shared" si="1599"/>
        <v>102</v>
      </c>
      <c r="BZ262" s="72">
        <f t="shared" si="1600"/>
        <v>106</v>
      </c>
      <c r="CA262" s="71" t="str">
        <f t="shared" si="1601"/>
        <v>-</v>
      </c>
      <c r="CB262" s="72">
        <f t="shared" si="1602"/>
        <v>149</v>
      </c>
      <c r="CC262" s="71">
        <f t="shared" si="1603"/>
        <v>187</v>
      </c>
      <c r="CD262" s="72">
        <f t="shared" si="1604"/>
        <v>199</v>
      </c>
      <c r="CE262" s="71">
        <f t="shared" si="1605"/>
        <v>240</v>
      </c>
      <c r="CF262" s="72">
        <f t="shared" si="1606"/>
        <v>284</v>
      </c>
      <c r="CG262" s="71">
        <f t="shared" si="1607"/>
        <v>310</v>
      </c>
      <c r="CH262" s="70">
        <f t="shared" si="1608"/>
        <v>64</v>
      </c>
      <c r="CI262" s="71">
        <f t="shared" si="1609"/>
        <v>69</v>
      </c>
      <c r="CJ262" s="72">
        <f t="shared" si="1610"/>
        <v>101</v>
      </c>
      <c r="CK262" s="72">
        <f t="shared" si="1611"/>
        <v>105</v>
      </c>
      <c r="CL262" s="72">
        <f t="shared" si="1612"/>
        <v>141</v>
      </c>
      <c r="CM262" s="72" t="str">
        <f t="shared" si="1613"/>
        <v>-</v>
      </c>
      <c r="CN262" s="72">
        <f t="shared" si="1614"/>
        <v>173</v>
      </c>
      <c r="CO262" s="72">
        <f t="shared" si="1615"/>
        <v>189</v>
      </c>
      <c r="CP262" s="72">
        <f t="shared" si="1616"/>
        <v>236</v>
      </c>
      <c r="CQ262" s="72">
        <f t="shared" si="1617"/>
        <v>278</v>
      </c>
      <c r="CR262" s="72">
        <f t="shared" si="1618"/>
        <v>309</v>
      </c>
      <c r="CS262" s="72">
        <f t="shared" si="1619"/>
        <v>322</v>
      </c>
      <c r="CT262" s="23">
        <f t="shared" si="1620"/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593"/>
        <v>opsd_bovin_6FKA</v>
      </c>
      <c r="B263" s="3" t="s">
        <v>919</v>
      </c>
      <c r="C263" s="3" t="s">
        <v>1485</v>
      </c>
      <c r="D263" s="3" t="str">
        <f>IFERROR(MID(VLOOKUP($B263,Seqs!$A:$B,2,0),E263,1),"")</f>
        <v>E</v>
      </c>
      <c r="E263" s="3">
        <v>33</v>
      </c>
      <c r="F263" s="3" t="str">
        <f>IFERROR(MID(VLOOKUP($B263,Seqs!$A:$B,2,0),G263,1),"")</f>
        <v>Q</v>
      </c>
      <c r="G263" s="3">
        <v>64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N</v>
      </c>
      <c r="M263" s="3">
        <v>73</v>
      </c>
      <c r="N263" s="3" t="str">
        <f>IFERROR(MID(VLOOKUP($B263,Seqs!$A:$B,2,0),O263,1),"")</f>
        <v>G</v>
      </c>
      <c r="O263" s="3">
        <v>101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V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236</v>
      </c>
      <c r="AN263" s="3" t="str">
        <f>IFERROR(MID(VLOOKUP($B263,Seqs!$A:$B,2,0),AO263,1),"")</f>
        <v>S</v>
      </c>
      <c r="AO263" s="3">
        <v>240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594"/>
        <v>1</v>
      </c>
      <c r="BC263" s="23">
        <f t="shared" si="1595"/>
        <v>250</v>
      </c>
      <c r="BD263" s="2" t="s">
        <v>23</v>
      </c>
      <c r="BE263" s="3" t="s">
        <v>1291</v>
      </c>
      <c r="BF263" s="119">
        <v>2.7</v>
      </c>
      <c r="BG263" s="49" t="s">
        <v>1</v>
      </c>
      <c r="BH263" s="49" t="s">
        <v>1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si="1596"/>
        <v>33</v>
      </c>
      <c r="BW263" s="71">
        <f t="shared" si="1597"/>
        <v>66</v>
      </c>
      <c r="BX263" s="72">
        <f t="shared" si="1598"/>
        <v>73</v>
      </c>
      <c r="BY263" s="71">
        <f t="shared" si="1599"/>
        <v>102</v>
      </c>
      <c r="BZ263" s="72">
        <f t="shared" si="1600"/>
        <v>106</v>
      </c>
      <c r="CA263" s="71" t="str">
        <f t="shared" si="1601"/>
        <v>-</v>
      </c>
      <c r="CB263" s="72">
        <f t="shared" si="1602"/>
        <v>149</v>
      </c>
      <c r="CC263" s="71">
        <f t="shared" si="1603"/>
        <v>187</v>
      </c>
      <c r="CD263" s="72">
        <f t="shared" si="1604"/>
        <v>199</v>
      </c>
      <c r="CE263" s="71">
        <f t="shared" si="1605"/>
        <v>240</v>
      </c>
      <c r="CF263" s="72">
        <f t="shared" si="1606"/>
        <v>284</v>
      </c>
      <c r="CG263" s="71">
        <f t="shared" si="1607"/>
        <v>310</v>
      </c>
      <c r="CH263" s="70">
        <f t="shared" si="1608"/>
        <v>64</v>
      </c>
      <c r="CI263" s="71">
        <f t="shared" si="1609"/>
        <v>69</v>
      </c>
      <c r="CJ263" s="72">
        <f t="shared" si="1610"/>
        <v>101</v>
      </c>
      <c r="CK263" s="72">
        <f t="shared" si="1611"/>
        <v>105</v>
      </c>
      <c r="CL263" s="72">
        <f t="shared" si="1612"/>
        <v>141</v>
      </c>
      <c r="CM263" s="72" t="str">
        <f t="shared" si="1613"/>
        <v>-</v>
      </c>
      <c r="CN263" s="72">
        <f t="shared" si="1614"/>
        <v>173</v>
      </c>
      <c r="CO263" s="72">
        <f t="shared" si="1615"/>
        <v>189</v>
      </c>
      <c r="CP263" s="72">
        <f t="shared" si="1616"/>
        <v>236</v>
      </c>
      <c r="CQ263" s="72">
        <f t="shared" si="1617"/>
        <v>278</v>
      </c>
      <c r="CR263" s="72">
        <f t="shared" si="1618"/>
        <v>309</v>
      </c>
      <c r="CS263" s="72">
        <f t="shared" si="1619"/>
        <v>322</v>
      </c>
      <c r="CT263" s="23">
        <f t="shared" si="1620"/>
        <v>4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593"/>
        <v>opsd_bovin_6FKB</v>
      </c>
      <c r="B264" s="3" t="s">
        <v>919</v>
      </c>
      <c r="C264" s="3" t="s">
        <v>1486</v>
      </c>
      <c r="D264" s="3" t="str">
        <f>IFERROR(MID(VLOOKUP($B264,Seqs!$A:$B,2,0),E264,1),"")</f>
        <v>E</v>
      </c>
      <c r="E264" s="3">
        <v>33</v>
      </c>
      <c r="F264" s="3" t="str">
        <f>IFERROR(MID(VLOOKUP($B264,Seqs!$A:$B,2,0),G264,1),"")</f>
        <v>Q</v>
      </c>
      <c r="G264" s="3">
        <v>64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G</v>
      </c>
      <c r="O264" s="3">
        <v>101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V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236</v>
      </c>
      <c r="AN264" s="3" t="str">
        <f>IFERROR(MID(VLOOKUP($B264,Seqs!$A:$B,2,0),AO264,1),"")</f>
        <v>S</v>
      </c>
      <c r="AO264" s="3">
        <v>240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594"/>
        <v>1</v>
      </c>
      <c r="BC264" s="23">
        <f t="shared" si="1595"/>
        <v>250</v>
      </c>
      <c r="BD264" s="2" t="s">
        <v>23</v>
      </c>
      <c r="BE264" s="3" t="s">
        <v>1291</v>
      </c>
      <c r="BF264" s="119">
        <v>3.03</v>
      </c>
      <c r="BG264" s="49" t="s">
        <v>1</v>
      </c>
      <c r="BH264" s="49" t="s">
        <v>1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 t="shared" si="1596"/>
        <v>33</v>
      </c>
      <c r="BW264" s="71">
        <f t="shared" si="1597"/>
        <v>66</v>
      </c>
      <c r="BX264" s="72">
        <f t="shared" si="1598"/>
        <v>73</v>
      </c>
      <c r="BY264" s="71">
        <f t="shared" si="1599"/>
        <v>102</v>
      </c>
      <c r="BZ264" s="72">
        <f t="shared" si="1600"/>
        <v>106</v>
      </c>
      <c r="CA264" s="71" t="str">
        <f t="shared" si="1601"/>
        <v>-</v>
      </c>
      <c r="CB264" s="72">
        <f t="shared" si="1602"/>
        <v>149</v>
      </c>
      <c r="CC264" s="71">
        <f t="shared" si="1603"/>
        <v>187</v>
      </c>
      <c r="CD264" s="72">
        <f t="shared" si="1604"/>
        <v>199</v>
      </c>
      <c r="CE264" s="71">
        <f t="shared" si="1605"/>
        <v>240</v>
      </c>
      <c r="CF264" s="72">
        <f t="shared" si="1606"/>
        <v>284</v>
      </c>
      <c r="CG264" s="71">
        <f t="shared" si="1607"/>
        <v>310</v>
      </c>
      <c r="CH264" s="70">
        <f t="shared" si="1608"/>
        <v>64</v>
      </c>
      <c r="CI264" s="71">
        <f t="shared" si="1609"/>
        <v>69</v>
      </c>
      <c r="CJ264" s="72">
        <f t="shared" si="1610"/>
        <v>101</v>
      </c>
      <c r="CK264" s="72">
        <f t="shared" si="1611"/>
        <v>105</v>
      </c>
      <c r="CL264" s="72">
        <f t="shared" si="1612"/>
        <v>141</v>
      </c>
      <c r="CM264" s="72" t="str">
        <f t="shared" si="1613"/>
        <v>-</v>
      </c>
      <c r="CN264" s="72">
        <f t="shared" si="1614"/>
        <v>173</v>
      </c>
      <c r="CO264" s="72">
        <f t="shared" si="1615"/>
        <v>189</v>
      </c>
      <c r="CP264" s="72">
        <f t="shared" si="1616"/>
        <v>236</v>
      </c>
      <c r="CQ264" s="72">
        <f t="shared" si="1617"/>
        <v>278</v>
      </c>
      <c r="CR264" s="72">
        <f t="shared" si="1618"/>
        <v>309</v>
      </c>
      <c r="CS264" s="72">
        <f t="shared" si="1619"/>
        <v>322</v>
      </c>
      <c r="CT264" s="23">
        <f t="shared" si="1620"/>
        <v>4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593"/>
        <v>opsd_bovin_6FKC</v>
      </c>
      <c r="B265" s="3" t="s">
        <v>919</v>
      </c>
      <c r="C265" s="3" t="s">
        <v>1487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Q</v>
      </c>
      <c r="G265" s="3">
        <v>64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V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236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T</v>
      </c>
      <c r="AS265" s="3">
        <v>289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C</v>
      </c>
      <c r="AY265" s="3">
        <v>322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si="1594"/>
        <v>1</v>
      </c>
      <c r="BC265" s="23">
        <f t="shared" si="1595"/>
        <v>245</v>
      </c>
      <c r="BD265" s="2" t="s">
        <v>23</v>
      </c>
      <c r="BE265" s="3" t="s">
        <v>1291</v>
      </c>
      <c r="BF265" s="119">
        <v>2.46</v>
      </c>
      <c r="BG265" s="49" t="s">
        <v>1</v>
      </c>
      <c r="BH265" s="49" t="s">
        <v>1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596"/>
        <v>33</v>
      </c>
      <c r="BW265" s="71">
        <f t="shared" si="1597"/>
        <v>66</v>
      </c>
      <c r="BX265" s="72">
        <f t="shared" si="1598"/>
        <v>73</v>
      </c>
      <c r="BY265" s="71">
        <f t="shared" si="1599"/>
        <v>102</v>
      </c>
      <c r="BZ265" s="72">
        <f t="shared" si="1600"/>
        <v>106</v>
      </c>
      <c r="CA265" s="71" t="str">
        <f t="shared" si="1601"/>
        <v>-</v>
      </c>
      <c r="CB265" s="72">
        <f t="shared" si="1602"/>
        <v>149</v>
      </c>
      <c r="CC265" s="71">
        <f t="shared" si="1603"/>
        <v>187</v>
      </c>
      <c r="CD265" s="72">
        <f t="shared" si="1604"/>
        <v>199</v>
      </c>
      <c r="CE265" s="71">
        <f t="shared" si="1605"/>
        <v>240</v>
      </c>
      <c r="CF265" s="72">
        <f t="shared" si="1606"/>
        <v>289</v>
      </c>
      <c r="CG265" s="71">
        <f t="shared" si="1607"/>
        <v>310</v>
      </c>
      <c r="CH265" s="70">
        <f t="shared" si="1608"/>
        <v>64</v>
      </c>
      <c r="CI265" s="71">
        <f t="shared" si="1609"/>
        <v>69</v>
      </c>
      <c r="CJ265" s="72">
        <f t="shared" si="1610"/>
        <v>101</v>
      </c>
      <c r="CK265" s="72">
        <f t="shared" si="1611"/>
        <v>105</v>
      </c>
      <c r="CL265" s="72">
        <f t="shared" si="1612"/>
        <v>141</v>
      </c>
      <c r="CM265" s="72" t="str">
        <f t="shared" si="1613"/>
        <v>-</v>
      </c>
      <c r="CN265" s="72">
        <f t="shared" si="1614"/>
        <v>173</v>
      </c>
      <c r="CO265" s="72">
        <f t="shared" si="1615"/>
        <v>189</v>
      </c>
      <c r="CP265" s="72">
        <f t="shared" si="1616"/>
        <v>236</v>
      </c>
      <c r="CQ265" s="72">
        <f t="shared" si="1617"/>
        <v>278</v>
      </c>
      <c r="CR265" s="72">
        <f t="shared" si="1618"/>
        <v>309</v>
      </c>
      <c r="CS265" s="72">
        <f t="shared" si="1619"/>
        <v>322</v>
      </c>
      <c r="CT265" s="23">
        <f t="shared" si="1620"/>
        <v>4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593"/>
        <v>opsd_bovin_6FKD</v>
      </c>
      <c r="B266" s="3" t="s">
        <v>919</v>
      </c>
      <c r="C266" s="3" t="s">
        <v>1488</v>
      </c>
      <c r="D266" s="3" t="str">
        <f>IFERROR(MID(VLOOKUP($B266,Seqs!$A:$B,2,0),E266,1),"")</f>
        <v>E</v>
      </c>
      <c r="E266" s="3">
        <v>33</v>
      </c>
      <c r="F266" s="3" t="str">
        <f>IFERROR(MID(VLOOKUP($B266,Seqs!$A:$B,2,0),G266,1),"")</f>
        <v>Q</v>
      </c>
      <c r="G266" s="3">
        <v>64</v>
      </c>
      <c r="H266" s="3" t="str">
        <f>IFERROR(MID(VLOOKUP($B266,Seqs!$A:$B,2,0),I266,1),"")</f>
        <v>K</v>
      </c>
      <c r="I266" s="23">
        <v>66</v>
      </c>
      <c r="J266" s="3" t="str">
        <f>IFERROR(MID(VLOOKUP($B266,Seqs!$A:$B,2,0),K266,1),"")</f>
        <v>R</v>
      </c>
      <c r="K266" s="23">
        <v>69</v>
      </c>
      <c r="L266" s="3" t="str">
        <f>IFERROR(MID(VLOOKUP($B266,Seqs!$A:$B,2,0),M266,1),"")</f>
        <v>N</v>
      </c>
      <c r="M266" s="3">
        <v>73</v>
      </c>
      <c r="N266" s="3" t="str">
        <f>IFERROR(MID(VLOOKUP($B266,Seqs!$A:$B,2,0),O266,1),"")</f>
        <v>G</v>
      </c>
      <c r="O266" s="3">
        <v>101</v>
      </c>
      <c r="P266" s="3" t="str">
        <f>IFERROR(MID(VLOOKUP($B266,Seqs!$A:$B,2,0),Q266,1),"")</f>
        <v>Y</v>
      </c>
      <c r="Q266" s="3">
        <v>102</v>
      </c>
      <c r="R266" s="3" t="str">
        <f>IFERROR(MID(VLOOKUP($B266,Seqs!$A:$B,2,0),S266,1),"")</f>
        <v>F</v>
      </c>
      <c r="S266" s="3">
        <v>105</v>
      </c>
      <c r="T266" s="3" t="str">
        <f>IFERROR(MID(VLOOKUP($B266,Seqs!$A:$B,2,0),U266,1),"")</f>
        <v>G</v>
      </c>
      <c r="U266" s="3">
        <v>106</v>
      </c>
      <c r="V266" s="3" t="str">
        <f>IFERROR(MID(VLOOKUP($B266,Seqs!$A:$B,2,0),W266,1),"")</f>
        <v>K</v>
      </c>
      <c r="W266" s="3">
        <v>141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G</v>
      </c>
      <c r="AC266" s="3">
        <v>149</v>
      </c>
      <c r="AD266" s="3" t="str">
        <f>IFERROR(MID(VLOOKUP($B266,Seqs!$A:$B,2,0),AE266,1),"")</f>
        <v>V</v>
      </c>
      <c r="AE266" s="3">
        <v>173</v>
      </c>
      <c r="AF266" s="3" t="str">
        <f>IFERROR(MID(VLOOKUP($B266,Seqs!$A:$B,2,0),AG266,1),"")</f>
        <v>C</v>
      </c>
      <c r="AG266" s="3">
        <v>187</v>
      </c>
      <c r="AH266" s="3" t="str">
        <f>IFERROR(MID(VLOOKUP($B266,Seqs!$A:$B,2,0),AI266,1),"")</f>
        <v>I</v>
      </c>
      <c r="AI266" s="3">
        <v>189</v>
      </c>
      <c r="AJ266" s="3" t="str">
        <f>IFERROR(MID(VLOOKUP($B266,Seqs!$A:$B,2,0),AK266,1),"")</f>
        <v>N</v>
      </c>
      <c r="AK266" s="3">
        <v>199</v>
      </c>
      <c r="AL266" s="3" t="str">
        <f>IFERROR(MID(VLOOKUP($B266,Seqs!$A:$B,2,0),AM266,1),"")</f>
        <v>Q</v>
      </c>
      <c r="AM266" s="3">
        <v>236</v>
      </c>
      <c r="AN266" s="3" t="str">
        <f>IFERROR(MID(VLOOKUP($B266,Seqs!$A:$B,2,0),AO266,1),"")</f>
        <v>S</v>
      </c>
      <c r="AO266" s="3">
        <v>240</v>
      </c>
      <c r="AP266" s="3" t="str">
        <f>IFERROR(MID(VLOOKUP($B266,Seqs!$A:$B,2,0),AQ266,1),"")</f>
        <v>H</v>
      </c>
      <c r="AQ266" s="3">
        <v>278</v>
      </c>
      <c r="AR266" s="3" t="str">
        <f>IFERROR(MID(VLOOKUP($B266,Seqs!$A:$B,2,0),AS266,1),"")</f>
        <v>T</v>
      </c>
      <c r="AS266" s="3">
        <v>289</v>
      </c>
      <c r="AT266" s="3" t="str">
        <f>IFERROR(MID(VLOOKUP($B266,Seqs!$A:$B,2,0),AU266,1),"")</f>
        <v>M</v>
      </c>
      <c r="AU266" s="3">
        <v>309</v>
      </c>
      <c r="AV266" s="3" t="str">
        <f>IFERROR(MID(VLOOKUP($B266,Seqs!$A:$B,2,0),AW266,1),"")</f>
        <v>N</v>
      </c>
      <c r="AW266" s="3">
        <v>310</v>
      </c>
      <c r="AX266" s="3" t="str">
        <f>IFERROR(MID(VLOOKUP($B266,Seqs!$A:$B,2,0),AY266,1),"")</f>
        <v>C</v>
      </c>
      <c r="AY266" s="3">
        <v>322</v>
      </c>
      <c r="AZ266" s="77" t="str">
        <f>VLOOKUP(B266,Classification!A:D,2,0)</f>
        <v>A</v>
      </c>
      <c r="BA266" s="94" t="str">
        <f>VLOOKUP(B266,Classification!A:D,4,0)</f>
        <v>Opsins</v>
      </c>
      <c r="BB266" s="27" t="b">
        <f t="shared" si="1594"/>
        <v>1</v>
      </c>
      <c r="BC266" s="23">
        <f t="shared" si="1595"/>
        <v>245</v>
      </c>
      <c r="BD266" s="2" t="s">
        <v>23</v>
      </c>
      <c r="BE266" s="3" t="s">
        <v>1291</v>
      </c>
      <c r="BF266" s="119">
        <v>2.4900000000000002</v>
      </c>
      <c r="BG266" s="49" t="s">
        <v>1</v>
      </c>
      <c r="BH266" s="49" t="s">
        <v>1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596"/>
        <v>33</v>
      </c>
      <c r="BW266" s="71">
        <f t="shared" si="1597"/>
        <v>66</v>
      </c>
      <c r="BX266" s="72">
        <f t="shared" si="1598"/>
        <v>73</v>
      </c>
      <c r="BY266" s="71">
        <f t="shared" si="1599"/>
        <v>102</v>
      </c>
      <c r="BZ266" s="72">
        <f t="shared" si="1600"/>
        <v>106</v>
      </c>
      <c r="CA266" s="71" t="str">
        <f t="shared" si="1601"/>
        <v>-</v>
      </c>
      <c r="CB266" s="72">
        <f t="shared" si="1602"/>
        <v>149</v>
      </c>
      <c r="CC266" s="71">
        <f t="shared" si="1603"/>
        <v>187</v>
      </c>
      <c r="CD266" s="72">
        <f t="shared" si="1604"/>
        <v>199</v>
      </c>
      <c r="CE266" s="71">
        <f t="shared" si="1605"/>
        <v>240</v>
      </c>
      <c r="CF266" s="72">
        <f t="shared" si="1606"/>
        <v>289</v>
      </c>
      <c r="CG266" s="71">
        <f t="shared" si="1607"/>
        <v>310</v>
      </c>
      <c r="CH266" s="70">
        <f t="shared" si="1608"/>
        <v>64</v>
      </c>
      <c r="CI266" s="71">
        <f t="shared" si="1609"/>
        <v>69</v>
      </c>
      <c r="CJ266" s="72">
        <f t="shared" si="1610"/>
        <v>101</v>
      </c>
      <c r="CK266" s="72">
        <f t="shared" si="1611"/>
        <v>105</v>
      </c>
      <c r="CL266" s="72">
        <f t="shared" si="1612"/>
        <v>141</v>
      </c>
      <c r="CM266" s="72" t="str">
        <f t="shared" si="1613"/>
        <v>-</v>
      </c>
      <c r="CN266" s="72">
        <f t="shared" si="1614"/>
        <v>173</v>
      </c>
      <c r="CO266" s="72">
        <f t="shared" si="1615"/>
        <v>189</v>
      </c>
      <c r="CP266" s="72">
        <f t="shared" si="1616"/>
        <v>236</v>
      </c>
      <c r="CQ266" s="72">
        <f t="shared" si="1617"/>
        <v>278</v>
      </c>
      <c r="CR266" s="72">
        <f t="shared" si="1618"/>
        <v>309</v>
      </c>
      <c r="CS266" s="72">
        <f t="shared" si="1619"/>
        <v>322</v>
      </c>
      <c r="CT266" s="23">
        <f t="shared" si="1620"/>
        <v>4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ref="A267" si="1621">CONCATENATE(B267,"_",C267)</f>
        <v>opsd_bovin_6FUF</v>
      </c>
      <c r="B267" s="3" t="s">
        <v>919</v>
      </c>
      <c r="C267" s="3" t="s">
        <v>1518</v>
      </c>
      <c r="D267" s="3" t="str">
        <f>IFERROR(MID(VLOOKUP($B267,Seqs!$A:$B,2,0),E267,1),"")</f>
        <v>E</v>
      </c>
      <c r="E267" s="3">
        <v>33</v>
      </c>
      <c r="F267" s="3" t="str">
        <f>IFERROR(MID(VLOOKUP($B267,Seqs!$A:$B,2,0),G267,1),"")</f>
        <v>H</v>
      </c>
      <c r="G267" s="3">
        <v>65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N</v>
      </c>
      <c r="M267" s="3">
        <v>73</v>
      </c>
      <c r="N267" s="3" t="str">
        <f>IFERROR(MID(VLOOKUP($B267,Seqs!$A:$B,2,0),O267,1),"")</f>
        <v>G</v>
      </c>
      <c r="O267" s="3">
        <v>101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G</v>
      </c>
      <c r="AC267" s="3">
        <v>149</v>
      </c>
      <c r="AD267" s="3" t="str">
        <f>IFERROR(MID(VLOOKUP($B267,Seqs!$A:$B,2,0),AE267,1),"")</f>
        <v>V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199</v>
      </c>
      <c r="AL267" s="3" t="str">
        <f>IFERROR(MID(VLOOKUP($B267,Seqs!$A:$B,2,0),AM267,1),"")</f>
        <v>Q</v>
      </c>
      <c r="AM267" s="3">
        <v>237</v>
      </c>
      <c r="AN267" s="3" t="str">
        <f>IFERROR(MID(VLOOKUP($B267,Seqs!$A:$B,2,0),AO267,1),"")</f>
        <v>S</v>
      </c>
      <c r="AO267" s="3">
        <v>240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T</v>
      </c>
      <c r="AS267" s="3">
        <v>289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R</v>
      </c>
      <c r="AY267" s="3">
        <v>314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ref="BB267" si="1622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 t="shared" ref="BC267" si="1623">_xlfn.AGGREGATE(9,6,CH267:CS267)-_xlfn.AGGREGATE(9,6,BV267:CG267)+12</f>
        <v>239</v>
      </c>
      <c r="BD267" s="2" t="s">
        <v>23</v>
      </c>
      <c r="BE267" s="3" t="s">
        <v>1291</v>
      </c>
      <c r="BF267" s="119">
        <v>3.12</v>
      </c>
      <c r="BG267" s="49" t="s">
        <v>1</v>
      </c>
      <c r="BH267" s="49" t="s">
        <v>1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 t="shared" ref="BV267" si="1624">E267</f>
        <v>33</v>
      </c>
      <c r="BW267" s="71">
        <f t="shared" ref="BW267" si="1625">I267</f>
        <v>66</v>
      </c>
      <c r="BX267" s="72">
        <f t="shared" ref="BX267" si="1626">M267</f>
        <v>73</v>
      </c>
      <c r="BY267" s="71">
        <f t="shared" ref="BY267" si="1627">Q267</f>
        <v>102</v>
      </c>
      <c r="BZ267" s="72">
        <f t="shared" ref="BZ267" si="1628">U267</f>
        <v>106</v>
      </c>
      <c r="CA267" s="71" t="str">
        <f t="shared" ref="CA267" si="1629">Y267</f>
        <v>-</v>
      </c>
      <c r="CB267" s="72">
        <f t="shared" ref="CB267" si="1630">AC267</f>
        <v>149</v>
      </c>
      <c r="CC267" s="71">
        <f t="shared" ref="CC267" si="1631">AG267</f>
        <v>187</v>
      </c>
      <c r="CD267" s="72">
        <f t="shared" ref="CD267" si="1632">AK267</f>
        <v>199</v>
      </c>
      <c r="CE267" s="71">
        <f t="shared" ref="CE267" si="1633">AO267</f>
        <v>240</v>
      </c>
      <c r="CF267" s="72">
        <f t="shared" ref="CF267" si="1634">AS267</f>
        <v>289</v>
      </c>
      <c r="CG267" s="71">
        <f t="shared" ref="CG267" si="1635">AW267</f>
        <v>310</v>
      </c>
      <c r="CH267" s="70">
        <f t="shared" ref="CH267" si="1636">G267</f>
        <v>65</v>
      </c>
      <c r="CI267" s="71">
        <f t="shared" ref="CI267" si="1637">K267</f>
        <v>69</v>
      </c>
      <c r="CJ267" s="72">
        <f t="shared" ref="CJ267" si="1638">O267</f>
        <v>101</v>
      </c>
      <c r="CK267" s="72">
        <f t="shared" ref="CK267" si="1639">S267</f>
        <v>105</v>
      </c>
      <c r="CL267" s="72">
        <f t="shared" ref="CL267" si="1640">W267</f>
        <v>141</v>
      </c>
      <c r="CM267" s="72" t="str">
        <f t="shared" ref="CM267" si="1641">AA267</f>
        <v>-</v>
      </c>
      <c r="CN267" s="72">
        <f t="shared" ref="CN267" si="1642">AE267</f>
        <v>173</v>
      </c>
      <c r="CO267" s="72">
        <f t="shared" ref="CO267" si="1643">AI267</f>
        <v>189</v>
      </c>
      <c r="CP267" s="72">
        <f t="shared" ref="CP267" si="1644">AM267</f>
        <v>237</v>
      </c>
      <c r="CQ267" s="72">
        <f t="shared" ref="CQ267" si="1645">AQ267</f>
        <v>278</v>
      </c>
      <c r="CR267" s="72">
        <f t="shared" ref="CR267" si="1646">AU267</f>
        <v>309</v>
      </c>
      <c r="CS267" s="72">
        <f t="shared" ref="CS267" si="1647">AY267</f>
        <v>314</v>
      </c>
      <c r="CT267" s="23">
        <f t="shared" ref="CT267" si="1648">M267-K267</f>
        <v>4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s="12" customFormat="1" x14ac:dyDescent="0.2">
      <c r="A268" s="9" t="str">
        <f t="shared" ref="A268" si="1649">CONCATENATE(B268,"_",C268)</f>
        <v>opsd_bovin_6QNO</v>
      </c>
      <c r="B268" s="9" t="s">
        <v>919</v>
      </c>
      <c r="C268" s="9" t="s">
        <v>1585</v>
      </c>
      <c r="D268" s="9" t="str">
        <f>IFERROR(MID(VLOOKUP($B268,Seqs!$A:$B,2,0),E268,1),"")</f>
        <v>E</v>
      </c>
      <c r="E268" s="9">
        <v>33</v>
      </c>
      <c r="F268" s="9" t="str">
        <f>IFERROR(MID(VLOOKUP($B268,Seqs!$A:$B,2,0),G268,1),"")</f>
        <v>H</v>
      </c>
      <c r="G268" s="9">
        <v>65</v>
      </c>
      <c r="H268" s="9" t="str">
        <f>IFERROR(MID(VLOOKUP($B268,Seqs!$A:$B,2,0),I268,1),"")</f>
        <v>K</v>
      </c>
      <c r="I268" s="109">
        <v>66</v>
      </c>
      <c r="J268" s="9" t="str">
        <f>IFERROR(MID(VLOOKUP($B268,Seqs!$A:$B,2,0),K268,1),"")</f>
        <v>R</v>
      </c>
      <c r="K268" s="109">
        <v>69</v>
      </c>
      <c r="L268" s="9" t="str">
        <f>IFERROR(MID(VLOOKUP($B268,Seqs!$A:$B,2,0),M268,1),"")</f>
        <v>N</v>
      </c>
      <c r="M268" s="9">
        <v>73</v>
      </c>
      <c r="N268" s="9" t="str">
        <f>IFERROR(MID(VLOOKUP($B268,Seqs!$A:$B,2,0),O268,1),"")</f>
        <v>H</v>
      </c>
      <c r="O268" s="9">
        <v>100</v>
      </c>
      <c r="P268" s="9" t="str">
        <f>IFERROR(MID(VLOOKUP($B268,Seqs!$A:$B,2,0),Q268,1),"")</f>
        <v>Y</v>
      </c>
      <c r="Q268" s="9">
        <v>102</v>
      </c>
      <c r="R268" s="9" t="str">
        <f>IFERROR(MID(VLOOKUP($B268,Seqs!$A:$B,2,0),S268,1),"")</f>
        <v>F</v>
      </c>
      <c r="S268" s="9">
        <v>105</v>
      </c>
      <c r="T268" s="9" t="str">
        <f>IFERROR(MID(VLOOKUP($B268,Seqs!$A:$B,2,0),U268,1),"")</f>
        <v>G</v>
      </c>
      <c r="U268" s="9">
        <v>106</v>
      </c>
      <c r="V268" s="9" t="str">
        <f>IFERROR(MID(VLOOKUP($B268,Seqs!$A:$B,2,0),W268,1),"")</f>
        <v>K</v>
      </c>
      <c r="W268" s="9">
        <v>141</v>
      </c>
      <c r="X268" s="9" t="str">
        <f>IFERROR(MID(VLOOKUP($B268,Seqs!$A:$B,2,0),Y268,1),"")</f>
        <v/>
      </c>
      <c r="Y268" s="9" t="s">
        <v>23</v>
      </c>
      <c r="Z268" s="9" t="str">
        <f>IFERROR(MID(VLOOKUP($B268,Seqs!$A:$B,2,0),AA268,1),"")</f>
        <v/>
      </c>
      <c r="AA268" s="9" t="s">
        <v>23</v>
      </c>
      <c r="AB268" s="9" t="str">
        <f>IFERROR(MID(VLOOKUP($B268,Seqs!$A:$B,2,0),AC268,1),"")</f>
        <v>E</v>
      </c>
      <c r="AC268" s="9">
        <v>150</v>
      </c>
      <c r="AD268" s="9" t="str">
        <f>IFERROR(MID(VLOOKUP($B268,Seqs!$A:$B,2,0),AE268,1),"")</f>
        <v>V</v>
      </c>
      <c r="AE268" s="9">
        <v>173</v>
      </c>
      <c r="AF268" s="9" t="str">
        <f>IFERROR(MID(VLOOKUP($B268,Seqs!$A:$B,2,0),AG268,1),"")</f>
        <v>C</v>
      </c>
      <c r="AG268" s="9">
        <v>187</v>
      </c>
      <c r="AH268" s="9" t="str">
        <f>IFERROR(MID(VLOOKUP($B268,Seqs!$A:$B,2,0),AI268,1),"")</f>
        <v>I</v>
      </c>
      <c r="AI268" s="9">
        <v>189</v>
      </c>
      <c r="AJ268" s="9" t="str">
        <f>IFERROR(MID(VLOOKUP($B268,Seqs!$A:$B,2,0),AK268,1),"")</f>
        <v>N</v>
      </c>
      <c r="AK268" s="9">
        <v>200</v>
      </c>
      <c r="AL268" s="9" t="str">
        <f>IFERROR(MID(VLOOKUP($B268,Seqs!$A:$B,2,0),AM268,1),"")</f>
        <v>Q</v>
      </c>
      <c r="AM268" s="9">
        <v>237</v>
      </c>
      <c r="AN268" s="9" t="str">
        <f>IFERROR(MID(VLOOKUP($B268,Seqs!$A:$B,2,0),AO268,1),"")</f>
        <v>S</v>
      </c>
      <c r="AO268" s="9">
        <v>240</v>
      </c>
      <c r="AP268" s="9" t="str">
        <f>IFERROR(MID(VLOOKUP($B268,Seqs!$A:$B,2,0),AQ268,1),"")</f>
        <v>H</v>
      </c>
      <c r="AQ268" s="9">
        <v>278</v>
      </c>
      <c r="AR268" s="9" t="str">
        <f>IFERROR(MID(VLOOKUP($B268,Seqs!$A:$B,2,0),AS268,1),"")</f>
        <v>G</v>
      </c>
      <c r="AS268" s="9">
        <v>284</v>
      </c>
      <c r="AT268" s="9" t="str">
        <f>IFERROR(MID(VLOOKUP($B268,Seqs!$A:$B,2,0),AU268,1),"")</f>
        <v>M</v>
      </c>
      <c r="AU268" s="9">
        <v>309</v>
      </c>
      <c r="AV268" s="9" t="str">
        <f>IFERROR(MID(VLOOKUP($B268,Seqs!$A:$B,2,0),AW268,1),"")</f>
        <v>N</v>
      </c>
      <c r="AW268" s="9">
        <v>310</v>
      </c>
      <c r="AX268" s="9" t="str">
        <f>IFERROR(MID(VLOOKUP($B268,Seqs!$A:$B,2,0),AY268,1),"")</f>
        <v>C</v>
      </c>
      <c r="AY268" s="9">
        <v>322</v>
      </c>
      <c r="AZ268" s="110" t="str">
        <f>VLOOKUP(B268,Classification!A:D,2,0)</f>
        <v>A</v>
      </c>
      <c r="BA268" s="98" t="str">
        <f>VLOOKUP(B268,Classification!A:D,4,0)</f>
        <v>Opsins</v>
      </c>
      <c r="BB268" s="36" t="b">
        <f t="shared" ref="BB268" si="1650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1651">_xlfn.AGGREGATE(9,6,CH268:CS268)-_xlfn.AGGREGATE(9,6,BV268:CG268)+12</f>
        <v>249</v>
      </c>
      <c r="BD268" s="40" t="s">
        <v>23</v>
      </c>
      <c r="BE268" s="9" t="s">
        <v>1291</v>
      </c>
      <c r="BF268" s="120">
        <v>4.38</v>
      </c>
      <c r="BG268" s="51" t="s">
        <v>1422</v>
      </c>
      <c r="BH268" s="51" t="s">
        <v>1422</v>
      </c>
      <c r="BJ268" s="111" t="s">
        <v>1287</v>
      </c>
      <c r="BK268" s="112" t="s">
        <v>1287</v>
      </c>
      <c r="BL268" s="112" t="s">
        <v>1287</v>
      </c>
      <c r="BM268" s="112" t="s">
        <v>1287</v>
      </c>
      <c r="BN268" s="112" t="s">
        <v>1287</v>
      </c>
      <c r="BO268" s="112" t="s">
        <v>1287</v>
      </c>
      <c r="BP268" s="112" t="s">
        <v>1287</v>
      </c>
      <c r="BQ268" s="112" t="s">
        <v>1287</v>
      </c>
      <c r="BR268" s="112" t="s">
        <v>1287</v>
      </c>
      <c r="BS268" s="112" t="s">
        <v>1287</v>
      </c>
      <c r="BT268" s="112" t="s">
        <v>1287</v>
      </c>
      <c r="BU268" s="112" t="s">
        <v>1287</v>
      </c>
      <c r="BV268" s="111">
        <f t="shared" ref="BV268" si="1652">E268</f>
        <v>33</v>
      </c>
      <c r="BW268" s="113">
        <f t="shared" ref="BW268" si="1653">I268</f>
        <v>66</v>
      </c>
      <c r="BX268" s="114">
        <f t="shared" ref="BX268" si="1654">M268</f>
        <v>73</v>
      </c>
      <c r="BY268" s="113">
        <f t="shared" ref="BY268" si="1655">Q268</f>
        <v>102</v>
      </c>
      <c r="BZ268" s="114">
        <f t="shared" ref="BZ268" si="1656">U268</f>
        <v>106</v>
      </c>
      <c r="CA268" s="113" t="str">
        <f t="shared" ref="CA268" si="1657">Y268</f>
        <v>-</v>
      </c>
      <c r="CB268" s="114">
        <f t="shared" ref="CB268" si="1658">AC268</f>
        <v>150</v>
      </c>
      <c r="CC268" s="113">
        <f t="shared" ref="CC268" si="1659">AG268</f>
        <v>187</v>
      </c>
      <c r="CD268" s="114">
        <f t="shared" ref="CD268" si="1660">AK268</f>
        <v>200</v>
      </c>
      <c r="CE268" s="113">
        <f t="shared" ref="CE268" si="1661">AO268</f>
        <v>240</v>
      </c>
      <c r="CF268" s="114">
        <f t="shared" ref="CF268" si="1662">AS268</f>
        <v>284</v>
      </c>
      <c r="CG268" s="113">
        <f t="shared" ref="CG268" si="1663">AW268</f>
        <v>310</v>
      </c>
      <c r="CH268" s="111">
        <f t="shared" ref="CH268" si="1664">G268</f>
        <v>65</v>
      </c>
      <c r="CI268" s="113">
        <f t="shared" ref="CI268" si="1665">K268</f>
        <v>69</v>
      </c>
      <c r="CJ268" s="114">
        <f t="shared" ref="CJ268" si="1666">O268</f>
        <v>100</v>
      </c>
      <c r="CK268" s="114">
        <f t="shared" ref="CK268" si="1667">S268</f>
        <v>105</v>
      </c>
      <c r="CL268" s="114">
        <f t="shared" ref="CL268" si="1668">W268</f>
        <v>141</v>
      </c>
      <c r="CM268" s="114" t="str">
        <f t="shared" ref="CM268" si="1669">AA268</f>
        <v>-</v>
      </c>
      <c r="CN268" s="114">
        <f t="shared" ref="CN268" si="1670">AE268</f>
        <v>173</v>
      </c>
      <c r="CO268" s="114">
        <f t="shared" ref="CO268" si="1671">AI268</f>
        <v>189</v>
      </c>
      <c r="CP268" s="114">
        <f t="shared" ref="CP268" si="1672">AM268</f>
        <v>237</v>
      </c>
      <c r="CQ268" s="114">
        <f t="shared" ref="CQ268" si="1673">AQ268</f>
        <v>278</v>
      </c>
      <c r="CR268" s="114">
        <f t="shared" ref="CR268" si="1674">AU268</f>
        <v>309</v>
      </c>
      <c r="CS268" s="114">
        <f t="shared" ref="CS268" si="1675">AY268</f>
        <v>322</v>
      </c>
      <c r="CT268" s="109">
        <f t="shared" ref="CT268" si="1676">M268-K268</f>
        <v>4</v>
      </c>
    </row>
    <row r="269" spans="1:1029" s="12" customFormat="1" x14ac:dyDescent="0.2">
      <c r="A269" s="9" t="str">
        <f t="shared" ref="A269" si="1677">CONCATENATE(B269,"_",C269)</f>
        <v>opsd_bovin_6OY9</v>
      </c>
      <c r="B269" s="9" t="s">
        <v>919</v>
      </c>
      <c r="C269" s="9" t="s">
        <v>1587</v>
      </c>
      <c r="D269" s="9" t="str">
        <f>IFERROR(MID(VLOOKUP($B269,Seqs!$A:$B,2,0),E269,1),"")</f>
        <v>E</v>
      </c>
      <c r="E269" s="9">
        <v>33</v>
      </c>
      <c r="F269" s="9" t="str">
        <f>IFERROR(MID(VLOOKUP($B269,Seqs!$A:$B,2,0),G269,1),"")</f>
        <v>Q</v>
      </c>
      <c r="G269" s="9">
        <v>64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N</v>
      </c>
      <c r="M269" s="9">
        <v>73</v>
      </c>
      <c r="N269" s="9" t="str">
        <f>IFERROR(MID(VLOOKUP($B269,Seqs!$A:$B,2,0),O269,1),"")</f>
        <v>H</v>
      </c>
      <c r="O269" s="9">
        <v>100</v>
      </c>
      <c r="P269" s="9" t="str">
        <f>IFERROR(MID(VLOOKUP($B269,Seqs!$A:$B,2,0),Q269,1),"")</f>
        <v>Y</v>
      </c>
      <c r="Q269" s="9">
        <v>102</v>
      </c>
      <c r="R269" s="9" t="str">
        <f>IFERROR(MID(VLOOKUP($B269,Seqs!$A:$B,2,0),S269,1),"")</f>
        <v>F</v>
      </c>
      <c r="S269" s="9">
        <v>105</v>
      </c>
      <c r="T269" s="9" t="str">
        <f>IFERROR(MID(VLOOKUP($B269,Seqs!$A:$B,2,0),U269,1),"")</f>
        <v>G</v>
      </c>
      <c r="U269" s="9">
        <v>106</v>
      </c>
      <c r="V269" s="9" t="str">
        <f>IFERROR(MID(VLOOKUP($B269,Seqs!$A:$B,2,0),W269,1),"")</f>
        <v>C</v>
      </c>
      <c r="W269" s="9">
        <v>140</v>
      </c>
      <c r="X269" s="9" t="str">
        <f>IFERROR(MID(VLOOKUP($B269,Seqs!$A:$B,2,0),Y269,1),"")</f>
        <v/>
      </c>
      <c r="Y269" s="9" t="s">
        <v>23</v>
      </c>
      <c r="Z269" s="9" t="str">
        <f>IFERROR(MID(VLOOKUP($B269,Seqs!$A:$B,2,0),AA269,1),"")</f>
        <v/>
      </c>
      <c r="AA269" s="9" t="s">
        <v>23</v>
      </c>
      <c r="AB269" s="9" t="str">
        <f>IFERROR(MID(VLOOKUP($B269,Seqs!$A:$B,2,0),AC269,1),"")</f>
        <v>E</v>
      </c>
      <c r="AC269" s="9">
        <v>150</v>
      </c>
      <c r="AD269" s="9" t="str">
        <f>IFERROR(MID(VLOOKUP($B269,Seqs!$A:$B,2,0),AE269,1),"")</f>
        <v>L</v>
      </c>
      <c r="AE269" s="9">
        <v>172</v>
      </c>
      <c r="AF269" s="9" t="str">
        <f>IFERROR(MID(VLOOKUP($B269,Seqs!$A:$B,2,0),AG269,1),"")</f>
        <v>C</v>
      </c>
      <c r="AG269" s="9">
        <v>187</v>
      </c>
      <c r="AH269" s="9" t="str">
        <f>IFERROR(MID(VLOOKUP($B269,Seqs!$A:$B,2,0),AI269,1),"")</f>
        <v>I</v>
      </c>
      <c r="AI269" s="9">
        <v>189</v>
      </c>
      <c r="AJ269" s="9" t="str">
        <f>IFERROR(MID(VLOOKUP($B269,Seqs!$A:$B,2,0),AK269,1),"")</f>
        <v>N</v>
      </c>
      <c r="AK269" s="9">
        <v>199</v>
      </c>
      <c r="AL269" s="9" t="str">
        <f>IFERROR(MID(VLOOKUP($B269,Seqs!$A:$B,2,0),AM269,1),"")</f>
        <v>Q</v>
      </c>
      <c r="AM269" s="9">
        <v>236</v>
      </c>
      <c r="AN269" s="9" t="str">
        <f>IFERROR(MID(VLOOKUP($B269,Seqs!$A:$B,2,0),AO269,1),"")</f>
        <v>S</v>
      </c>
      <c r="AO269" s="9">
        <v>240</v>
      </c>
      <c r="AP269" s="9" t="str">
        <f>IFERROR(MID(VLOOKUP($B269,Seqs!$A:$B,2,0),AQ269,1),"")</f>
        <v>H</v>
      </c>
      <c r="AQ269" s="9">
        <v>278</v>
      </c>
      <c r="AR269" s="9" t="str">
        <f>IFERROR(MID(VLOOKUP($B269,Seqs!$A:$B,2,0),AS269,1),"")</f>
        <v>G</v>
      </c>
      <c r="AS269" s="9">
        <v>284</v>
      </c>
      <c r="AT269" s="9" t="str">
        <f>IFERROR(MID(VLOOKUP($B269,Seqs!$A:$B,2,0),AU269,1),"")</f>
        <v>M</v>
      </c>
      <c r="AU269" s="9">
        <v>309</v>
      </c>
      <c r="AV269" s="9" t="str">
        <f>IFERROR(MID(VLOOKUP($B269,Seqs!$A:$B,2,0),AW269,1),"")</f>
        <v>F</v>
      </c>
      <c r="AW269" s="9">
        <v>313</v>
      </c>
      <c r="AX269" s="9" t="str">
        <f>IFERROR(MID(VLOOKUP($B269,Seqs!$A:$B,2,0),AY269,1),"")</f>
        <v>C</v>
      </c>
      <c r="AY269" s="9">
        <v>322</v>
      </c>
      <c r="AZ269" s="110" t="str">
        <f>VLOOKUP(B269,Classification!A:D,2,0)</f>
        <v>A</v>
      </c>
      <c r="BA269" s="98" t="str">
        <f>VLOOKUP(B269,Classification!A:D,4,0)</f>
        <v>Opsins</v>
      </c>
      <c r="BB269" s="36" t="b">
        <f t="shared" ref="BB269" si="1678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 t="shared" ref="BC269" si="1679">_xlfn.AGGREGATE(9,6,CH269:CS269)-_xlfn.AGGREGATE(9,6,BV269:CG269)+12</f>
        <v>240</v>
      </c>
      <c r="BD269" s="40" t="s">
        <v>23</v>
      </c>
      <c r="BE269" s="9" t="s">
        <v>1291</v>
      </c>
      <c r="BF269" s="120">
        <v>3.9</v>
      </c>
      <c r="BG269" s="51" t="s">
        <v>1422</v>
      </c>
      <c r="BH269" s="51" t="s">
        <v>1422</v>
      </c>
      <c r="BJ269" s="111" t="s">
        <v>1287</v>
      </c>
      <c r="BK269" s="112" t="s">
        <v>1287</v>
      </c>
      <c r="BL269" s="112" t="s">
        <v>1287</v>
      </c>
      <c r="BM269" s="112" t="s">
        <v>1287</v>
      </c>
      <c r="BN269" s="112" t="s">
        <v>1287</v>
      </c>
      <c r="BO269" s="112" t="s">
        <v>1287</v>
      </c>
      <c r="BP269" s="112" t="s">
        <v>1287</v>
      </c>
      <c r="BQ269" s="112" t="s">
        <v>1287</v>
      </c>
      <c r="BR269" s="112" t="s">
        <v>1287</v>
      </c>
      <c r="BS269" s="112" t="s">
        <v>1287</v>
      </c>
      <c r="BT269" s="112" t="s">
        <v>1287</v>
      </c>
      <c r="BU269" s="112" t="s">
        <v>1287</v>
      </c>
      <c r="BV269" s="111">
        <f t="shared" ref="BV269" si="1680">E269</f>
        <v>33</v>
      </c>
      <c r="BW269" s="113" t="str">
        <f t="shared" ref="BW269" si="1681">I269</f>
        <v>-</v>
      </c>
      <c r="BX269" s="114">
        <f t="shared" ref="BX269" si="1682">M269</f>
        <v>73</v>
      </c>
      <c r="BY269" s="113">
        <f t="shared" ref="BY269" si="1683">Q269</f>
        <v>102</v>
      </c>
      <c r="BZ269" s="114">
        <f t="shared" ref="BZ269" si="1684">U269</f>
        <v>106</v>
      </c>
      <c r="CA269" s="113" t="str">
        <f t="shared" ref="CA269" si="1685">Y269</f>
        <v>-</v>
      </c>
      <c r="CB269" s="114">
        <f t="shared" ref="CB269" si="1686">AC269</f>
        <v>150</v>
      </c>
      <c r="CC269" s="113">
        <f t="shared" ref="CC269" si="1687">AG269</f>
        <v>187</v>
      </c>
      <c r="CD269" s="114">
        <f t="shared" ref="CD269" si="1688">AK269</f>
        <v>199</v>
      </c>
      <c r="CE269" s="113">
        <f t="shared" ref="CE269" si="1689">AO269</f>
        <v>240</v>
      </c>
      <c r="CF269" s="114">
        <f t="shared" ref="CF269" si="1690">AS269</f>
        <v>284</v>
      </c>
      <c r="CG269" s="113">
        <f t="shared" ref="CG269" si="1691">AW269</f>
        <v>313</v>
      </c>
      <c r="CH269" s="111">
        <f t="shared" ref="CH269" si="1692">G269</f>
        <v>64</v>
      </c>
      <c r="CI269" s="113" t="str">
        <f t="shared" ref="CI269" si="1693">K269</f>
        <v>-</v>
      </c>
      <c r="CJ269" s="114">
        <f t="shared" ref="CJ269" si="1694">O269</f>
        <v>100</v>
      </c>
      <c r="CK269" s="114">
        <f t="shared" ref="CK269" si="1695">S269</f>
        <v>105</v>
      </c>
      <c r="CL269" s="114">
        <f t="shared" ref="CL269" si="1696">W269</f>
        <v>140</v>
      </c>
      <c r="CM269" s="114" t="str">
        <f t="shared" ref="CM269" si="1697">AA269</f>
        <v>-</v>
      </c>
      <c r="CN269" s="114">
        <f t="shared" ref="CN269" si="1698">AE269</f>
        <v>172</v>
      </c>
      <c r="CO269" s="114">
        <f t="shared" ref="CO269" si="1699">AI269</f>
        <v>189</v>
      </c>
      <c r="CP269" s="114">
        <f t="shared" ref="CP269" si="1700">AM269</f>
        <v>236</v>
      </c>
      <c r="CQ269" s="114">
        <f t="shared" ref="CQ269" si="1701">AQ269</f>
        <v>278</v>
      </c>
      <c r="CR269" s="114">
        <f t="shared" ref="CR269" si="1702">AU269</f>
        <v>309</v>
      </c>
      <c r="CS269" s="114">
        <f t="shared" ref="CS269" si="1703">AY269</f>
        <v>322</v>
      </c>
      <c r="CT269" s="109" t="e">
        <f t="shared" ref="CT269" si="1704">M269-K269</f>
        <v>#VALUE!</v>
      </c>
    </row>
    <row r="270" spans="1:1029" s="12" customFormat="1" x14ac:dyDescent="0.2">
      <c r="A270" s="9" t="str">
        <f t="shared" ref="A270" si="1705">CONCATENATE(B270,"_",C270)</f>
        <v>opsd_bovin_6OYA</v>
      </c>
      <c r="B270" s="9" t="s">
        <v>919</v>
      </c>
      <c r="C270" s="9" t="s">
        <v>1588</v>
      </c>
      <c r="D270" s="9" t="str">
        <f>IFERROR(MID(VLOOKUP($B270,Seqs!$A:$B,2,0),E270,1),"")</f>
        <v>E</v>
      </c>
      <c r="E270" s="9">
        <v>33</v>
      </c>
      <c r="F270" s="9" t="str">
        <f>IFERROR(MID(VLOOKUP($B270,Seqs!$A:$B,2,0),G270,1),"")</f>
        <v>H</v>
      </c>
      <c r="G270" s="9">
        <v>65</v>
      </c>
      <c r="H270" s="9" t="str">
        <f>IFERROR(MID(VLOOKUP($B270,Seqs!$A:$B,2,0),I270,1),"")</f>
        <v>K</v>
      </c>
      <c r="I270" s="109">
        <v>66</v>
      </c>
      <c r="J270" s="9" t="str">
        <f>IFERROR(MID(VLOOKUP($B270,Seqs!$A:$B,2,0),K270,1),"")</f>
        <v>R</v>
      </c>
      <c r="K270" s="109">
        <v>69</v>
      </c>
      <c r="L270" s="9" t="str">
        <f>IFERROR(MID(VLOOKUP($B270,Seqs!$A:$B,2,0),M270,1),"")</f>
        <v>T</v>
      </c>
      <c r="M270" s="9">
        <v>70</v>
      </c>
      <c r="N270" s="9" t="str">
        <f>IFERROR(MID(VLOOKUP($B270,Seqs!$A:$B,2,0),O270,1),"")</f>
        <v>G</v>
      </c>
      <c r="O270" s="9">
        <v>101</v>
      </c>
      <c r="P270" s="9" t="str">
        <f>IFERROR(MID(VLOOKUP($B270,Seqs!$A:$B,2,0),Q270,1),"")</f>
        <v>Y</v>
      </c>
      <c r="Q270" s="9">
        <v>102</v>
      </c>
      <c r="R270" s="9" t="str">
        <f>IFERROR(MID(VLOOKUP($B270,Seqs!$A:$B,2,0),S270,1),"")</f>
        <v>F</v>
      </c>
      <c r="S270" s="9">
        <v>105</v>
      </c>
      <c r="T270" s="9" t="str">
        <f>IFERROR(MID(VLOOKUP($B270,Seqs!$A:$B,2,0),U270,1),"")</f>
        <v>G</v>
      </c>
      <c r="U270" s="9">
        <v>106</v>
      </c>
      <c r="V270" s="9" t="str">
        <f>IFERROR(MID(VLOOKUP($B270,Seqs!$A:$B,2,0),W270,1),"")</f>
        <v>C</v>
      </c>
      <c r="W270" s="9">
        <v>140</v>
      </c>
      <c r="X270" s="9" t="str">
        <f>IFERROR(MID(VLOOKUP($B270,Seqs!$A:$B,2,0),Y270,1),"")</f>
        <v/>
      </c>
      <c r="Y270" s="9" t="s">
        <v>23</v>
      </c>
      <c r="Z270" s="9" t="str">
        <f>IFERROR(MID(VLOOKUP($B270,Seqs!$A:$B,2,0),AA270,1),"")</f>
        <v/>
      </c>
      <c r="AA270" s="9" t="s">
        <v>23</v>
      </c>
      <c r="AB270" s="9" t="str">
        <f>IFERROR(MID(VLOOKUP($B270,Seqs!$A:$B,2,0),AC270,1),"")</f>
        <v>G</v>
      </c>
      <c r="AC270" s="9">
        <v>149</v>
      </c>
      <c r="AD270" s="9" t="str">
        <f>IFERROR(MID(VLOOKUP($B270,Seqs!$A:$B,2,0),AE270,1),"")</f>
        <v>G</v>
      </c>
      <c r="AE270" s="9">
        <v>174</v>
      </c>
      <c r="AF270" s="9" t="str">
        <f>IFERROR(MID(VLOOKUP($B270,Seqs!$A:$B,2,0),AG270,1),"")</f>
        <v>C</v>
      </c>
      <c r="AG270" s="9">
        <v>187</v>
      </c>
      <c r="AH270" s="9" t="str">
        <f>IFERROR(MID(VLOOKUP($B270,Seqs!$A:$B,2,0),AI270,1),"")</f>
        <v>I</v>
      </c>
      <c r="AI270" s="9">
        <v>189</v>
      </c>
      <c r="AJ270" s="9" t="str">
        <f>IFERROR(MID(VLOOKUP($B270,Seqs!$A:$B,2,0),AK270,1),"")</f>
        <v>N</v>
      </c>
      <c r="AK270" s="9">
        <v>199</v>
      </c>
      <c r="AL270" s="9" t="str">
        <f>IFERROR(MID(VLOOKUP($B270,Seqs!$A:$B,2,0),AM270,1),"")</f>
        <v>A</v>
      </c>
      <c r="AM270" s="9">
        <v>235</v>
      </c>
      <c r="AN270" s="9" t="str">
        <f>IFERROR(MID(VLOOKUP($B270,Seqs!$A:$B,2,0),AO270,1),"")</f>
        <v>T</v>
      </c>
      <c r="AO270" s="9">
        <v>243</v>
      </c>
      <c r="AP270" s="9" t="str">
        <f>IFERROR(MID(VLOOKUP($B270,Seqs!$A:$B,2,0),AQ270,1),"")</f>
        <v>H</v>
      </c>
      <c r="AQ270" s="9">
        <v>278</v>
      </c>
      <c r="AR270" s="9" t="str">
        <f>IFERROR(MID(VLOOKUP($B270,Seqs!$A:$B,2,0),AS270,1),"")</f>
        <v>G</v>
      </c>
      <c r="AS270" s="9">
        <v>284</v>
      </c>
      <c r="AT270" s="9" t="str">
        <f>IFERROR(MID(VLOOKUP($B270,Seqs!$A:$B,2,0),AU270,1),"")</f>
        <v>M</v>
      </c>
      <c r="AU270" s="9">
        <v>308</v>
      </c>
      <c r="AV270" s="9" t="str">
        <f>IFERROR(MID(VLOOKUP($B270,Seqs!$A:$B,2,0),AW270,1),"")</f>
        <v>F</v>
      </c>
      <c r="AW270" s="9">
        <v>313</v>
      </c>
      <c r="AX270" s="9" t="str">
        <f>IFERROR(MID(VLOOKUP($B270,Seqs!$A:$B,2,0),AY270,1),"")</f>
        <v>C</v>
      </c>
      <c r="AY270" s="9">
        <v>322</v>
      </c>
      <c r="AZ270" s="110" t="str">
        <f>VLOOKUP(B270,Classification!A:D,2,0)</f>
        <v>A</v>
      </c>
      <c r="BA270" s="98" t="str">
        <f>VLOOKUP(B270,Classification!A:D,4,0)</f>
        <v>Opsins</v>
      </c>
      <c r="BB270" s="36" t="b">
        <f t="shared" ref="BB270" si="1706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1707">_xlfn.AGGREGATE(9,6,CH270:CS270)-_xlfn.AGGREGATE(9,6,BV270:CG270)+12</f>
        <v>246</v>
      </c>
      <c r="BD270" s="40" t="s">
        <v>23</v>
      </c>
      <c r="BE270" s="9" t="s">
        <v>1291</v>
      </c>
      <c r="BF270" s="120">
        <v>3.3</v>
      </c>
      <c r="BG270" s="51" t="s">
        <v>1422</v>
      </c>
      <c r="BH270" s="51" t="s">
        <v>1422</v>
      </c>
      <c r="BJ270" s="111" t="s">
        <v>1287</v>
      </c>
      <c r="BK270" s="112" t="s">
        <v>1287</v>
      </c>
      <c r="BL270" s="112" t="s">
        <v>1287</v>
      </c>
      <c r="BM270" s="112" t="s">
        <v>1287</v>
      </c>
      <c r="BN270" s="112" t="s">
        <v>1287</v>
      </c>
      <c r="BO270" s="112" t="s">
        <v>1287</v>
      </c>
      <c r="BP270" s="112" t="s">
        <v>1287</v>
      </c>
      <c r="BQ270" s="112" t="s">
        <v>1287</v>
      </c>
      <c r="BR270" s="112" t="s">
        <v>1287</v>
      </c>
      <c r="BS270" s="112" t="s">
        <v>1287</v>
      </c>
      <c r="BT270" s="112" t="s">
        <v>1287</v>
      </c>
      <c r="BU270" s="112" t="s">
        <v>1287</v>
      </c>
      <c r="BV270" s="111">
        <f t="shared" ref="BV270" si="1708">E270</f>
        <v>33</v>
      </c>
      <c r="BW270" s="113">
        <f t="shared" ref="BW270" si="1709">I270</f>
        <v>66</v>
      </c>
      <c r="BX270" s="114">
        <f t="shared" ref="BX270" si="1710">M270</f>
        <v>70</v>
      </c>
      <c r="BY270" s="113">
        <f t="shared" ref="BY270" si="1711">Q270</f>
        <v>102</v>
      </c>
      <c r="BZ270" s="114">
        <f t="shared" ref="BZ270" si="1712">U270</f>
        <v>106</v>
      </c>
      <c r="CA270" s="113" t="str">
        <f t="shared" ref="CA270" si="1713">Y270</f>
        <v>-</v>
      </c>
      <c r="CB270" s="114">
        <f t="shared" ref="CB270" si="1714">AC270</f>
        <v>149</v>
      </c>
      <c r="CC270" s="113">
        <f t="shared" ref="CC270" si="1715">AG270</f>
        <v>187</v>
      </c>
      <c r="CD270" s="114">
        <f t="shared" ref="CD270" si="1716">AK270</f>
        <v>199</v>
      </c>
      <c r="CE270" s="113">
        <f t="shared" ref="CE270" si="1717">AO270</f>
        <v>243</v>
      </c>
      <c r="CF270" s="114">
        <f t="shared" ref="CF270" si="1718">AS270</f>
        <v>284</v>
      </c>
      <c r="CG270" s="113">
        <f t="shared" ref="CG270" si="1719">AW270</f>
        <v>313</v>
      </c>
      <c r="CH270" s="111">
        <f t="shared" ref="CH270" si="1720">G270</f>
        <v>65</v>
      </c>
      <c r="CI270" s="113">
        <f t="shared" ref="CI270" si="1721">K270</f>
        <v>69</v>
      </c>
      <c r="CJ270" s="114">
        <f t="shared" ref="CJ270" si="1722">O270</f>
        <v>101</v>
      </c>
      <c r="CK270" s="114">
        <f t="shared" ref="CK270" si="1723">S270</f>
        <v>105</v>
      </c>
      <c r="CL270" s="114">
        <f t="shared" ref="CL270" si="1724">W270</f>
        <v>140</v>
      </c>
      <c r="CM270" s="114" t="str">
        <f t="shared" ref="CM270" si="1725">AA270</f>
        <v>-</v>
      </c>
      <c r="CN270" s="114">
        <f t="shared" ref="CN270" si="1726">AE270</f>
        <v>174</v>
      </c>
      <c r="CO270" s="114">
        <f t="shared" ref="CO270" si="1727">AI270</f>
        <v>189</v>
      </c>
      <c r="CP270" s="114">
        <f t="shared" ref="CP270" si="1728">AM270</f>
        <v>235</v>
      </c>
      <c r="CQ270" s="114">
        <f t="shared" ref="CQ270" si="1729">AQ270</f>
        <v>278</v>
      </c>
      <c r="CR270" s="114">
        <f t="shared" ref="CR270" si="1730">AU270</f>
        <v>308</v>
      </c>
      <c r="CS270" s="114">
        <f t="shared" ref="CS270" si="1731">AY270</f>
        <v>322</v>
      </c>
      <c r="CT270" s="109">
        <f t="shared" ref="CT270" si="1732">M270-K270</f>
        <v>1</v>
      </c>
    </row>
    <row r="271" spans="1:1029" x14ac:dyDescent="0.2">
      <c r="A271" s="3" t="str">
        <f t="shared" si="1591"/>
        <v>opsd_human__wt</v>
      </c>
      <c r="B271" s="3" t="s">
        <v>339</v>
      </c>
      <c r="C271" s="3" t="s">
        <v>100</v>
      </c>
      <c r="D271" s="3" t="str">
        <f>IFERROR(MID(VLOOKUP($B271,Seqs!$A:$B,2,0),E271,1),"")</f>
        <v>P</v>
      </c>
      <c r="E271" s="3">
        <v>34</v>
      </c>
      <c r="F271" s="3" t="str">
        <f>IFERROR(MID(VLOOKUP($B271,Seqs!$A:$B,2,0),G271,1),"")</f>
        <v>H</v>
      </c>
      <c r="G271" s="3">
        <v>65</v>
      </c>
      <c r="H271" s="3" t="str">
        <f>IFERROR(MID(VLOOKUP($B271,Seqs!$A:$B,2,0),I271,1),"")</f>
        <v>K</v>
      </c>
      <c r="I271" s="23">
        <v>66</v>
      </c>
      <c r="J271" s="3" t="str">
        <f>IFERROR(MID(VLOOKUP($B271,Seqs!$A:$B,2,0),K271,1),"")</f>
        <v>R</v>
      </c>
      <c r="K271" s="23">
        <v>69</v>
      </c>
      <c r="L271" s="3" t="str">
        <f>IFERROR(MID(VLOOKUP($B271,Seqs!$A:$B,2,0),M271,1),"")</f>
        <v>T</v>
      </c>
      <c r="M271" s="3">
        <v>70</v>
      </c>
      <c r="N271" s="3" t="str">
        <f>IFERROR(MID(VLOOKUP($B271,Seqs!$A:$B,2,0),O271,1),"")</f>
        <v>H</v>
      </c>
      <c r="O271" s="3">
        <v>100</v>
      </c>
      <c r="P271" s="3" t="str">
        <f>IFERROR(MID(VLOOKUP($B271,Seqs!$A:$B,2,0),Q271,1),"")</f>
        <v>Y</v>
      </c>
      <c r="Q271" s="3">
        <v>102</v>
      </c>
      <c r="R271" s="3" t="str">
        <f>IFERROR(MID(VLOOKUP($B271,Seqs!$A:$B,2,0),S271,1),"")</f>
        <v>F</v>
      </c>
      <c r="S271" s="3">
        <v>105</v>
      </c>
      <c r="T271" s="3" t="str">
        <f>IFERROR(MID(VLOOKUP($B271,Seqs!$A:$B,2,0),U271,1),"")</f>
        <v>G</v>
      </c>
      <c r="U271" s="3">
        <v>106</v>
      </c>
      <c r="V271" s="3" t="str">
        <f>IFERROR(MID(VLOOKUP($B271,Seqs!$A:$B,2,0),W271,1),"")</f>
        <v>K</v>
      </c>
      <c r="W271" s="3">
        <v>141</v>
      </c>
      <c r="X271" s="3" t="str">
        <f>IFERROR(MID(VLOOKUP($B271,Seqs!$A:$B,2,0),Y271,1),"")</f>
        <v>P</v>
      </c>
      <c r="Y271" s="3">
        <v>142</v>
      </c>
      <c r="Z271" s="3" t="str">
        <f>IFERROR(MID(VLOOKUP($B271,Seqs!$A:$B,2,0),AA271,1),"")</f>
        <v>F</v>
      </c>
      <c r="AA271" s="3">
        <v>148</v>
      </c>
      <c r="AB271" s="3" t="str">
        <f>IFERROR(MID(VLOOKUP($B271,Seqs!$A:$B,2,0),AC271,1),"")</f>
        <v>G</v>
      </c>
      <c r="AC271" s="9">
        <v>149</v>
      </c>
      <c r="AD271" s="3" t="str">
        <f>IFERROR(MID(VLOOKUP($B271,Seqs!$A:$B,2,0),AE271,1),"")</f>
        <v>A</v>
      </c>
      <c r="AE271" s="3">
        <v>173</v>
      </c>
      <c r="AF271" s="3" t="str">
        <f>IFERROR(MID(VLOOKUP($B271,Seqs!$A:$B,2,0),AG271,1),"")</f>
        <v>C</v>
      </c>
      <c r="AG271" s="3">
        <v>187</v>
      </c>
      <c r="AH271" s="3" t="str">
        <f>IFERROR(MID(VLOOKUP($B271,Seqs!$A:$B,2,0),AI271,1),"")</f>
        <v>I</v>
      </c>
      <c r="AI271" s="3">
        <v>189</v>
      </c>
      <c r="AJ271" s="3" t="str">
        <f>IFERROR(MID(VLOOKUP($B271,Seqs!$A:$B,2,0),AK271,1),"")</f>
        <v>N</v>
      </c>
      <c r="AK271" s="3">
        <v>199</v>
      </c>
      <c r="AL271" s="3" t="str">
        <f>IFERROR(MID(VLOOKUP($B271,Seqs!$A:$B,2,0),AM271,1),"")</f>
        <v>Q</v>
      </c>
      <c r="AM271" s="3">
        <v>237</v>
      </c>
      <c r="AN271" s="3" t="str">
        <f>IFERROR(MID(VLOOKUP($B271,Seqs!$A:$B,2,0),AO271,1),"")</f>
        <v>A</v>
      </c>
      <c r="AO271" s="3">
        <v>241</v>
      </c>
      <c r="AP271" s="3" t="str">
        <f>IFERROR(MID(VLOOKUP($B271,Seqs!$A:$B,2,0),AQ271,1),"")</f>
        <v>H</v>
      </c>
      <c r="AQ271" s="3">
        <v>278</v>
      </c>
      <c r="AR271" s="3" t="str">
        <f>IFERROR(MID(VLOOKUP($B271,Seqs!$A:$B,2,0),AS271,1),"")</f>
        <v>G</v>
      </c>
      <c r="AS271" s="3">
        <v>284</v>
      </c>
      <c r="AT271" s="3" t="str">
        <f>IFERROR(MID(VLOOKUP($B271,Seqs!$A:$B,2,0),AU271,1),"")</f>
        <v>M</v>
      </c>
      <c r="AU271" s="3">
        <v>309</v>
      </c>
      <c r="AV271" s="3" t="str">
        <f>IFERROR(MID(VLOOKUP($B271,Seqs!$A:$B,2,0),AW271,1),"")</f>
        <v>N</v>
      </c>
      <c r="AW271" s="3">
        <v>310</v>
      </c>
      <c r="AX271" s="3" t="str">
        <f>IFERROR(MID(VLOOKUP($B271,Seqs!$A:$B,2,0),AY271,1),"")</f>
        <v>C</v>
      </c>
      <c r="AY271" s="3">
        <v>322</v>
      </c>
      <c r="AZ271" s="77" t="str">
        <f>VLOOKUP(B271,Classification!A:D,2,0)</f>
        <v>A</v>
      </c>
      <c r="BA271" s="94" t="str">
        <f>VLOOKUP(B271,Classification!A:D,4,0)</f>
        <v>Opsins</v>
      </c>
      <c r="BB271" s="27" t="b">
        <f t="shared" si="1592"/>
        <v>1</v>
      </c>
      <c r="BC271" s="23">
        <f t="shared" si="1565"/>
        <v>258</v>
      </c>
      <c r="BD271" s="56" t="s">
        <v>23</v>
      </c>
      <c r="BE271" s="3" t="s">
        <v>23</v>
      </c>
      <c r="BF271" s="119" t="s">
        <v>23</v>
      </c>
      <c r="BG271" s="49" t="s">
        <v>1372</v>
      </c>
      <c r="BH271" s="49" t="s">
        <v>1377</v>
      </c>
      <c r="BI271" s="1"/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566"/>
        <v>34</v>
      </c>
      <c r="BW271" s="71">
        <f t="shared" si="1567"/>
        <v>66</v>
      </c>
      <c r="BX271" s="72">
        <f t="shared" si="1568"/>
        <v>70</v>
      </c>
      <c r="BY271" s="71">
        <f t="shared" si="1569"/>
        <v>102</v>
      </c>
      <c r="BZ271" s="72">
        <f t="shared" si="1570"/>
        <v>106</v>
      </c>
      <c r="CA271" s="71">
        <f t="shared" si="1571"/>
        <v>142</v>
      </c>
      <c r="CB271" s="72">
        <f t="shared" si="1572"/>
        <v>149</v>
      </c>
      <c r="CC271" s="71">
        <f t="shared" si="1573"/>
        <v>187</v>
      </c>
      <c r="CD271" s="72">
        <f t="shared" si="1574"/>
        <v>199</v>
      </c>
      <c r="CE271" s="71">
        <f t="shared" si="1575"/>
        <v>241</v>
      </c>
      <c r="CF271" s="72">
        <f t="shared" si="1576"/>
        <v>284</v>
      </c>
      <c r="CG271" s="71">
        <f t="shared" si="1577"/>
        <v>310</v>
      </c>
      <c r="CH271" s="70">
        <f t="shared" si="1578"/>
        <v>65</v>
      </c>
      <c r="CI271" s="71">
        <f t="shared" si="1579"/>
        <v>69</v>
      </c>
      <c r="CJ271" s="72">
        <f t="shared" si="1580"/>
        <v>100</v>
      </c>
      <c r="CK271" s="72">
        <f t="shared" si="1581"/>
        <v>105</v>
      </c>
      <c r="CL271" s="72">
        <f t="shared" si="1582"/>
        <v>141</v>
      </c>
      <c r="CM271" s="72">
        <f t="shared" si="1583"/>
        <v>148</v>
      </c>
      <c r="CN271" s="72">
        <f t="shared" si="1584"/>
        <v>173</v>
      </c>
      <c r="CO271" s="72">
        <f t="shared" si="1585"/>
        <v>189</v>
      </c>
      <c r="CP271" s="72">
        <f t="shared" si="1586"/>
        <v>237</v>
      </c>
      <c r="CQ271" s="72">
        <f t="shared" si="1587"/>
        <v>278</v>
      </c>
      <c r="CR271" s="72">
        <f t="shared" si="1588"/>
        <v>309</v>
      </c>
      <c r="CS271" s="72">
        <f t="shared" si="1589"/>
        <v>322</v>
      </c>
      <c r="CT271" s="23">
        <f t="shared" si="1590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1591"/>
        <v>opsd_human_4ZWJ</v>
      </c>
      <c r="B272" s="3" t="s">
        <v>339</v>
      </c>
      <c r="C272" s="3" t="s">
        <v>55</v>
      </c>
      <c r="D272" s="3" t="str">
        <f>IFERROR(MID(VLOOKUP($B272,Seqs!$A:$B,2,0),E272,1),"")</f>
        <v>P</v>
      </c>
      <c r="E272" s="3">
        <v>34</v>
      </c>
      <c r="F272" s="3" t="str">
        <f>IFERROR(MID(VLOOKUP($B272,Seqs!$A:$B,2,0),G272,1),"")</f>
        <v>H</v>
      </c>
      <c r="G272" s="3">
        <v>65</v>
      </c>
      <c r="H272" s="3" t="str">
        <f>IFERROR(MID(VLOOKUP($B272,Seqs!$A:$B,2,0),I272,1),"")</f>
        <v>K</v>
      </c>
      <c r="I272" s="23">
        <v>66</v>
      </c>
      <c r="J272" s="3" t="str">
        <f>IFERROR(MID(VLOOKUP($B272,Seqs!$A:$B,2,0),K272,1),"")</f>
        <v>R</v>
      </c>
      <c r="K272" s="23">
        <v>69</v>
      </c>
      <c r="L272" s="3" t="str">
        <f>IFERROR(MID(VLOOKUP($B272,Seqs!$A:$B,2,0),M272,1),"")</f>
        <v>T</v>
      </c>
      <c r="M272" s="3">
        <v>70</v>
      </c>
      <c r="N272" s="3" t="str">
        <f>IFERROR(MID(VLOOKUP($B272,Seqs!$A:$B,2,0),O272,1),"")</f>
        <v>H</v>
      </c>
      <c r="O272" s="3">
        <v>100</v>
      </c>
      <c r="P272" s="3" t="str">
        <f>IFERROR(MID(VLOOKUP($B272,Seqs!$A:$B,2,0),Q272,1),"")</f>
        <v>Y</v>
      </c>
      <c r="Q272" s="3">
        <v>102</v>
      </c>
      <c r="R272" s="3" t="str">
        <f>IFERROR(MID(VLOOKUP($B272,Seqs!$A:$B,2,0),S272,1),"")</f>
        <v>F</v>
      </c>
      <c r="S272" s="3">
        <v>105</v>
      </c>
      <c r="T272" s="3" t="str">
        <f>IFERROR(MID(VLOOKUP($B272,Seqs!$A:$B,2,0),U272,1),"")</f>
        <v>G</v>
      </c>
      <c r="U272" s="3">
        <v>106</v>
      </c>
      <c r="V272" s="3" t="str">
        <f>IFERROR(MID(VLOOKUP($B272,Seqs!$A:$B,2,0),W272,1),"")</f>
        <v>K</v>
      </c>
      <c r="W272" s="3">
        <v>141</v>
      </c>
      <c r="X272" s="3" t="str">
        <f>IFERROR(MID(VLOOKUP($B272,Seqs!$A:$B,2,0),Y272,1),"")</f>
        <v>P</v>
      </c>
      <c r="Y272" s="3">
        <v>142</v>
      </c>
      <c r="Z272" s="3" t="str">
        <f>IFERROR(MID(VLOOKUP($B272,Seqs!$A:$B,2,0),AA272,1),"")</f>
        <v>F</v>
      </c>
      <c r="AA272" s="3">
        <v>148</v>
      </c>
      <c r="AB272" s="3" t="str">
        <f>IFERROR(MID(VLOOKUP($B272,Seqs!$A:$B,2,0),AC272,1),"")</f>
        <v>G</v>
      </c>
      <c r="AC272" s="9">
        <v>149</v>
      </c>
      <c r="AD272" s="3" t="str">
        <f>IFERROR(MID(VLOOKUP($B272,Seqs!$A:$B,2,0),AE272,1),"")</f>
        <v>A</v>
      </c>
      <c r="AE272" s="3">
        <v>173</v>
      </c>
      <c r="AF272" s="3" t="str">
        <f>IFERROR(MID(VLOOKUP($B272,Seqs!$A:$B,2,0),AG272,1),"")</f>
        <v>C</v>
      </c>
      <c r="AG272" s="3">
        <v>187</v>
      </c>
      <c r="AH272" s="3" t="str">
        <f>IFERROR(MID(VLOOKUP($B272,Seqs!$A:$B,2,0),AI272,1),"")</f>
        <v>I</v>
      </c>
      <c r="AI272" s="3">
        <v>189</v>
      </c>
      <c r="AJ272" s="3" t="str">
        <f>IFERROR(MID(VLOOKUP($B272,Seqs!$A:$B,2,0),AK272,1),"")</f>
        <v>N</v>
      </c>
      <c r="AK272" s="3">
        <v>199</v>
      </c>
      <c r="AL272" s="3" t="str">
        <f>IFERROR(MID(VLOOKUP($B272,Seqs!$A:$B,2,0),AM272,1),"")</f>
        <v>Q</v>
      </c>
      <c r="AM272" s="3">
        <v>237</v>
      </c>
      <c r="AN272" s="3" t="str">
        <f>IFERROR(MID(VLOOKUP($B272,Seqs!$A:$B,2,0),AO272,1),"")</f>
        <v>A</v>
      </c>
      <c r="AO272" s="3">
        <v>241</v>
      </c>
      <c r="AP272" s="3" t="str">
        <f>IFERROR(MID(VLOOKUP($B272,Seqs!$A:$B,2,0),AQ272,1),"")</f>
        <v>H</v>
      </c>
      <c r="AQ272" s="3">
        <v>278</v>
      </c>
      <c r="AR272" s="3" t="str">
        <f>IFERROR(MID(VLOOKUP($B272,Seqs!$A:$B,2,0),AS272,1),"")</f>
        <v>G</v>
      </c>
      <c r="AS272" s="3">
        <v>284</v>
      </c>
      <c r="AT272" s="3" t="str">
        <f>IFERROR(MID(VLOOKUP($B272,Seqs!$A:$B,2,0),AU272,1),"")</f>
        <v>M</v>
      </c>
      <c r="AU272" s="3">
        <v>309</v>
      </c>
      <c r="AV272" s="3" t="str">
        <f>IFERROR(MID(VLOOKUP($B272,Seqs!$A:$B,2,0),AW272,1),"")</f>
        <v>N</v>
      </c>
      <c r="AW272" s="3">
        <v>310</v>
      </c>
      <c r="AX272" s="3" t="str">
        <f>IFERROR(MID(VLOOKUP($B272,Seqs!$A:$B,2,0),AY272,1),"")</f>
        <v>C</v>
      </c>
      <c r="AY272" s="3">
        <v>322</v>
      </c>
      <c r="AZ272" s="77" t="str">
        <f>VLOOKUP(B272,Classification!A:D,2,0)</f>
        <v>A</v>
      </c>
      <c r="BA272" s="94" t="str">
        <f>VLOOKUP(B272,Classification!A:D,4,0)</f>
        <v>Opsins</v>
      </c>
      <c r="BB272" s="27" t="b">
        <f t="shared" si="1592"/>
        <v>1</v>
      </c>
      <c r="BC272" s="23">
        <f t="shared" si="1565"/>
        <v>258</v>
      </c>
      <c r="BD272" s="2" t="s">
        <v>1375</v>
      </c>
      <c r="BE272" s="3" t="s">
        <v>1291</v>
      </c>
      <c r="BF272" s="119">
        <v>3.3</v>
      </c>
      <c r="BG272" s="49" t="s">
        <v>1377</v>
      </c>
      <c r="BH272" s="49" t="s">
        <v>1377</v>
      </c>
      <c r="BI272" s="1"/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566"/>
        <v>34</v>
      </c>
      <c r="BW272" s="71">
        <f t="shared" si="1567"/>
        <v>66</v>
      </c>
      <c r="BX272" s="72">
        <f t="shared" si="1568"/>
        <v>70</v>
      </c>
      <c r="BY272" s="71">
        <f t="shared" si="1569"/>
        <v>102</v>
      </c>
      <c r="BZ272" s="72">
        <f t="shared" si="1570"/>
        <v>106</v>
      </c>
      <c r="CA272" s="71">
        <f t="shared" si="1571"/>
        <v>142</v>
      </c>
      <c r="CB272" s="72">
        <f t="shared" si="1572"/>
        <v>149</v>
      </c>
      <c r="CC272" s="71">
        <f t="shared" si="1573"/>
        <v>187</v>
      </c>
      <c r="CD272" s="72">
        <f t="shared" si="1574"/>
        <v>199</v>
      </c>
      <c r="CE272" s="71">
        <f t="shared" si="1575"/>
        <v>241</v>
      </c>
      <c r="CF272" s="72">
        <f t="shared" si="1576"/>
        <v>284</v>
      </c>
      <c r="CG272" s="71">
        <f t="shared" si="1577"/>
        <v>310</v>
      </c>
      <c r="CH272" s="70">
        <f t="shared" si="1578"/>
        <v>65</v>
      </c>
      <c r="CI272" s="71">
        <f t="shared" si="1579"/>
        <v>69</v>
      </c>
      <c r="CJ272" s="72">
        <f t="shared" si="1580"/>
        <v>100</v>
      </c>
      <c r="CK272" s="72">
        <f t="shared" si="1581"/>
        <v>105</v>
      </c>
      <c r="CL272" s="72">
        <f t="shared" si="1582"/>
        <v>141</v>
      </c>
      <c r="CM272" s="72">
        <f t="shared" si="1583"/>
        <v>148</v>
      </c>
      <c r="CN272" s="72">
        <f t="shared" si="1584"/>
        <v>173</v>
      </c>
      <c r="CO272" s="72">
        <f t="shared" si="1585"/>
        <v>189</v>
      </c>
      <c r="CP272" s="72">
        <f t="shared" si="1586"/>
        <v>237</v>
      </c>
      <c r="CQ272" s="72">
        <f t="shared" si="1587"/>
        <v>278</v>
      </c>
      <c r="CR272" s="72">
        <f t="shared" si="1588"/>
        <v>309</v>
      </c>
      <c r="CS272" s="72">
        <f t="shared" si="1589"/>
        <v>322</v>
      </c>
      <c r="CT272" s="23">
        <f t="shared" si="1590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591"/>
        <v>opsd_human_5DGY</v>
      </c>
      <c r="B273" s="3" t="s">
        <v>339</v>
      </c>
      <c r="C273" s="3" t="s">
        <v>1434</v>
      </c>
      <c r="D273" s="3" t="str">
        <f>IFERROR(MID(VLOOKUP($B273,Seqs!$A:$B,2,0),E273,1),"")</f>
        <v>P</v>
      </c>
      <c r="E273" s="3">
        <v>34</v>
      </c>
      <c r="F273" s="3" t="str">
        <f>IFERROR(MID(VLOOKUP($B273,Seqs!$A:$B,2,0),G273,1),"")</f>
        <v>H</v>
      </c>
      <c r="G273" s="3">
        <v>65</v>
      </c>
      <c r="H273" s="3" t="str">
        <f>IFERROR(MID(VLOOKUP($B273,Seqs!$A:$B,2,0),I273,1),"")</f>
        <v>K</v>
      </c>
      <c r="I273" s="23">
        <v>66</v>
      </c>
      <c r="J273" s="3" t="str">
        <f>IFERROR(MID(VLOOKUP($B273,Seqs!$A:$B,2,0),K273,1),"")</f>
        <v>R</v>
      </c>
      <c r="K273" s="23">
        <v>69</v>
      </c>
      <c r="L273" s="3" t="str">
        <f>IFERROR(MID(VLOOKUP($B273,Seqs!$A:$B,2,0),M273,1),"")</f>
        <v>T</v>
      </c>
      <c r="M273" s="3">
        <v>70</v>
      </c>
      <c r="N273" s="3" t="str">
        <f>IFERROR(MID(VLOOKUP($B273,Seqs!$A:$B,2,0),O273,1),"")</f>
        <v>H</v>
      </c>
      <c r="O273" s="3">
        <v>100</v>
      </c>
      <c r="P273" s="3" t="str">
        <f>IFERROR(MID(VLOOKUP($B273,Seqs!$A:$B,2,0),Q273,1),"")</f>
        <v>Y</v>
      </c>
      <c r="Q273" s="3">
        <v>102</v>
      </c>
      <c r="R273" s="3" t="str">
        <f>IFERROR(MID(VLOOKUP($B273,Seqs!$A:$B,2,0),S273,1),"")</f>
        <v>F</v>
      </c>
      <c r="S273" s="3">
        <v>105</v>
      </c>
      <c r="T273" s="3" t="str">
        <f>IFERROR(MID(VLOOKUP($B273,Seqs!$A:$B,2,0),U273,1),"")</f>
        <v>G</v>
      </c>
      <c r="U273" s="3">
        <v>106</v>
      </c>
      <c r="V273" s="3" t="str">
        <f>IFERROR(MID(VLOOKUP($B273,Seqs!$A:$B,2,0),W273,1),"")</f>
        <v>K</v>
      </c>
      <c r="W273" s="3">
        <v>141</v>
      </c>
      <c r="X273" s="3" t="str">
        <f>IFERROR(MID(VLOOKUP($B273,Seqs!$A:$B,2,0),Y273,1),"")</f>
        <v>P</v>
      </c>
      <c r="Y273" s="3">
        <v>142</v>
      </c>
      <c r="Z273" s="3" t="str">
        <f>IFERROR(MID(VLOOKUP($B273,Seqs!$A:$B,2,0),AA273,1),"")</f>
        <v>F</v>
      </c>
      <c r="AA273" s="3">
        <v>148</v>
      </c>
      <c r="AB273" s="3" t="str">
        <f>IFERROR(MID(VLOOKUP($B273,Seqs!$A:$B,2,0),AC273,1),"")</f>
        <v>G</v>
      </c>
      <c r="AC273" s="3">
        <v>149</v>
      </c>
      <c r="AD273" s="3" t="str">
        <f>IFERROR(MID(VLOOKUP($B273,Seqs!$A:$B,2,0),AE273,1),"")</f>
        <v>A</v>
      </c>
      <c r="AE273" s="3">
        <v>173</v>
      </c>
      <c r="AF273" s="3" t="str">
        <f>IFERROR(MID(VLOOKUP($B273,Seqs!$A:$B,2,0),AG273,1),"")</f>
        <v>C</v>
      </c>
      <c r="AG273" s="3">
        <v>187</v>
      </c>
      <c r="AH273" s="3" t="str">
        <f>IFERROR(MID(VLOOKUP($B273,Seqs!$A:$B,2,0),AI273,1),"")</f>
        <v>I</v>
      </c>
      <c r="AI273" s="3">
        <v>189</v>
      </c>
      <c r="AJ273" s="3" t="str">
        <f>IFERROR(MID(VLOOKUP($B273,Seqs!$A:$B,2,0),AK273,1),"")</f>
        <v>N</v>
      </c>
      <c r="AK273" s="3">
        <v>199</v>
      </c>
      <c r="AL273" s="3" t="str">
        <f>IFERROR(MID(VLOOKUP($B273,Seqs!$A:$B,2,0),AM273,1),"")</f>
        <v>Q</v>
      </c>
      <c r="AM273" s="3">
        <v>237</v>
      </c>
      <c r="AN273" s="3" t="str">
        <f>IFERROR(MID(VLOOKUP($B273,Seqs!$A:$B,2,0),AO273,1),"")</f>
        <v>A</v>
      </c>
      <c r="AO273" s="3">
        <v>241</v>
      </c>
      <c r="AP273" s="3" t="str">
        <f>IFERROR(MID(VLOOKUP($B273,Seqs!$A:$B,2,0),AQ273,1),"")</f>
        <v>H</v>
      </c>
      <c r="AQ273" s="3">
        <v>278</v>
      </c>
      <c r="AR273" s="3" t="str">
        <f>IFERROR(MID(VLOOKUP($B273,Seqs!$A:$B,2,0),AS273,1),"")</f>
        <v>G</v>
      </c>
      <c r="AS273" s="3">
        <v>284</v>
      </c>
      <c r="AT273" s="3" t="str">
        <f>IFERROR(MID(VLOOKUP($B273,Seqs!$A:$B,2,0),AU273,1),"")</f>
        <v>M</v>
      </c>
      <c r="AU273" s="3">
        <v>309</v>
      </c>
      <c r="AV273" s="3" t="str">
        <f>IFERROR(MID(VLOOKUP($B273,Seqs!$A:$B,2,0),AW273,1),"")</f>
        <v>N</v>
      </c>
      <c r="AW273" s="3">
        <v>310</v>
      </c>
      <c r="AX273" s="3" t="str">
        <f>IFERROR(MID(VLOOKUP($B273,Seqs!$A:$B,2,0),AY273,1),"")</f>
        <v>C</v>
      </c>
      <c r="AY273" s="3">
        <v>322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592"/>
        <v>1</v>
      </c>
      <c r="BC273" s="23">
        <f t="shared" si="1565"/>
        <v>258</v>
      </c>
      <c r="BD273" s="2" t="s">
        <v>23</v>
      </c>
      <c r="BE273" s="3" t="s">
        <v>1291</v>
      </c>
      <c r="BF273" s="119">
        <v>7.7</v>
      </c>
      <c r="BG273" s="49" t="s">
        <v>1433</v>
      </c>
      <c r="BH273" s="49" t="s">
        <v>1433</v>
      </c>
      <c r="BI273" s="1"/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566"/>
        <v>34</v>
      </c>
      <c r="BW273" s="71">
        <f t="shared" si="1567"/>
        <v>66</v>
      </c>
      <c r="BX273" s="72">
        <f t="shared" si="1568"/>
        <v>70</v>
      </c>
      <c r="BY273" s="71">
        <f t="shared" si="1569"/>
        <v>102</v>
      </c>
      <c r="BZ273" s="72">
        <f t="shared" si="1570"/>
        <v>106</v>
      </c>
      <c r="CA273" s="71">
        <f t="shared" si="1571"/>
        <v>142</v>
      </c>
      <c r="CB273" s="72">
        <f t="shared" si="1572"/>
        <v>149</v>
      </c>
      <c r="CC273" s="71">
        <f t="shared" si="1573"/>
        <v>187</v>
      </c>
      <c r="CD273" s="72">
        <f t="shared" si="1574"/>
        <v>199</v>
      </c>
      <c r="CE273" s="71">
        <f t="shared" si="1575"/>
        <v>241</v>
      </c>
      <c r="CF273" s="72">
        <f t="shared" si="1576"/>
        <v>284</v>
      </c>
      <c r="CG273" s="71">
        <f t="shared" si="1577"/>
        <v>310</v>
      </c>
      <c r="CH273" s="70">
        <f t="shared" si="1578"/>
        <v>65</v>
      </c>
      <c r="CI273" s="71">
        <f t="shared" si="1579"/>
        <v>69</v>
      </c>
      <c r="CJ273" s="72">
        <f t="shared" si="1580"/>
        <v>100</v>
      </c>
      <c r="CK273" s="72">
        <f t="shared" si="1581"/>
        <v>105</v>
      </c>
      <c r="CL273" s="72">
        <f t="shared" si="1582"/>
        <v>141</v>
      </c>
      <c r="CM273" s="72">
        <f t="shared" si="1583"/>
        <v>148</v>
      </c>
      <c r="CN273" s="72">
        <f t="shared" si="1584"/>
        <v>173</v>
      </c>
      <c r="CO273" s="72">
        <f t="shared" si="1585"/>
        <v>189</v>
      </c>
      <c r="CP273" s="72">
        <f t="shared" si="1586"/>
        <v>237</v>
      </c>
      <c r="CQ273" s="72">
        <f t="shared" si="1587"/>
        <v>278</v>
      </c>
      <c r="CR273" s="72">
        <f t="shared" si="1588"/>
        <v>309</v>
      </c>
      <c r="CS273" s="72">
        <f t="shared" si="1589"/>
        <v>322</v>
      </c>
      <c r="CT273" s="23">
        <f t="shared" si="1590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>CONCATENATE(B274,"_",C274)</f>
        <v>opsd_human_5W0P</v>
      </c>
      <c r="B274" s="3" t="s">
        <v>339</v>
      </c>
      <c r="C274" s="3" t="s">
        <v>1432</v>
      </c>
      <c r="D274" s="3" t="str">
        <f>IFERROR(MID(VLOOKUP($B274,Seqs!$A:$B,2,0),E274,1),"")</f>
        <v>P</v>
      </c>
      <c r="E274" s="3">
        <v>34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>P</v>
      </c>
      <c r="Y274" s="3">
        <v>142</v>
      </c>
      <c r="Z274" s="3" t="str">
        <f>IFERROR(MID(VLOOKUP($B274,Seqs!$A:$B,2,0),AA274,1),"")</f>
        <v>F</v>
      </c>
      <c r="AA274" s="3">
        <v>148</v>
      </c>
      <c r="AB274" s="3" t="str">
        <f>IFERROR(MID(VLOOKUP($B274,Seqs!$A:$B,2,0),AC274,1),"")</f>
        <v>G</v>
      </c>
      <c r="AC274" s="3">
        <v>149</v>
      </c>
      <c r="AD274" s="3" t="str">
        <f>IFERROR(MID(VLOOKUP($B274,Seqs!$A:$B,2,0),AE274,1),"")</f>
        <v>A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237</v>
      </c>
      <c r="AN274" s="3" t="str">
        <f>IFERROR(MID(VLOOKUP($B274,Seqs!$A:$B,2,0),AO274,1),"")</f>
        <v>A</v>
      </c>
      <c r="AO274" s="3">
        <v>241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>_xlfn.AGGREGATE(9,6,CH274:CS274)-_xlfn.AGGREGATE(9,6,BV274:CG274)+12</f>
        <v>258</v>
      </c>
      <c r="BD274" s="2" t="s">
        <v>23</v>
      </c>
      <c r="BE274" s="3" t="s">
        <v>1291</v>
      </c>
      <c r="BF274" s="119">
        <v>3.01</v>
      </c>
      <c r="BG274" s="49" t="s">
        <v>1433</v>
      </c>
      <c r="BH274" s="49" t="s">
        <v>1433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>E274</f>
        <v>34</v>
      </c>
      <c r="BW274" s="71">
        <f>I274</f>
        <v>66</v>
      </c>
      <c r="BX274" s="72">
        <f>M274</f>
        <v>70</v>
      </c>
      <c r="BY274" s="71">
        <f>Q274</f>
        <v>102</v>
      </c>
      <c r="BZ274" s="72">
        <f>U274</f>
        <v>106</v>
      </c>
      <c r="CA274" s="71">
        <f>Y274</f>
        <v>142</v>
      </c>
      <c r="CB274" s="72">
        <f>AC274</f>
        <v>149</v>
      </c>
      <c r="CC274" s="71">
        <f>AG274</f>
        <v>187</v>
      </c>
      <c r="CD274" s="72">
        <f>AK274</f>
        <v>199</v>
      </c>
      <c r="CE274" s="71">
        <f>AO274</f>
        <v>241</v>
      </c>
      <c r="CF274" s="72">
        <f>AS274</f>
        <v>284</v>
      </c>
      <c r="CG274" s="71">
        <f>AW274</f>
        <v>310</v>
      </c>
      <c r="CH274" s="70">
        <f>G274</f>
        <v>65</v>
      </c>
      <c r="CI274" s="71">
        <f>K274</f>
        <v>69</v>
      </c>
      <c r="CJ274" s="72">
        <f>O274</f>
        <v>100</v>
      </c>
      <c r="CK274" s="72">
        <f>S274</f>
        <v>105</v>
      </c>
      <c r="CL274" s="72">
        <f>W274</f>
        <v>141</v>
      </c>
      <c r="CM274" s="72">
        <f>AA274</f>
        <v>148</v>
      </c>
      <c r="CN274" s="72">
        <f>AE274</f>
        <v>173</v>
      </c>
      <c r="CO274" s="72">
        <f>AI274</f>
        <v>189</v>
      </c>
      <c r="CP274" s="72">
        <f>AM274</f>
        <v>237</v>
      </c>
      <c r="CQ274" s="72">
        <f>AQ274</f>
        <v>278</v>
      </c>
      <c r="CR274" s="72">
        <f>AU274</f>
        <v>309</v>
      </c>
      <c r="CS274" s="72">
        <f>AY274</f>
        <v>322</v>
      </c>
      <c r="CT274" s="23">
        <f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>CONCATENATE(B275,"_",C275)</f>
        <v>opsd_human_6CMO</v>
      </c>
      <c r="B275" s="3" t="s">
        <v>339</v>
      </c>
      <c r="C275" s="3" t="s">
        <v>1502</v>
      </c>
      <c r="D275" s="3" t="str">
        <f>IFERROR(MID(VLOOKUP($B275,Seqs!$A:$B,2,0),E275,1),"")</f>
        <v>E</v>
      </c>
      <c r="E275" s="3">
        <v>33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G</v>
      </c>
      <c r="O275" s="3">
        <v>101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E</v>
      </c>
      <c r="AC275" s="3">
        <v>150</v>
      </c>
      <c r="AD275" s="3" t="str">
        <f>IFERROR(MID(VLOOKUP($B275,Seqs!$A:$B,2,0),AE275,1),"")</f>
        <v>A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200</v>
      </c>
      <c r="AL275" s="3" t="str">
        <f>IFERROR(MID(VLOOKUP($B275,Seqs!$A:$B,2,0),AM275,1),"")</f>
        <v>Q</v>
      </c>
      <c r="AM275" s="3">
        <v>238</v>
      </c>
      <c r="AN275" s="3" t="str">
        <f>IFERROR(MID(VLOOKUP($B275,Seqs!$A:$B,2,0),AO275,1),"")</f>
        <v>S</v>
      </c>
      <c r="AO275" s="3">
        <v>240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I</v>
      </c>
      <c r="AS275" s="3">
        <v>286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323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>_xlfn.AGGREGATE(9,6,CH275:CS275)-_xlfn.AGGREGATE(9,6,BV275:CG275)+12</f>
        <v>253</v>
      </c>
      <c r="BD275" s="2" t="s">
        <v>23</v>
      </c>
      <c r="BE275" s="3" t="s">
        <v>1291</v>
      </c>
      <c r="BF275" s="119">
        <v>4.5</v>
      </c>
      <c r="BG275" s="49" t="s">
        <v>1433</v>
      </c>
      <c r="BH275" s="49" t="s">
        <v>1433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>E275</f>
        <v>33</v>
      </c>
      <c r="BW275" s="71">
        <f>I275</f>
        <v>66</v>
      </c>
      <c r="BX275" s="72">
        <f>M275</f>
        <v>70</v>
      </c>
      <c r="BY275" s="71">
        <f>Q275</f>
        <v>102</v>
      </c>
      <c r="BZ275" s="72">
        <f>U275</f>
        <v>106</v>
      </c>
      <c r="CA275" s="71" t="str">
        <f>Y275</f>
        <v>-</v>
      </c>
      <c r="CB275" s="72">
        <f>AC275</f>
        <v>150</v>
      </c>
      <c r="CC275" s="71">
        <f>AG275</f>
        <v>187</v>
      </c>
      <c r="CD275" s="72">
        <f>AK275</f>
        <v>200</v>
      </c>
      <c r="CE275" s="71">
        <f>AO275</f>
        <v>240</v>
      </c>
      <c r="CF275" s="72">
        <f>AS275</f>
        <v>286</v>
      </c>
      <c r="CG275" s="71">
        <f>AW275</f>
        <v>310</v>
      </c>
      <c r="CH275" s="70">
        <f>G275</f>
        <v>65</v>
      </c>
      <c r="CI275" s="71">
        <f>K275</f>
        <v>69</v>
      </c>
      <c r="CJ275" s="72">
        <f>O275</f>
        <v>101</v>
      </c>
      <c r="CK275" s="72">
        <f>S275</f>
        <v>105</v>
      </c>
      <c r="CL275" s="72">
        <f>W275</f>
        <v>141</v>
      </c>
      <c r="CM275" s="72" t="str">
        <f>AA275</f>
        <v>-</v>
      </c>
      <c r="CN275" s="72">
        <f>AE275</f>
        <v>173</v>
      </c>
      <c r="CO275" s="72">
        <f>AI275</f>
        <v>189</v>
      </c>
      <c r="CP275" s="72">
        <f>AM275</f>
        <v>238</v>
      </c>
      <c r="CQ275" s="72">
        <f>AQ275</f>
        <v>278</v>
      </c>
      <c r="CR275" s="72">
        <f>AU275</f>
        <v>309</v>
      </c>
      <c r="CS275" s="72">
        <f>AY275</f>
        <v>323</v>
      </c>
      <c r="CT275" s="23">
        <f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591"/>
        <v>opsd_todpa__wt</v>
      </c>
      <c r="B276" s="3" t="s">
        <v>921</v>
      </c>
      <c r="C276" s="3" t="s">
        <v>100</v>
      </c>
      <c r="D276" s="3" t="str">
        <f>IFERROR(MID(VLOOKUP($B276,Seqs!$A:$B,2,0),E276,1),"")</f>
        <v>D</v>
      </c>
      <c r="E276" s="3">
        <v>31</v>
      </c>
      <c r="F276" s="3" t="str">
        <f>IFERROR(MID(VLOOKUP($B276,Seqs!$A:$B,2,0),G276,1),"")</f>
        <v>T</v>
      </c>
      <c r="G276" s="3">
        <v>62</v>
      </c>
      <c r="H276" s="3" t="str">
        <f>IFERROR(MID(VLOOKUP($B276,Seqs!$A:$B,2,0),I276,1),"")</f>
        <v>K</v>
      </c>
      <c r="I276" s="23">
        <v>63</v>
      </c>
      <c r="J276" s="3" t="str">
        <f>IFERROR(MID(VLOOKUP($B276,Seqs!$A:$B,2,0),K276,1),"")</f>
        <v>Q</v>
      </c>
      <c r="K276" s="23">
        <v>66</v>
      </c>
      <c r="L276" s="3" t="str">
        <f>IFERROR(MID(VLOOKUP($B276,Seqs!$A:$B,2,0),M276,1),"")</f>
        <v>T</v>
      </c>
      <c r="M276" s="3">
        <v>67</v>
      </c>
      <c r="N276" s="3" t="str">
        <f>IFERROR(MID(VLOOKUP($B276,Seqs!$A:$B,2,0),O276,1),"")</f>
        <v>K</v>
      </c>
      <c r="O276" s="3">
        <v>99</v>
      </c>
      <c r="P276" s="3" t="str">
        <f>IFERROR(MID(VLOOKUP($B276,Seqs!$A:$B,2,0),Q276,1),"")</f>
        <v>K</v>
      </c>
      <c r="Q276" s="3">
        <v>100</v>
      </c>
      <c r="R276" s="3" t="str">
        <f>IFERROR(MID(VLOOKUP($B276,Seqs!$A:$B,2,0),S276,1),"")</f>
        <v>F</v>
      </c>
      <c r="S276" s="3">
        <v>103</v>
      </c>
      <c r="T276" s="3" t="str">
        <f>IFERROR(MID(VLOOKUP($B276,Seqs!$A:$B,2,0),U276,1),"")</f>
        <v>G</v>
      </c>
      <c r="U276" s="3">
        <v>104</v>
      </c>
      <c r="V276" s="3" t="str">
        <f>IFERROR(MID(VLOOKUP($B276,Seqs!$A:$B,2,0),W276,1),"")</f>
        <v>R</v>
      </c>
      <c r="W276" s="3">
        <v>139</v>
      </c>
      <c r="X276" s="3" t="str">
        <f>IFERROR(MID(VLOOKUP($B276,Seqs!$A:$B,2,0),Y276,1),"")</f>
        <v>P</v>
      </c>
      <c r="Y276" s="3">
        <v>140</v>
      </c>
      <c r="Z276" s="3" t="str">
        <f>IFERROR(MID(VLOOKUP($B276,Seqs!$A:$B,2,0),AA276,1),"")</f>
        <v>M</v>
      </c>
      <c r="AA276" s="3">
        <v>147</v>
      </c>
      <c r="AB276" s="3" t="str">
        <f>IFERROR(MID(VLOOKUP($B276,Seqs!$A:$B,2,0),AC276,1),"")</f>
        <v>S</v>
      </c>
      <c r="AC276" s="9">
        <v>148</v>
      </c>
      <c r="AD276" s="3" t="str">
        <f>IFERROR(MID(VLOOKUP($B276,Seqs!$A:$B,2,0),AE276,1),"")</f>
        <v>F</v>
      </c>
      <c r="AE276" s="3">
        <v>172</v>
      </c>
      <c r="AF276" s="3" t="str">
        <f>IFERROR(MID(VLOOKUP($B276,Seqs!$A:$B,2,0),AG276,1),"")</f>
        <v>C</v>
      </c>
      <c r="AG276" s="3">
        <v>186</v>
      </c>
      <c r="AH276" s="3" t="str">
        <f>IFERROR(MID(VLOOKUP($B276,Seqs!$A:$B,2,0),AI276,1),"")</f>
        <v>F</v>
      </c>
      <c r="AI276" s="3">
        <v>188</v>
      </c>
      <c r="AJ276" s="3" t="str">
        <f>IFERROR(MID(VLOOKUP($B276,Seqs!$A:$B,2,0),AK276,1),"")</f>
        <v>D</v>
      </c>
      <c r="AK276" s="3">
        <v>194</v>
      </c>
      <c r="AL276" s="3" t="str">
        <f>IFERROR(MID(VLOOKUP($B276,Seqs!$A:$B,2,0),AM276,1),"")</f>
        <v>K</v>
      </c>
      <c r="AM276" s="3">
        <v>239</v>
      </c>
      <c r="AN276" s="3" t="str">
        <f>IFERROR(MID(VLOOKUP($B276,Seqs!$A:$B,2,0),AO276,1),"")</f>
        <v>K</v>
      </c>
      <c r="AO276" s="3">
        <v>244</v>
      </c>
      <c r="AP276" s="3" t="str">
        <f>IFERROR(MID(VLOOKUP($B276,Seqs!$A:$B,2,0),AQ276,1),"")</f>
        <v>G</v>
      </c>
      <c r="AQ276" s="3">
        <v>287</v>
      </c>
      <c r="AR276" s="3" t="str">
        <f>IFERROR(MID(VLOOKUP($B276,Seqs!$A:$B,2,0),AS276,1),"")</f>
        <v>T</v>
      </c>
      <c r="AS276" s="3">
        <v>293</v>
      </c>
      <c r="AT276" s="3" t="str">
        <f>IFERROR(MID(VLOOKUP($B276,Seqs!$A:$B,2,0),AU276,1),"")</f>
        <v>S</v>
      </c>
      <c r="AU276" s="3">
        <v>318</v>
      </c>
      <c r="AV276" s="3" t="str">
        <f>IFERROR(MID(VLOOKUP($B276,Seqs!$A:$B,2,0),AW276,1),"")</f>
        <v>H</v>
      </c>
      <c r="AW276" s="3">
        <v>319</v>
      </c>
      <c r="AX276" s="3" t="str">
        <f>IFERROR(MID(VLOOKUP($B276,Seqs!$A:$B,2,0),AY276,1),"")</f>
        <v>F</v>
      </c>
      <c r="AY276" s="3">
        <v>330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 t="shared" si="1592"/>
        <v>1</v>
      </c>
      <c r="BC276" s="23">
        <f t="shared" si="1565"/>
        <v>273</v>
      </c>
      <c r="BD276" s="56" t="s">
        <v>23</v>
      </c>
      <c r="BE276" s="3" t="s">
        <v>23</v>
      </c>
      <c r="BF276" s="119" t="s">
        <v>23</v>
      </c>
      <c r="BG276" s="49" t="s">
        <v>1372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 t="shared" si="1566"/>
        <v>31</v>
      </c>
      <c r="BW276" s="71">
        <f t="shared" si="1567"/>
        <v>63</v>
      </c>
      <c r="BX276" s="72">
        <f t="shared" si="1568"/>
        <v>67</v>
      </c>
      <c r="BY276" s="71">
        <f t="shared" si="1569"/>
        <v>100</v>
      </c>
      <c r="BZ276" s="72">
        <f t="shared" si="1570"/>
        <v>104</v>
      </c>
      <c r="CA276" s="71">
        <f t="shared" si="1571"/>
        <v>140</v>
      </c>
      <c r="CB276" s="72">
        <f t="shared" si="1572"/>
        <v>148</v>
      </c>
      <c r="CC276" s="71">
        <f t="shared" si="1573"/>
        <v>186</v>
      </c>
      <c r="CD276" s="72">
        <f t="shared" si="1574"/>
        <v>194</v>
      </c>
      <c r="CE276" s="71">
        <f t="shared" si="1575"/>
        <v>244</v>
      </c>
      <c r="CF276" s="72">
        <f t="shared" si="1576"/>
        <v>293</v>
      </c>
      <c r="CG276" s="71">
        <f t="shared" si="1577"/>
        <v>319</v>
      </c>
      <c r="CH276" s="70">
        <f t="shared" si="1578"/>
        <v>62</v>
      </c>
      <c r="CI276" s="71">
        <f t="shared" si="1579"/>
        <v>66</v>
      </c>
      <c r="CJ276" s="72">
        <f t="shared" si="1580"/>
        <v>99</v>
      </c>
      <c r="CK276" s="72">
        <f t="shared" si="1581"/>
        <v>103</v>
      </c>
      <c r="CL276" s="72">
        <f t="shared" si="1582"/>
        <v>139</v>
      </c>
      <c r="CM276" s="72">
        <f t="shared" si="1583"/>
        <v>147</v>
      </c>
      <c r="CN276" s="72">
        <f t="shared" si="1584"/>
        <v>172</v>
      </c>
      <c r="CO276" s="72">
        <f t="shared" si="1585"/>
        <v>188</v>
      </c>
      <c r="CP276" s="72">
        <f t="shared" si="1586"/>
        <v>239</v>
      </c>
      <c r="CQ276" s="72">
        <f t="shared" si="1587"/>
        <v>287</v>
      </c>
      <c r="CR276" s="72">
        <f t="shared" si="1588"/>
        <v>318</v>
      </c>
      <c r="CS276" s="72">
        <f t="shared" si="1589"/>
        <v>330</v>
      </c>
      <c r="CT276" s="23">
        <f t="shared" si="1590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1591"/>
        <v>opsd_todpa_2Z73</v>
      </c>
      <c r="B277" s="3" t="s">
        <v>921</v>
      </c>
      <c r="C277" s="3" t="s">
        <v>97</v>
      </c>
      <c r="D277" s="3" t="str">
        <f>IFERROR(MID(VLOOKUP($B277,Seqs!$A:$B,2,0),E277,1),"")</f>
        <v>D</v>
      </c>
      <c r="E277" s="3">
        <v>31</v>
      </c>
      <c r="F277" s="3" t="str">
        <f>IFERROR(MID(VLOOKUP($B277,Seqs!$A:$B,2,0),G277,1),"")</f>
        <v>T</v>
      </c>
      <c r="G277" s="3">
        <v>62</v>
      </c>
      <c r="H277" s="3" t="str">
        <f>IFERROR(MID(VLOOKUP($B277,Seqs!$A:$B,2,0),I277,1),"")</f>
        <v>K</v>
      </c>
      <c r="I277" s="23">
        <v>63</v>
      </c>
      <c r="J277" s="3" t="str">
        <f>IFERROR(MID(VLOOKUP($B277,Seqs!$A:$B,2,0),K277,1),"")</f>
        <v>Q</v>
      </c>
      <c r="K277" s="23">
        <v>66</v>
      </c>
      <c r="L277" s="3" t="str">
        <f>IFERROR(MID(VLOOKUP($B277,Seqs!$A:$B,2,0),M277,1),"")</f>
        <v>T</v>
      </c>
      <c r="M277" s="3">
        <v>67</v>
      </c>
      <c r="N277" s="3" t="str">
        <f>IFERROR(MID(VLOOKUP($B277,Seqs!$A:$B,2,0),O277,1),"")</f>
        <v>K</v>
      </c>
      <c r="O277" s="3">
        <v>99</v>
      </c>
      <c r="P277" s="3" t="str">
        <f>IFERROR(MID(VLOOKUP($B277,Seqs!$A:$B,2,0),Q277,1),"")</f>
        <v>K</v>
      </c>
      <c r="Q277" s="3">
        <v>100</v>
      </c>
      <c r="R277" s="3" t="str">
        <f>IFERROR(MID(VLOOKUP($B277,Seqs!$A:$B,2,0),S277,1),"")</f>
        <v>F</v>
      </c>
      <c r="S277" s="3">
        <v>103</v>
      </c>
      <c r="T277" s="3" t="str">
        <f>IFERROR(MID(VLOOKUP($B277,Seqs!$A:$B,2,0),U277,1),"")</f>
        <v>G</v>
      </c>
      <c r="U277" s="3">
        <v>104</v>
      </c>
      <c r="V277" s="3" t="str">
        <f>IFERROR(MID(VLOOKUP($B277,Seqs!$A:$B,2,0),W277,1),"")</f>
        <v>R</v>
      </c>
      <c r="W277" s="3">
        <v>139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S</v>
      </c>
      <c r="AC277" s="9">
        <v>148</v>
      </c>
      <c r="AD277" s="3" t="str">
        <f>IFERROR(MID(VLOOKUP($B277,Seqs!$A:$B,2,0),AE277,1),"")</f>
        <v>F</v>
      </c>
      <c r="AE277" s="3">
        <v>172</v>
      </c>
      <c r="AF277" s="3" t="str">
        <f>IFERROR(MID(VLOOKUP($B277,Seqs!$A:$B,2,0),AG277,1),"")</f>
        <v>C</v>
      </c>
      <c r="AG277" s="3">
        <v>186</v>
      </c>
      <c r="AH277" s="3" t="str">
        <f>IFERROR(MID(VLOOKUP($B277,Seqs!$A:$B,2,0),AI277,1),"")</f>
        <v>F</v>
      </c>
      <c r="AI277" s="3">
        <v>188</v>
      </c>
      <c r="AJ277" s="3" t="str">
        <f>IFERROR(MID(VLOOKUP($B277,Seqs!$A:$B,2,0),AK277,1),"")</f>
        <v>D</v>
      </c>
      <c r="AK277" s="3">
        <v>194</v>
      </c>
      <c r="AL277" s="3" t="str">
        <f>IFERROR(MID(VLOOKUP($B277,Seqs!$A:$B,2,0),AM277,1),"")</f>
        <v>K</v>
      </c>
      <c r="AM277" s="3">
        <v>239</v>
      </c>
      <c r="AN277" s="3" t="str">
        <f>IFERROR(MID(VLOOKUP($B277,Seqs!$A:$B,2,0),AO277,1),"")</f>
        <v>K</v>
      </c>
      <c r="AO277" s="3">
        <v>244</v>
      </c>
      <c r="AP277" s="3" t="str">
        <f>IFERROR(MID(VLOOKUP($B277,Seqs!$A:$B,2,0),AQ277,1),"")</f>
        <v>G</v>
      </c>
      <c r="AQ277" s="3">
        <v>287</v>
      </c>
      <c r="AR277" s="3" t="str">
        <f>IFERROR(MID(VLOOKUP($B277,Seqs!$A:$B,2,0),AS277,1),"")</f>
        <v>T</v>
      </c>
      <c r="AS277" s="3">
        <v>293</v>
      </c>
      <c r="AT277" s="3" t="str">
        <f>IFERROR(MID(VLOOKUP($B277,Seqs!$A:$B,2,0),AU277,1),"")</f>
        <v>S</v>
      </c>
      <c r="AU277" s="3">
        <v>318</v>
      </c>
      <c r="AV277" s="3" t="str">
        <f>IFERROR(MID(VLOOKUP($B277,Seqs!$A:$B,2,0),AW277,1),"")</f>
        <v>H</v>
      </c>
      <c r="AW277" s="3">
        <v>319</v>
      </c>
      <c r="AX277" s="3" t="str">
        <f>IFERROR(MID(VLOOKUP($B277,Seqs!$A:$B,2,0),AY277,1),"")</f>
        <v>F</v>
      </c>
      <c r="AY277" s="3">
        <v>330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 t="shared" si="1592"/>
        <v>1</v>
      </c>
      <c r="BC277" s="23">
        <f t="shared" si="1565"/>
        <v>266</v>
      </c>
      <c r="BD277" s="2" t="s">
        <v>1376</v>
      </c>
      <c r="BE277" s="3" t="s">
        <v>1374</v>
      </c>
      <c r="BF277" s="119">
        <v>2.5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 t="shared" si="1566"/>
        <v>31</v>
      </c>
      <c r="BW277" s="71">
        <f t="shared" si="1567"/>
        <v>63</v>
      </c>
      <c r="BX277" s="72">
        <f t="shared" si="1568"/>
        <v>67</v>
      </c>
      <c r="BY277" s="71">
        <f t="shared" si="1569"/>
        <v>100</v>
      </c>
      <c r="BZ277" s="72">
        <f t="shared" si="1570"/>
        <v>104</v>
      </c>
      <c r="CA277" s="71" t="str">
        <f t="shared" si="1571"/>
        <v>-</v>
      </c>
      <c r="CB277" s="72">
        <f t="shared" si="1572"/>
        <v>148</v>
      </c>
      <c r="CC277" s="71">
        <f t="shared" si="1573"/>
        <v>186</v>
      </c>
      <c r="CD277" s="72">
        <f t="shared" si="1574"/>
        <v>194</v>
      </c>
      <c r="CE277" s="71">
        <f t="shared" si="1575"/>
        <v>244</v>
      </c>
      <c r="CF277" s="72">
        <f t="shared" si="1576"/>
        <v>293</v>
      </c>
      <c r="CG277" s="71">
        <f t="shared" si="1577"/>
        <v>319</v>
      </c>
      <c r="CH277" s="70">
        <f t="shared" si="1578"/>
        <v>62</v>
      </c>
      <c r="CI277" s="71">
        <f t="shared" si="1579"/>
        <v>66</v>
      </c>
      <c r="CJ277" s="72">
        <f t="shared" si="1580"/>
        <v>99</v>
      </c>
      <c r="CK277" s="72">
        <f t="shared" si="1581"/>
        <v>103</v>
      </c>
      <c r="CL277" s="72">
        <f t="shared" si="1582"/>
        <v>139</v>
      </c>
      <c r="CM277" s="72" t="str">
        <f t="shared" si="1583"/>
        <v>-</v>
      </c>
      <c r="CN277" s="72">
        <f t="shared" si="1584"/>
        <v>172</v>
      </c>
      <c r="CO277" s="72">
        <f t="shared" si="1585"/>
        <v>188</v>
      </c>
      <c r="CP277" s="72">
        <f t="shared" si="1586"/>
        <v>239</v>
      </c>
      <c r="CQ277" s="72">
        <f t="shared" si="1587"/>
        <v>287</v>
      </c>
      <c r="CR277" s="72">
        <f t="shared" si="1588"/>
        <v>318</v>
      </c>
      <c r="CS277" s="72">
        <f t="shared" si="1589"/>
        <v>330</v>
      </c>
      <c r="CT277" s="23">
        <f t="shared" si="1590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2"/>
    </row>
    <row r="278" spans="1:1030" x14ac:dyDescent="0.2">
      <c r="A278" s="3" t="str">
        <f t="shared" si="1591"/>
        <v>ox1r_human__wt</v>
      </c>
      <c r="B278" s="3" t="s">
        <v>1174</v>
      </c>
      <c r="C278" s="3" t="s">
        <v>100</v>
      </c>
      <c r="D278" s="3" t="str">
        <f>IFERROR(MID(VLOOKUP($B278,Seqs!$A:$B,2,0),E278,1),"")</f>
        <v>E</v>
      </c>
      <c r="E278" s="3">
        <v>46</v>
      </c>
      <c r="F278" s="3" t="str">
        <f>IFERROR(MID(VLOOKUP($B278,Seqs!$A:$B,2,0),G278,1),"")</f>
        <v>N</v>
      </c>
      <c r="G278" s="3">
        <v>74</v>
      </c>
      <c r="H278" s="3" t="str">
        <f>IFERROR(MID(VLOOKUP($B278,Seqs!$A:$B,2,0),I278,1),"")</f>
        <v>H</v>
      </c>
      <c r="I278" s="23">
        <v>75</v>
      </c>
      <c r="J278" s="3" t="str">
        <f>IFERROR(MID(VLOOKUP($B278,Seqs!$A:$B,2,0),K278,1),"")</f>
        <v>R</v>
      </c>
      <c r="K278" s="23">
        <v>78</v>
      </c>
      <c r="L278" s="3" t="str">
        <f>IFERROR(MID(VLOOKUP($B278,Seqs!$A:$B,2,0),M278,1),"")</f>
        <v>T</v>
      </c>
      <c r="M278" s="3">
        <v>79</v>
      </c>
      <c r="N278" s="3" t="str">
        <f>IFERROR(MID(VLOOKUP($B278,Seqs!$A:$B,2,0),O278,1),"")</f>
        <v>T</v>
      </c>
      <c r="O278" s="3">
        <v>109</v>
      </c>
      <c r="P278" s="3" t="str">
        <f>IFERROR(MID(VLOOKUP($B278,Seqs!$A:$B,2,0),Q278,1),"")</f>
        <v>S</v>
      </c>
      <c r="Q278" s="3">
        <v>111</v>
      </c>
      <c r="R278" s="3" t="str">
        <f>IFERROR(MID(VLOOKUP($B278,Seqs!$A:$B,2,0),S278,1),"")</f>
        <v>F</v>
      </c>
      <c r="S278" s="3">
        <v>114</v>
      </c>
      <c r="T278" s="3" t="str">
        <f>IFERROR(MID(VLOOKUP($B278,Seqs!$A:$B,2,0),U278,1),"")</f>
        <v>G</v>
      </c>
      <c r="U278" s="3">
        <v>115</v>
      </c>
      <c r="V278" s="3" t="str">
        <f>IFERROR(MID(VLOOKUP($B278,Seqs!$A:$B,2,0),W278,1),"")</f>
        <v>H</v>
      </c>
      <c r="W278" s="3">
        <v>150</v>
      </c>
      <c r="X278" s="3" t="str">
        <f>IFERROR(MID(VLOOKUP($B278,Seqs!$A:$B,2,0),Y278,1),"")</f>
        <v>P</v>
      </c>
      <c r="Y278" s="3">
        <v>151</v>
      </c>
      <c r="Z278" s="3" t="str">
        <f>IFERROR(MID(VLOOKUP($B278,Seqs!$A:$B,2,0),AA278,1),"")</f>
        <v>F</v>
      </c>
      <c r="AA278" s="73">
        <v>154</v>
      </c>
      <c r="AB278" s="3" t="str">
        <f>IFERROR(MID(VLOOKUP($B278,Seqs!$A:$B,2,0),AC278,1),"")</f>
        <v>T</v>
      </c>
      <c r="AC278" s="9">
        <v>157</v>
      </c>
      <c r="AD278" s="3" t="str">
        <f>IFERROR(MID(VLOOKUP($B278,Seqs!$A:$B,2,0),AE278,1),"")</f>
        <v>M</v>
      </c>
      <c r="AE278" s="3">
        <v>183</v>
      </c>
      <c r="AF278" s="3" t="str">
        <f>IFERROR(MID(VLOOKUP($B278,Seqs!$A:$B,2,0),AG278,1),"")</f>
        <v>C</v>
      </c>
      <c r="AG278" s="3">
        <v>202</v>
      </c>
      <c r="AH278" s="3" t="str">
        <f>IFERROR(MID(VLOOKUP($B278,Seqs!$A:$B,2,0),AI278,1),"")</f>
        <v>E</v>
      </c>
      <c r="AI278" s="3">
        <v>204</v>
      </c>
      <c r="AJ278" s="3" t="str">
        <f>IFERROR(MID(VLOOKUP($B278,Seqs!$A:$B,2,0),AK278,1),"")</f>
        <v>D</v>
      </c>
      <c r="AK278" s="3">
        <v>209</v>
      </c>
      <c r="AL278" s="3" t="str">
        <f>IFERROR(MID(VLOOKUP($B278,Seqs!$A:$B,2,0),AM278,1),"")</f>
        <v>P</v>
      </c>
      <c r="AM278" s="3">
        <v>248</v>
      </c>
      <c r="AN278" s="3" t="str">
        <f>IFERROR(MID(VLOOKUP($B278,Seqs!$A:$B,2,0),AO278,1),"")</f>
        <v>F</v>
      </c>
      <c r="AO278" s="3">
        <v>283</v>
      </c>
      <c r="AP278" s="3" t="str">
        <f>IFERROR(MID(VLOOKUP($B278,Seqs!$A:$B,2,0),AQ278,1),"")</f>
        <v>F</v>
      </c>
      <c r="AQ278" s="3">
        <v>324</v>
      </c>
      <c r="AR278" s="3" t="str">
        <f>IFERROR(MID(VLOOKUP($B278,Seqs!$A:$B,2,0),AS278,1),"")</f>
        <v>R</v>
      </c>
      <c r="AS278" s="3">
        <v>333</v>
      </c>
      <c r="AT278" s="3" t="str">
        <f>IFERROR(MID(VLOOKUP($B278,Seqs!$A:$B,2,0),AU278,1),"")</f>
        <v>L</v>
      </c>
      <c r="AU278" s="3">
        <v>361</v>
      </c>
      <c r="AV278" s="3" t="str">
        <f>IFERROR(MID(VLOOKUP($B278,Seqs!$A:$B,2,0),AW278,1),"")</f>
        <v>S</v>
      </c>
      <c r="AW278" s="3">
        <v>362</v>
      </c>
      <c r="AX278" s="3" t="str">
        <f>IFERROR(MID(VLOOKUP($B278,Seqs!$A:$B,2,0),AY278,1),"")</f>
        <v>F</v>
      </c>
      <c r="AY278" s="3">
        <v>373</v>
      </c>
      <c r="AZ278" s="77" t="str">
        <f>VLOOKUP(B278,Classification!A:D,2,0)</f>
        <v>A</v>
      </c>
      <c r="BA278" s="94" t="str">
        <f>VLOOKUP(B278,Classification!A:D,4,0)</f>
        <v>Orexin</v>
      </c>
      <c r="BB278" s="27" t="b">
        <f t="shared" si="1592"/>
        <v>1</v>
      </c>
      <c r="BC278" s="23">
        <f t="shared" si="1565"/>
        <v>261</v>
      </c>
      <c r="BD278" s="56" t="s">
        <v>23</v>
      </c>
      <c r="BE278" s="3" t="s">
        <v>23</v>
      </c>
      <c r="BF278" s="119" t="s">
        <v>23</v>
      </c>
      <c r="BG278" s="49" t="s">
        <v>1372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 t="shared" si="1566"/>
        <v>46</v>
      </c>
      <c r="BW278" s="71">
        <f t="shared" si="1567"/>
        <v>75</v>
      </c>
      <c r="BX278" s="72">
        <f t="shared" si="1568"/>
        <v>79</v>
      </c>
      <c r="BY278" s="71">
        <f t="shared" si="1569"/>
        <v>111</v>
      </c>
      <c r="BZ278" s="72">
        <f t="shared" si="1570"/>
        <v>115</v>
      </c>
      <c r="CA278" s="71">
        <f t="shared" si="1571"/>
        <v>151</v>
      </c>
      <c r="CB278" s="72">
        <f t="shared" si="1572"/>
        <v>157</v>
      </c>
      <c r="CC278" s="71">
        <f t="shared" si="1573"/>
        <v>202</v>
      </c>
      <c r="CD278" s="72">
        <f t="shared" si="1574"/>
        <v>209</v>
      </c>
      <c r="CE278" s="71">
        <f t="shared" si="1575"/>
        <v>283</v>
      </c>
      <c r="CF278" s="72">
        <f t="shared" si="1576"/>
        <v>333</v>
      </c>
      <c r="CG278" s="71">
        <f t="shared" si="1577"/>
        <v>362</v>
      </c>
      <c r="CH278" s="70">
        <f t="shared" si="1578"/>
        <v>74</v>
      </c>
      <c r="CI278" s="71">
        <f t="shared" si="1579"/>
        <v>78</v>
      </c>
      <c r="CJ278" s="72">
        <f t="shared" si="1580"/>
        <v>109</v>
      </c>
      <c r="CK278" s="72">
        <f t="shared" si="1581"/>
        <v>114</v>
      </c>
      <c r="CL278" s="72">
        <f t="shared" si="1582"/>
        <v>150</v>
      </c>
      <c r="CM278" s="72">
        <f t="shared" si="1583"/>
        <v>154</v>
      </c>
      <c r="CN278" s="72">
        <f t="shared" si="1584"/>
        <v>183</v>
      </c>
      <c r="CO278" s="72">
        <f t="shared" si="1585"/>
        <v>204</v>
      </c>
      <c r="CP278" s="72">
        <f t="shared" si="1586"/>
        <v>248</v>
      </c>
      <c r="CQ278" s="72">
        <f t="shared" si="1587"/>
        <v>324</v>
      </c>
      <c r="CR278" s="72">
        <f t="shared" si="1588"/>
        <v>361</v>
      </c>
      <c r="CS278" s="72">
        <f t="shared" si="1589"/>
        <v>373</v>
      </c>
      <c r="CT278" s="23">
        <f t="shared" si="1590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591"/>
        <v>ox1r_human_4ZJ8</v>
      </c>
      <c r="B279" s="3" t="s">
        <v>1174</v>
      </c>
      <c r="C279" s="3" t="s">
        <v>90</v>
      </c>
      <c r="D279" s="3" t="str">
        <f>IFERROR(MID(VLOOKUP($B279,Seqs!$A:$B,2,0),E279,1),"")</f>
        <v>E</v>
      </c>
      <c r="E279" s="3">
        <v>46</v>
      </c>
      <c r="F279" s="3" t="str">
        <f>IFERROR(MID(VLOOKUP($B279,Seqs!$A:$B,2,0),G279,1),"")</f>
        <v>N</v>
      </c>
      <c r="G279" s="3">
        <v>74</v>
      </c>
      <c r="H279" s="3" t="str">
        <f>IFERROR(MID(VLOOKUP($B279,Seqs!$A:$B,2,0),I279,1),"")</f>
        <v>H</v>
      </c>
      <c r="I279" s="23">
        <v>75</v>
      </c>
      <c r="J279" s="3" t="str">
        <f>IFERROR(MID(VLOOKUP($B279,Seqs!$A:$B,2,0),K279,1),"")</f>
        <v>R</v>
      </c>
      <c r="K279" s="23">
        <v>78</v>
      </c>
      <c r="L279" s="3" t="str">
        <f>IFERROR(MID(VLOOKUP($B279,Seqs!$A:$B,2,0),M279,1),"")</f>
        <v>T</v>
      </c>
      <c r="M279" s="3">
        <v>79</v>
      </c>
      <c r="N279" s="3" t="str">
        <f>IFERROR(MID(VLOOKUP($B279,Seqs!$A:$B,2,0),O279,1),"")</f>
        <v>T</v>
      </c>
      <c r="O279" s="3">
        <v>109</v>
      </c>
      <c r="P279" s="3" t="str">
        <f>IFERROR(MID(VLOOKUP($B279,Seqs!$A:$B,2,0),Q279,1),"")</f>
        <v>S</v>
      </c>
      <c r="Q279" s="3">
        <v>111</v>
      </c>
      <c r="R279" s="3" t="str">
        <f>IFERROR(MID(VLOOKUP($B279,Seqs!$A:$B,2,0),S279,1),"")</f>
        <v>F</v>
      </c>
      <c r="S279" s="3">
        <v>114</v>
      </c>
      <c r="T279" s="3" t="str">
        <f>IFERROR(MID(VLOOKUP($B279,Seqs!$A:$B,2,0),U279,1),"")</f>
        <v>G</v>
      </c>
      <c r="U279" s="3">
        <v>115</v>
      </c>
      <c r="V279" s="3" t="str">
        <f>IFERROR(MID(VLOOKUP($B279,Seqs!$A:$B,2,0),W279,1),"")</f>
        <v>H</v>
      </c>
      <c r="W279" s="3">
        <v>150</v>
      </c>
      <c r="X279" s="3" t="str">
        <f>IFERROR(MID(VLOOKUP($B279,Seqs!$A:$B,2,0),Y279,1),"")</f>
        <v>P</v>
      </c>
      <c r="Y279" s="3">
        <v>151</v>
      </c>
      <c r="Z279" s="3" t="str">
        <f>IFERROR(MID(VLOOKUP($B279,Seqs!$A:$B,2,0),AA279,1),"")</f>
        <v>F</v>
      </c>
      <c r="AA279" s="3">
        <v>154</v>
      </c>
      <c r="AB279" s="3" t="str">
        <f>IFERROR(MID(VLOOKUP($B279,Seqs!$A:$B,2,0),AC279,1),"")</f>
        <v>T</v>
      </c>
      <c r="AC279" s="9">
        <v>157</v>
      </c>
      <c r="AD279" s="3" t="str">
        <f>IFERROR(MID(VLOOKUP($B279,Seqs!$A:$B,2,0),AE279,1),"")</f>
        <v>M</v>
      </c>
      <c r="AE279" s="3">
        <v>183</v>
      </c>
      <c r="AF279" s="3" t="str">
        <f>IFERROR(MID(VLOOKUP($B279,Seqs!$A:$B,2,0),AG279,1),"")</f>
        <v>C</v>
      </c>
      <c r="AG279" s="3">
        <v>202</v>
      </c>
      <c r="AH279" s="3" t="str">
        <f>IFERROR(MID(VLOOKUP($B279,Seqs!$A:$B,2,0),AI279,1),"")</f>
        <v>E</v>
      </c>
      <c r="AI279" s="3">
        <v>204</v>
      </c>
      <c r="AJ279" s="3" t="str">
        <f>IFERROR(MID(VLOOKUP($B279,Seqs!$A:$B,2,0),AK279,1),"")</f>
        <v>D</v>
      </c>
      <c r="AK279" s="3">
        <v>209</v>
      </c>
      <c r="AL279" s="3" t="str">
        <f>IFERROR(MID(VLOOKUP($B279,Seqs!$A:$B,2,0),AM279,1),"")</f>
        <v>L</v>
      </c>
      <c r="AM279" s="3">
        <v>242</v>
      </c>
      <c r="AN279" s="3" t="str">
        <f>IFERROR(MID(VLOOKUP($B279,Seqs!$A:$B,2,0),AO279,1),"")</f>
        <v>K</v>
      </c>
      <c r="AO279" s="3">
        <v>288</v>
      </c>
      <c r="AP279" s="3" t="str">
        <f>IFERROR(MID(VLOOKUP($B279,Seqs!$A:$B,2,0),AQ279,1),"")</f>
        <v>F</v>
      </c>
      <c r="AQ279" s="3">
        <v>324</v>
      </c>
      <c r="AR279" s="3" t="str">
        <f>IFERROR(MID(VLOOKUP($B279,Seqs!$A:$B,2,0),AS279,1),"")</f>
        <v>R</v>
      </c>
      <c r="AS279" s="3">
        <v>333</v>
      </c>
      <c r="AT279" s="3" t="str">
        <f>IFERROR(MID(VLOOKUP($B279,Seqs!$A:$B,2,0),AU279,1),"")</f>
        <v>L</v>
      </c>
      <c r="AU279" s="3">
        <v>361</v>
      </c>
      <c r="AV279" s="3" t="str">
        <f>IFERROR(MID(VLOOKUP($B279,Seqs!$A:$B,2,0),AW279,1),"")</f>
        <v>S</v>
      </c>
      <c r="AW279" s="3">
        <v>362</v>
      </c>
      <c r="AX279" s="3" t="str">
        <f>IFERROR(MID(VLOOKUP($B279,Seqs!$A:$B,2,0),AY279,1),"")</f>
        <v>F</v>
      </c>
      <c r="AY279" s="3">
        <v>373</v>
      </c>
      <c r="AZ279" s="77" t="str">
        <f>VLOOKUP(B279,Classification!A:D,2,0)</f>
        <v>A</v>
      </c>
      <c r="BA279" s="94" t="str">
        <f>VLOOKUP(B279,Classification!A:D,4,0)</f>
        <v>Orexin</v>
      </c>
      <c r="BB279" s="27" t="b">
        <f t="shared" si="1592"/>
        <v>1</v>
      </c>
      <c r="BC279" s="23">
        <f t="shared" si="1565"/>
        <v>250</v>
      </c>
      <c r="BD279" s="4" t="s">
        <v>1376</v>
      </c>
      <c r="BE279" s="3" t="s">
        <v>1374</v>
      </c>
      <c r="BF279" s="119">
        <v>2.75</v>
      </c>
      <c r="BG279" s="49" t="s">
        <v>1377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 t="shared" si="1566"/>
        <v>46</v>
      </c>
      <c r="BW279" s="71">
        <f t="shared" si="1567"/>
        <v>75</v>
      </c>
      <c r="BX279" s="72">
        <f t="shared" si="1568"/>
        <v>79</v>
      </c>
      <c r="BY279" s="71">
        <f t="shared" si="1569"/>
        <v>111</v>
      </c>
      <c r="BZ279" s="72">
        <f t="shared" si="1570"/>
        <v>115</v>
      </c>
      <c r="CA279" s="71">
        <f t="shared" si="1571"/>
        <v>151</v>
      </c>
      <c r="CB279" s="72">
        <f t="shared" si="1572"/>
        <v>157</v>
      </c>
      <c r="CC279" s="71">
        <f t="shared" si="1573"/>
        <v>202</v>
      </c>
      <c r="CD279" s="72">
        <f t="shared" si="1574"/>
        <v>209</v>
      </c>
      <c r="CE279" s="71">
        <f t="shared" si="1575"/>
        <v>288</v>
      </c>
      <c r="CF279" s="72">
        <f t="shared" si="1576"/>
        <v>333</v>
      </c>
      <c r="CG279" s="71">
        <f t="shared" si="1577"/>
        <v>362</v>
      </c>
      <c r="CH279" s="70">
        <f t="shared" si="1578"/>
        <v>74</v>
      </c>
      <c r="CI279" s="71">
        <f t="shared" si="1579"/>
        <v>78</v>
      </c>
      <c r="CJ279" s="72">
        <f t="shared" si="1580"/>
        <v>109</v>
      </c>
      <c r="CK279" s="72">
        <f t="shared" si="1581"/>
        <v>114</v>
      </c>
      <c r="CL279" s="72">
        <f t="shared" si="1582"/>
        <v>150</v>
      </c>
      <c r="CM279" s="72">
        <f t="shared" si="1583"/>
        <v>154</v>
      </c>
      <c r="CN279" s="72">
        <f t="shared" si="1584"/>
        <v>183</v>
      </c>
      <c r="CO279" s="72">
        <f t="shared" si="1585"/>
        <v>204</v>
      </c>
      <c r="CP279" s="72">
        <f t="shared" si="1586"/>
        <v>242</v>
      </c>
      <c r="CQ279" s="72">
        <f t="shared" si="1587"/>
        <v>324</v>
      </c>
      <c r="CR279" s="72">
        <f t="shared" si="1588"/>
        <v>361</v>
      </c>
      <c r="CS279" s="72">
        <f t="shared" si="1589"/>
        <v>373</v>
      </c>
      <c r="CT279" s="23">
        <f t="shared" si="1590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2"/>
    </row>
    <row r="280" spans="1:1030" x14ac:dyDescent="0.2">
      <c r="A280" s="3" t="str">
        <f t="shared" si="1591"/>
        <v>ox1r_human_4ZJC</v>
      </c>
      <c r="B280" s="3" t="s">
        <v>1174</v>
      </c>
      <c r="C280" s="3" t="s">
        <v>91</v>
      </c>
      <c r="D280" s="3" t="str">
        <f>IFERROR(MID(VLOOKUP($B280,Seqs!$A:$B,2,0),E280,1),"")</f>
        <v>E</v>
      </c>
      <c r="E280" s="3">
        <v>46</v>
      </c>
      <c r="F280" s="3" t="str">
        <f>IFERROR(MID(VLOOKUP($B280,Seqs!$A:$B,2,0),G280,1),"")</f>
        <v>N</v>
      </c>
      <c r="G280" s="3">
        <v>74</v>
      </c>
      <c r="H280" s="3" t="str">
        <f>IFERROR(MID(VLOOKUP($B280,Seqs!$A:$B,2,0),I280,1),"")</f>
        <v>H</v>
      </c>
      <c r="I280" s="23">
        <v>75</v>
      </c>
      <c r="J280" s="3" t="str">
        <f>IFERROR(MID(VLOOKUP($B280,Seqs!$A:$B,2,0),K280,1),"")</f>
        <v>R</v>
      </c>
      <c r="K280" s="23">
        <v>78</v>
      </c>
      <c r="L280" s="3" t="str">
        <f>IFERROR(MID(VLOOKUP($B280,Seqs!$A:$B,2,0),M280,1),"")</f>
        <v>T</v>
      </c>
      <c r="M280" s="3">
        <v>79</v>
      </c>
      <c r="N280" s="3" t="str">
        <f>IFERROR(MID(VLOOKUP($B280,Seqs!$A:$B,2,0),O280,1),"")</f>
        <v>T</v>
      </c>
      <c r="O280" s="3">
        <v>109</v>
      </c>
      <c r="P280" s="3" t="str">
        <f>IFERROR(MID(VLOOKUP($B280,Seqs!$A:$B,2,0),Q280,1),"")</f>
        <v>S</v>
      </c>
      <c r="Q280" s="3">
        <v>111</v>
      </c>
      <c r="R280" s="3" t="str">
        <f>IFERROR(MID(VLOOKUP($B280,Seqs!$A:$B,2,0),S280,1),"")</f>
        <v>F</v>
      </c>
      <c r="S280" s="3">
        <v>114</v>
      </c>
      <c r="T280" s="3" t="str">
        <f>IFERROR(MID(VLOOKUP($B280,Seqs!$A:$B,2,0),U280,1),"")</f>
        <v>G</v>
      </c>
      <c r="U280" s="3">
        <v>115</v>
      </c>
      <c r="V280" s="3" t="str">
        <f>IFERROR(MID(VLOOKUP($B280,Seqs!$A:$B,2,0),W280,1),"")</f>
        <v>H</v>
      </c>
      <c r="W280" s="3">
        <v>150</v>
      </c>
      <c r="X280" s="3" t="str">
        <f>IFERROR(MID(VLOOKUP($B280,Seqs!$A:$B,2,0),Y280,1),"")</f>
        <v>P</v>
      </c>
      <c r="Y280" s="3">
        <v>151</v>
      </c>
      <c r="Z280" s="3" t="str">
        <f>IFERROR(MID(VLOOKUP($B280,Seqs!$A:$B,2,0),AA280,1),"")</f>
        <v>F</v>
      </c>
      <c r="AA280" s="3">
        <v>154</v>
      </c>
      <c r="AB280" s="3" t="str">
        <f>IFERROR(MID(VLOOKUP($B280,Seqs!$A:$B,2,0),AC280,1),"")</f>
        <v>T</v>
      </c>
      <c r="AC280" s="9">
        <v>157</v>
      </c>
      <c r="AD280" s="3" t="str">
        <f>IFERROR(MID(VLOOKUP($B280,Seqs!$A:$B,2,0),AE280,1),"")</f>
        <v>M</v>
      </c>
      <c r="AE280" s="3">
        <v>183</v>
      </c>
      <c r="AF280" s="3" t="str">
        <f>IFERROR(MID(VLOOKUP($B280,Seqs!$A:$B,2,0),AG280,1),"")</f>
        <v>C</v>
      </c>
      <c r="AG280" s="3">
        <v>202</v>
      </c>
      <c r="AH280" s="3" t="str">
        <f>IFERROR(MID(VLOOKUP($B280,Seqs!$A:$B,2,0),AI280,1),"")</f>
        <v>E</v>
      </c>
      <c r="AI280" s="3">
        <v>204</v>
      </c>
      <c r="AJ280" s="3" t="str">
        <f>IFERROR(MID(VLOOKUP($B280,Seqs!$A:$B,2,0),AK280,1),"")</f>
        <v>D</v>
      </c>
      <c r="AK280" s="3">
        <v>209</v>
      </c>
      <c r="AL280" s="3" t="str">
        <f>IFERROR(MID(VLOOKUP($B280,Seqs!$A:$B,2,0),AM280,1),"")</f>
        <v>L</v>
      </c>
      <c r="AM280" s="3">
        <v>242</v>
      </c>
      <c r="AN280" s="3" t="str">
        <f>IFERROR(MID(VLOOKUP($B280,Seqs!$A:$B,2,0),AO280,1),"")</f>
        <v>K</v>
      </c>
      <c r="AO280" s="3">
        <v>288</v>
      </c>
      <c r="AP280" s="3" t="str">
        <f>IFERROR(MID(VLOOKUP($B280,Seqs!$A:$B,2,0),AQ280,1),"")</f>
        <v>F</v>
      </c>
      <c r="AQ280" s="3">
        <v>324</v>
      </c>
      <c r="AR280" s="3" t="str">
        <f>IFERROR(MID(VLOOKUP($B280,Seqs!$A:$B,2,0),AS280,1),"")</f>
        <v>R</v>
      </c>
      <c r="AS280" s="3">
        <v>333</v>
      </c>
      <c r="AT280" s="3" t="str">
        <f>IFERROR(MID(VLOOKUP($B280,Seqs!$A:$B,2,0),AU280,1),"")</f>
        <v>L</v>
      </c>
      <c r="AU280" s="3">
        <v>361</v>
      </c>
      <c r="AV280" s="3" t="str">
        <f>IFERROR(MID(VLOOKUP($B280,Seqs!$A:$B,2,0),AW280,1),"")</f>
        <v>S</v>
      </c>
      <c r="AW280" s="3">
        <v>362</v>
      </c>
      <c r="AX280" s="3" t="str">
        <f>IFERROR(MID(VLOOKUP($B280,Seqs!$A:$B,2,0),AY280,1),"")</f>
        <v>F</v>
      </c>
      <c r="AY280" s="3">
        <v>373</v>
      </c>
      <c r="AZ280" s="77" t="str">
        <f>VLOOKUP(B280,Classification!A:D,2,0)</f>
        <v>A</v>
      </c>
      <c r="BA280" s="94" t="str">
        <f>VLOOKUP(B280,Classification!A:D,4,0)</f>
        <v>Orexin</v>
      </c>
      <c r="BB280" s="27" t="b">
        <f t="shared" si="1592"/>
        <v>1</v>
      </c>
      <c r="BC280" s="23">
        <f t="shared" si="1565"/>
        <v>250</v>
      </c>
      <c r="BD280" s="2" t="s">
        <v>23</v>
      </c>
      <c r="BE280" s="3" t="s">
        <v>1374</v>
      </c>
      <c r="BF280" s="119">
        <v>2.83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si="1566"/>
        <v>46</v>
      </c>
      <c r="BW280" s="71">
        <f t="shared" si="1567"/>
        <v>75</v>
      </c>
      <c r="BX280" s="72">
        <f t="shared" si="1568"/>
        <v>79</v>
      </c>
      <c r="BY280" s="71">
        <f t="shared" si="1569"/>
        <v>111</v>
      </c>
      <c r="BZ280" s="72">
        <f t="shared" si="1570"/>
        <v>115</v>
      </c>
      <c r="CA280" s="71">
        <f t="shared" si="1571"/>
        <v>151</v>
      </c>
      <c r="CB280" s="72">
        <f t="shared" si="1572"/>
        <v>157</v>
      </c>
      <c r="CC280" s="71">
        <f t="shared" si="1573"/>
        <v>202</v>
      </c>
      <c r="CD280" s="72">
        <f t="shared" si="1574"/>
        <v>209</v>
      </c>
      <c r="CE280" s="71">
        <f t="shared" si="1575"/>
        <v>288</v>
      </c>
      <c r="CF280" s="72">
        <f t="shared" si="1576"/>
        <v>333</v>
      </c>
      <c r="CG280" s="71">
        <f t="shared" si="1577"/>
        <v>362</v>
      </c>
      <c r="CH280" s="70">
        <f t="shared" si="1578"/>
        <v>74</v>
      </c>
      <c r="CI280" s="71">
        <f t="shared" si="1579"/>
        <v>78</v>
      </c>
      <c r="CJ280" s="72">
        <f t="shared" si="1580"/>
        <v>109</v>
      </c>
      <c r="CK280" s="72">
        <f t="shared" si="1581"/>
        <v>114</v>
      </c>
      <c r="CL280" s="72">
        <f t="shared" si="1582"/>
        <v>150</v>
      </c>
      <c r="CM280" s="72">
        <f t="shared" si="1583"/>
        <v>154</v>
      </c>
      <c r="CN280" s="72">
        <f t="shared" si="1584"/>
        <v>183</v>
      </c>
      <c r="CO280" s="72">
        <f t="shared" si="1585"/>
        <v>204</v>
      </c>
      <c r="CP280" s="72">
        <f t="shared" si="1586"/>
        <v>242</v>
      </c>
      <c r="CQ280" s="72">
        <f t="shared" si="1587"/>
        <v>324</v>
      </c>
      <c r="CR280" s="72">
        <f t="shared" si="1588"/>
        <v>361</v>
      </c>
      <c r="CS280" s="72">
        <f t="shared" si="1589"/>
        <v>373</v>
      </c>
      <c r="CT280" s="23">
        <f t="shared" si="1590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2"/>
    </row>
    <row r="281" spans="1:1030" x14ac:dyDescent="0.2">
      <c r="A281" s="3" t="str">
        <f t="shared" si="1591"/>
        <v>ox2r_human__wt</v>
      </c>
      <c r="B281" s="3" t="s">
        <v>1175</v>
      </c>
      <c r="C281" s="3" t="s">
        <v>100</v>
      </c>
      <c r="D281" s="3" t="str">
        <f>IFERROR(MID(VLOOKUP($B281,Seqs!$A:$B,2,0),E281,1),"")</f>
        <v>Y</v>
      </c>
      <c r="E281" s="3">
        <v>53</v>
      </c>
      <c r="F281" s="3" t="str">
        <f>IFERROR(MID(VLOOKUP($B281,Seqs!$A:$B,2,0),G281,1),"")</f>
        <v>N</v>
      </c>
      <c r="G281" s="3">
        <v>82</v>
      </c>
      <c r="H281" s="3" t="str">
        <f>IFERROR(MID(VLOOKUP($B281,Seqs!$A:$B,2,0),I281,1),"")</f>
        <v>H</v>
      </c>
      <c r="I281" s="23">
        <v>83</v>
      </c>
      <c r="J281" s="3" t="str">
        <f>IFERROR(MID(VLOOKUP($B281,Seqs!$A:$B,2,0),K281,1),"")</f>
        <v>R</v>
      </c>
      <c r="K281" s="23">
        <v>86</v>
      </c>
      <c r="L281" s="3" t="str">
        <f>IFERROR(MID(VLOOKUP($B281,Seqs!$A:$B,2,0),M281,1),"")</f>
        <v>T</v>
      </c>
      <c r="M281" s="3">
        <v>87</v>
      </c>
      <c r="N281" s="3" t="str">
        <f>IFERROR(MID(VLOOKUP($B281,Seqs!$A:$B,2,0),O281,1),"")</f>
        <v>E</v>
      </c>
      <c r="O281" s="105">
        <v>118</v>
      </c>
      <c r="P281" s="3" t="str">
        <f>IFERROR(MID(VLOOKUP($B281,Seqs!$A:$B,2,0),Q281,1),"")</f>
        <v>T</v>
      </c>
      <c r="Q281" s="3">
        <v>119</v>
      </c>
      <c r="R281" s="3" t="str">
        <f>IFERROR(MID(VLOOKUP($B281,Seqs!$A:$B,2,0),S281,1),"")</f>
        <v>F</v>
      </c>
      <c r="S281" s="3">
        <v>122</v>
      </c>
      <c r="T281" s="3" t="str">
        <f>IFERROR(MID(VLOOKUP($B281,Seqs!$A:$B,2,0),U281,1),"")</f>
        <v>G</v>
      </c>
      <c r="U281" s="3">
        <v>123</v>
      </c>
      <c r="V281" s="3" t="str">
        <f>IFERROR(MID(VLOOKUP($B281,Seqs!$A:$B,2,0),W281,1),"")</f>
        <v>H</v>
      </c>
      <c r="W281" s="3">
        <v>158</v>
      </c>
      <c r="X281" s="3" t="str">
        <f>IFERROR(MID(VLOOKUP($B281,Seqs!$A:$B,2,0),Y281,1),"")</f>
        <v>P</v>
      </c>
      <c r="Y281" s="3">
        <v>159</v>
      </c>
      <c r="Z281" s="3" t="str">
        <f>IFERROR(MID(VLOOKUP($B281,Seqs!$A:$B,2,0),AA281,1),"")</f>
        <v>F</v>
      </c>
      <c r="AA281" s="73">
        <v>162</v>
      </c>
      <c r="AB281" s="3" t="str">
        <f>IFERROR(MID(VLOOKUP($B281,Seqs!$A:$B,2,0),AC281,1),"")</f>
        <v>T</v>
      </c>
      <c r="AC281" s="9">
        <v>165</v>
      </c>
      <c r="AD281" s="3" t="str">
        <f>IFERROR(MID(VLOOKUP($B281,Seqs!$A:$B,2,0),AE281,1),"")</f>
        <v>M</v>
      </c>
      <c r="AE281" s="3">
        <v>191</v>
      </c>
      <c r="AF281" s="3" t="str">
        <f>IFERROR(MID(VLOOKUP($B281,Seqs!$A:$B,2,0),AG281,1),"")</f>
        <v>C</v>
      </c>
      <c r="AG281" s="3">
        <v>210</v>
      </c>
      <c r="AH281" s="3" t="str">
        <f>IFERROR(MID(VLOOKUP($B281,Seqs!$A:$B,2,0),AI281,1),"")</f>
        <v>E</v>
      </c>
      <c r="AI281" s="3">
        <v>212</v>
      </c>
      <c r="AJ281" s="3" t="str">
        <f>IFERROR(MID(VLOOKUP($B281,Seqs!$A:$B,2,0),AK281,1),"")</f>
        <v>I</v>
      </c>
      <c r="AK281" s="105">
        <v>218</v>
      </c>
      <c r="AL281" s="3" t="str">
        <f>IFERROR(MID(VLOOKUP($B281,Seqs!$A:$B,2,0),AM281,1),"")</f>
        <v>P</v>
      </c>
      <c r="AM281" s="3">
        <v>256</v>
      </c>
      <c r="AN281" s="3" t="str">
        <f>IFERROR(MID(VLOOKUP($B281,Seqs!$A:$B,2,0),AO281,1),"")</f>
        <v>V</v>
      </c>
      <c r="AO281" s="3">
        <v>289</v>
      </c>
      <c r="AP281" s="3" t="str">
        <f>IFERROR(MID(VLOOKUP($B281,Seqs!$A:$B,2,0),AQ281,1),"")</f>
        <v>F</v>
      </c>
      <c r="AQ281" s="3">
        <v>330</v>
      </c>
      <c r="AR281" s="3" t="str">
        <f>IFERROR(MID(VLOOKUP($B281,Seqs!$A:$B,2,0),AS281,1),"")</f>
        <v>D</v>
      </c>
      <c r="AS281" s="105">
        <v>338</v>
      </c>
      <c r="AT281" s="3" t="str">
        <f>IFERROR(MID(VLOOKUP($B281,Seqs!$A:$B,2,0),AU281,1),"")</f>
        <v>L</v>
      </c>
      <c r="AU281" s="3">
        <v>367</v>
      </c>
      <c r="AV281" s="3" t="str">
        <f>IFERROR(MID(VLOOKUP($B281,Seqs!$A:$B,2,0),AW281,1),"")</f>
        <v>S</v>
      </c>
      <c r="AW281" s="3">
        <v>368</v>
      </c>
      <c r="AX281" s="3" t="str">
        <f>IFERROR(MID(VLOOKUP($B281,Seqs!$A:$B,2,0),AY281,1),"")</f>
        <v>F</v>
      </c>
      <c r="AY281" s="3">
        <v>379</v>
      </c>
      <c r="AZ281" s="77" t="str">
        <f>VLOOKUP(B281,Classification!A:D,2,0)</f>
        <v>A</v>
      </c>
      <c r="BA281" s="94" t="str">
        <f>VLOOKUP(B281,Classification!A:D,4,0)</f>
        <v>Orexin</v>
      </c>
      <c r="BB281" s="27" t="b">
        <f t="shared" si="1592"/>
        <v>1</v>
      </c>
      <c r="BC281" s="23">
        <f t="shared" si="1565"/>
        <v>263</v>
      </c>
      <c r="BD281" s="56" t="s">
        <v>23</v>
      </c>
      <c r="BE281" s="3" t="s">
        <v>23</v>
      </c>
      <c r="BF281" s="119" t="s">
        <v>23</v>
      </c>
      <c r="BG281" s="49" t="s">
        <v>1372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566"/>
        <v>53</v>
      </c>
      <c r="BW281" s="71">
        <f t="shared" si="1567"/>
        <v>83</v>
      </c>
      <c r="BX281" s="72">
        <f t="shared" si="1568"/>
        <v>87</v>
      </c>
      <c r="BY281" s="71">
        <f t="shared" si="1569"/>
        <v>119</v>
      </c>
      <c r="BZ281" s="72">
        <f t="shared" si="1570"/>
        <v>123</v>
      </c>
      <c r="CA281" s="71">
        <f t="shared" si="1571"/>
        <v>159</v>
      </c>
      <c r="CB281" s="72">
        <f t="shared" si="1572"/>
        <v>165</v>
      </c>
      <c r="CC281" s="71">
        <f t="shared" si="1573"/>
        <v>210</v>
      </c>
      <c r="CD281" s="72">
        <f t="shared" si="1574"/>
        <v>218</v>
      </c>
      <c r="CE281" s="71">
        <f t="shared" si="1575"/>
        <v>289</v>
      </c>
      <c r="CF281" s="72">
        <f t="shared" si="1576"/>
        <v>338</v>
      </c>
      <c r="CG281" s="71">
        <f t="shared" si="1577"/>
        <v>368</v>
      </c>
      <c r="CH281" s="70">
        <f t="shared" si="1578"/>
        <v>82</v>
      </c>
      <c r="CI281" s="71">
        <f t="shared" si="1579"/>
        <v>86</v>
      </c>
      <c r="CJ281" s="72">
        <f t="shared" si="1580"/>
        <v>118</v>
      </c>
      <c r="CK281" s="72">
        <f t="shared" si="1581"/>
        <v>122</v>
      </c>
      <c r="CL281" s="72">
        <f t="shared" si="1582"/>
        <v>158</v>
      </c>
      <c r="CM281" s="72">
        <f t="shared" si="1583"/>
        <v>162</v>
      </c>
      <c r="CN281" s="72">
        <f t="shared" si="1584"/>
        <v>191</v>
      </c>
      <c r="CO281" s="72">
        <f t="shared" si="1585"/>
        <v>212</v>
      </c>
      <c r="CP281" s="72">
        <f t="shared" si="1586"/>
        <v>256</v>
      </c>
      <c r="CQ281" s="72">
        <f t="shared" si="1587"/>
        <v>330</v>
      </c>
      <c r="CR281" s="72">
        <f t="shared" si="1588"/>
        <v>367</v>
      </c>
      <c r="CS281" s="72">
        <f t="shared" si="1589"/>
        <v>379</v>
      </c>
      <c r="CT281" s="23">
        <f t="shared" si="1590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591"/>
        <v>ox2r_human_4S0V</v>
      </c>
      <c r="B282" s="3" t="s">
        <v>1175</v>
      </c>
      <c r="C282" s="3" t="s">
        <v>92</v>
      </c>
      <c r="D282" s="3" t="str">
        <f>IFERROR(MID(VLOOKUP($B282,Seqs!$A:$B,2,0),E282,1),"")</f>
        <v>Y</v>
      </c>
      <c r="E282" s="3">
        <v>53</v>
      </c>
      <c r="F282" s="3" t="str">
        <f>IFERROR(MID(VLOOKUP($B282,Seqs!$A:$B,2,0),G282,1),"")</f>
        <v>N</v>
      </c>
      <c r="G282" s="3">
        <v>82</v>
      </c>
      <c r="H282" s="3" t="str">
        <f>IFERROR(MID(VLOOKUP($B282,Seqs!$A:$B,2,0),I282,1),"")</f>
        <v>H</v>
      </c>
      <c r="I282" s="23">
        <v>83</v>
      </c>
      <c r="J282" s="3" t="str">
        <f>IFERROR(MID(VLOOKUP($B282,Seqs!$A:$B,2,0),K282,1),"")</f>
        <v>R</v>
      </c>
      <c r="K282" s="23">
        <v>86</v>
      </c>
      <c r="L282" s="3" t="str">
        <f>IFERROR(MID(VLOOKUP($B282,Seqs!$A:$B,2,0),M282,1),"")</f>
        <v>T</v>
      </c>
      <c r="M282" s="3">
        <v>87</v>
      </c>
      <c r="N282" s="3" t="str">
        <f>IFERROR(MID(VLOOKUP($B282,Seqs!$A:$B,2,0),O282,1),"")</f>
        <v>E</v>
      </c>
      <c r="O282" s="105">
        <v>118</v>
      </c>
      <c r="P282" s="3" t="str">
        <f>IFERROR(MID(VLOOKUP($B282,Seqs!$A:$B,2,0),Q282,1),"")</f>
        <v>T</v>
      </c>
      <c r="Q282" s="3">
        <v>119</v>
      </c>
      <c r="R282" s="3" t="str">
        <f>IFERROR(MID(VLOOKUP($B282,Seqs!$A:$B,2,0),S282,1),"")</f>
        <v>F</v>
      </c>
      <c r="S282" s="3">
        <v>122</v>
      </c>
      <c r="T282" s="3" t="str">
        <f>IFERROR(MID(VLOOKUP($B282,Seqs!$A:$B,2,0),U282,1),"")</f>
        <v>G</v>
      </c>
      <c r="U282" s="3">
        <v>123</v>
      </c>
      <c r="V282" s="3" t="str">
        <f>IFERROR(MID(VLOOKUP($B282,Seqs!$A:$B,2,0),W282,1),"")</f>
        <v>H</v>
      </c>
      <c r="W282" s="3">
        <v>158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T</v>
      </c>
      <c r="AC282" s="9">
        <v>165</v>
      </c>
      <c r="AD282" s="3" t="str">
        <f>IFERROR(MID(VLOOKUP($B282,Seqs!$A:$B,2,0),AE282,1),"")</f>
        <v>M</v>
      </c>
      <c r="AE282" s="3">
        <v>191</v>
      </c>
      <c r="AF282" s="3" t="str">
        <f>IFERROR(MID(VLOOKUP($B282,Seqs!$A:$B,2,0),AG282,1),"")</f>
        <v>C</v>
      </c>
      <c r="AG282" s="3">
        <v>210</v>
      </c>
      <c r="AH282" s="3" t="str">
        <f>IFERROR(MID(VLOOKUP($B282,Seqs!$A:$B,2,0),AI282,1),"")</f>
        <v>E</v>
      </c>
      <c r="AI282" s="3">
        <v>212</v>
      </c>
      <c r="AJ282" s="3" t="str">
        <f>IFERROR(MID(VLOOKUP($B282,Seqs!$A:$B,2,0),AK282,1),"")</f>
        <v>I</v>
      </c>
      <c r="AK282" s="105">
        <v>218</v>
      </c>
      <c r="AL282" s="3" t="str">
        <f>IFERROR(MID(VLOOKUP($B282,Seqs!$A:$B,2,0),AM282,1),"")</f>
        <v>C</v>
      </c>
      <c r="AM282" s="105">
        <v>252</v>
      </c>
      <c r="AN282" s="3" t="str">
        <f>IFERROR(MID(VLOOKUP($B282,Seqs!$A:$B,2,0),AO282,1),"")</f>
        <v>K</v>
      </c>
      <c r="AO282" s="3">
        <v>294</v>
      </c>
      <c r="AP282" s="3" t="str">
        <f>IFERROR(MID(VLOOKUP($B282,Seqs!$A:$B,2,0),AQ282,1),"")</f>
        <v>F</v>
      </c>
      <c r="AQ282" s="3">
        <v>330</v>
      </c>
      <c r="AR282" s="3" t="str">
        <f>IFERROR(MID(VLOOKUP($B282,Seqs!$A:$B,2,0),AS282,1),"")</f>
        <v>R</v>
      </c>
      <c r="AS282" s="3">
        <v>339</v>
      </c>
      <c r="AT282" s="3" t="str">
        <f>IFERROR(MID(VLOOKUP($B282,Seqs!$A:$B,2,0),AU282,1),"")</f>
        <v>L</v>
      </c>
      <c r="AU282" s="3">
        <v>367</v>
      </c>
      <c r="AV282" s="3" t="str">
        <f>IFERROR(MID(VLOOKUP($B282,Seqs!$A:$B,2,0),AW282,1),"")</f>
        <v>S</v>
      </c>
      <c r="AW282" s="3">
        <v>368</v>
      </c>
      <c r="AX282" s="3" t="str">
        <f>IFERROR(MID(VLOOKUP($B282,Seqs!$A:$B,2,0),AY282,1),"")</f>
        <v>F</v>
      </c>
      <c r="AY282" s="3">
        <v>379</v>
      </c>
      <c r="AZ282" s="77" t="str">
        <f>VLOOKUP(B282,Classification!A:D,2,0)</f>
        <v>A</v>
      </c>
      <c r="BA282" s="94" t="str">
        <f>VLOOKUP(B282,Classification!A:D,4,0)</f>
        <v>Orexin</v>
      </c>
      <c r="BB282" s="27" t="b">
        <f t="shared" si="1592"/>
        <v>1</v>
      </c>
      <c r="BC282" s="23">
        <f t="shared" si="1565"/>
        <v>250</v>
      </c>
      <c r="BD282" s="2" t="s">
        <v>23</v>
      </c>
      <c r="BE282" s="3" t="s">
        <v>1374</v>
      </c>
      <c r="BF282" s="119">
        <v>2.5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566"/>
        <v>53</v>
      </c>
      <c r="BW282" s="71">
        <f t="shared" si="1567"/>
        <v>83</v>
      </c>
      <c r="BX282" s="72">
        <f t="shared" si="1568"/>
        <v>87</v>
      </c>
      <c r="BY282" s="71">
        <f t="shared" si="1569"/>
        <v>119</v>
      </c>
      <c r="BZ282" s="72">
        <f t="shared" si="1570"/>
        <v>123</v>
      </c>
      <c r="CA282" s="71" t="str">
        <f t="shared" si="1571"/>
        <v>-</v>
      </c>
      <c r="CB282" s="72">
        <f t="shared" si="1572"/>
        <v>165</v>
      </c>
      <c r="CC282" s="71">
        <f t="shared" si="1573"/>
        <v>210</v>
      </c>
      <c r="CD282" s="72">
        <f t="shared" si="1574"/>
        <v>218</v>
      </c>
      <c r="CE282" s="71">
        <f t="shared" si="1575"/>
        <v>294</v>
      </c>
      <c r="CF282" s="72">
        <f t="shared" si="1576"/>
        <v>339</v>
      </c>
      <c r="CG282" s="71">
        <f t="shared" si="1577"/>
        <v>368</v>
      </c>
      <c r="CH282" s="70">
        <f t="shared" si="1578"/>
        <v>82</v>
      </c>
      <c r="CI282" s="71">
        <f t="shared" si="1579"/>
        <v>86</v>
      </c>
      <c r="CJ282" s="72">
        <f t="shared" si="1580"/>
        <v>118</v>
      </c>
      <c r="CK282" s="72">
        <f t="shared" si="1581"/>
        <v>122</v>
      </c>
      <c r="CL282" s="72">
        <f t="shared" si="1582"/>
        <v>158</v>
      </c>
      <c r="CM282" s="72" t="str">
        <f t="shared" si="1583"/>
        <v>-</v>
      </c>
      <c r="CN282" s="72">
        <f t="shared" si="1584"/>
        <v>191</v>
      </c>
      <c r="CO282" s="72">
        <f t="shared" si="1585"/>
        <v>212</v>
      </c>
      <c r="CP282" s="72">
        <f t="shared" si="1586"/>
        <v>252</v>
      </c>
      <c r="CQ282" s="72">
        <f t="shared" si="1587"/>
        <v>330</v>
      </c>
      <c r="CR282" s="72">
        <f t="shared" si="1588"/>
        <v>367</v>
      </c>
      <c r="CS282" s="72">
        <f t="shared" si="1589"/>
        <v>379</v>
      </c>
      <c r="CT282" s="23">
        <f t="shared" si="1590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>CONCATENATE(B283,"_",C283)</f>
        <v>ox2r_human_5WQC</v>
      </c>
      <c r="B283" s="3" t="s">
        <v>1175</v>
      </c>
      <c r="C283" s="3" t="s">
        <v>1447</v>
      </c>
      <c r="D283" s="3" t="str">
        <f>IFERROR(MID(VLOOKUP($B283,Seqs!$A:$B,2,0),E283,1),"")</f>
        <v>Y</v>
      </c>
      <c r="E283" s="3">
        <v>53</v>
      </c>
      <c r="F283" s="3" t="str">
        <f>IFERROR(MID(VLOOKUP($B283,Seqs!$A:$B,2,0),G283,1),"")</f>
        <v>N</v>
      </c>
      <c r="G283" s="3">
        <v>82</v>
      </c>
      <c r="H283" s="3" t="str">
        <f>IFERROR(MID(VLOOKUP($B283,Seqs!$A:$B,2,0),I283,1),"")</f>
        <v>H</v>
      </c>
      <c r="I283" s="23">
        <v>83</v>
      </c>
      <c r="J283" s="3" t="str">
        <f>IFERROR(MID(VLOOKUP($B283,Seqs!$A:$B,2,0),K283,1),"")</f>
        <v>R</v>
      </c>
      <c r="K283" s="23">
        <v>86</v>
      </c>
      <c r="L283" s="3" t="str">
        <f>IFERROR(MID(VLOOKUP($B283,Seqs!$A:$B,2,0),M283,1),"")</f>
        <v>T</v>
      </c>
      <c r="M283" s="3">
        <v>87</v>
      </c>
      <c r="N283" s="3" t="str">
        <f>IFERROR(MID(VLOOKUP($B283,Seqs!$A:$B,2,0),O283,1),"")</f>
        <v>E</v>
      </c>
      <c r="O283" s="3">
        <v>118</v>
      </c>
      <c r="P283" s="3" t="str">
        <f>IFERROR(MID(VLOOKUP($B283,Seqs!$A:$B,2,0),Q283,1),"")</f>
        <v>T</v>
      </c>
      <c r="Q283" s="3">
        <v>119</v>
      </c>
      <c r="R283" s="3" t="str">
        <f>IFERROR(MID(VLOOKUP($B283,Seqs!$A:$B,2,0),S283,1),"")</f>
        <v>F</v>
      </c>
      <c r="S283" s="3">
        <v>122</v>
      </c>
      <c r="T283" s="3" t="str">
        <f>IFERROR(MID(VLOOKUP($B283,Seqs!$A:$B,2,0),U283,1),"")</f>
        <v>G</v>
      </c>
      <c r="U283" s="3">
        <v>123</v>
      </c>
      <c r="V283" s="3" t="str">
        <f>IFERROR(MID(VLOOKUP($B283,Seqs!$A:$B,2,0),W283,1),"")</f>
        <v>H</v>
      </c>
      <c r="W283" s="3">
        <v>158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T</v>
      </c>
      <c r="AC283" s="3">
        <v>165</v>
      </c>
      <c r="AD283" s="3" t="str">
        <f>IFERROR(MID(VLOOKUP($B283,Seqs!$A:$B,2,0),AE283,1),"")</f>
        <v>M</v>
      </c>
      <c r="AE283" s="3">
        <v>191</v>
      </c>
      <c r="AF283" s="3" t="str">
        <f>IFERROR(MID(VLOOKUP($B283,Seqs!$A:$B,2,0),AG283,1),"")</f>
        <v>C</v>
      </c>
      <c r="AG283" s="3">
        <v>210</v>
      </c>
      <c r="AH283" s="3" t="str">
        <f>IFERROR(MID(VLOOKUP($B283,Seqs!$A:$B,2,0),AI283,1),"")</f>
        <v>E</v>
      </c>
      <c r="AI283" s="3">
        <v>212</v>
      </c>
      <c r="AJ283" s="3" t="str">
        <f>IFERROR(MID(VLOOKUP($B283,Seqs!$A:$B,2,0),AK283,1),"")</f>
        <v>I</v>
      </c>
      <c r="AK283" s="3">
        <v>218</v>
      </c>
      <c r="AL283" s="3" t="str">
        <f>IFERROR(MID(VLOOKUP($B283,Seqs!$A:$B,2,0),AM283,1),"")</f>
        <v>C</v>
      </c>
      <c r="AM283" s="3">
        <v>252</v>
      </c>
      <c r="AN283" s="3" t="str">
        <f>IFERROR(MID(VLOOKUP($B283,Seqs!$A:$B,2,0),AO283,1),"")</f>
        <v>K</v>
      </c>
      <c r="AO283" s="3">
        <v>294</v>
      </c>
      <c r="AP283" s="3" t="str">
        <f>IFERROR(MID(VLOOKUP($B283,Seqs!$A:$B,2,0),AQ283,1),"")</f>
        <v>F</v>
      </c>
      <c r="AQ283" s="3">
        <v>330</v>
      </c>
      <c r="AR283" s="3" t="str">
        <f>IFERROR(MID(VLOOKUP($B283,Seqs!$A:$B,2,0),AS283,1),"")</f>
        <v>D</v>
      </c>
      <c r="AS283" s="3">
        <v>338</v>
      </c>
      <c r="AT283" s="3" t="str">
        <f>IFERROR(MID(VLOOKUP($B283,Seqs!$A:$B,2,0),AU283,1),"")</f>
        <v>L</v>
      </c>
      <c r="AU283" s="3">
        <v>367</v>
      </c>
      <c r="AV283" s="3" t="str">
        <f>IFERROR(MID(VLOOKUP($B283,Seqs!$A:$B,2,0),AW283,1),"")</f>
        <v>S</v>
      </c>
      <c r="AW283" s="3">
        <v>368</v>
      </c>
      <c r="AX283" s="3" t="str">
        <f>IFERROR(MID(VLOOKUP($B283,Seqs!$A:$B,2,0),AY283,1),"")</f>
        <v>C</v>
      </c>
      <c r="AY283" s="3">
        <v>383</v>
      </c>
      <c r="AZ283" s="77" t="str">
        <f>VLOOKUP(B283,Classification!A:D,2,0)</f>
        <v>A</v>
      </c>
      <c r="BA283" s="94" t="str">
        <f>VLOOKUP(B283,Classification!A:D,4,0)</f>
        <v>Orexin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255</v>
      </c>
      <c r="BD283" s="2" t="s">
        <v>23</v>
      </c>
      <c r="BE283" s="3" t="s">
        <v>1374</v>
      </c>
      <c r="BF283" s="119">
        <v>1.96</v>
      </c>
      <c r="BG283" s="49" t="s">
        <v>1</v>
      </c>
      <c r="BH283" s="49" t="s">
        <v>1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>E283</f>
        <v>53</v>
      </c>
      <c r="BW283" s="71">
        <f>I283</f>
        <v>83</v>
      </c>
      <c r="BX283" s="72">
        <f>M283</f>
        <v>87</v>
      </c>
      <c r="BY283" s="71">
        <f>Q283</f>
        <v>119</v>
      </c>
      <c r="BZ283" s="72">
        <f>U283</f>
        <v>123</v>
      </c>
      <c r="CA283" s="71" t="str">
        <f>Y283</f>
        <v>-</v>
      </c>
      <c r="CB283" s="72">
        <f>AC283</f>
        <v>165</v>
      </c>
      <c r="CC283" s="71">
        <f>AG283</f>
        <v>210</v>
      </c>
      <c r="CD283" s="72">
        <f>AK283</f>
        <v>218</v>
      </c>
      <c r="CE283" s="71">
        <f>AO283</f>
        <v>294</v>
      </c>
      <c r="CF283" s="72">
        <f>AS283</f>
        <v>338</v>
      </c>
      <c r="CG283" s="71">
        <f>AW283</f>
        <v>368</v>
      </c>
      <c r="CH283" s="70">
        <f>G283</f>
        <v>82</v>
      </c>
      <c r="CI283" s="71">
        <f>K283</f>
        <v>86</v>
      </c>
      <c r="CJ283" s="72">
        <f>O283</f>
        <v>118</v>
      </c>
      <c r="CK283" s="72">
        <f>S283</f>
        <v>122</v>
      </c>
      <c r="CL283" s="72">
        <f>W283</f>
        <v>158</v>
      </c>
      <c r="CM283" s="72" t="str">
        <f>AA283</f>
        <v>-</v>
      </c>
      <c r="CN283" s="72">
        <f>AE283</f>
        <v>191</v>
      </c>
      <c r="CO283" s="72">
        <f>AI283</f>
        <v>212</v>
      </c>
      <c r="CP283" s="72">
        <f>AM283</f>
        <v>252</v>
      </c>
      <c r="CQ283" s="72">
        <f>AQ283</f>
        <v>330</v>
      </c>
      <c r="CR283" s="72">
        <f>AU283</f>
        <v>367</v>
      </c>
      <c r="CS283" s="72">
        <f>AY283</f>
        <v>383</v>
      </c>
      <c r="CT283" s="23">
        <f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>CONCATENATE(B284,"_",C284)</f>
        <v>ox2r_human_5WS3</v>
      </c>
      <c r="B284" s="3" t="s">
        <v>1175</v>
      </c>
      <c r="C284" s="3" t="s">
        <v>1448</v>
      </c>
      <c r="D284" s="3" t="str">
        <f>IFERROR(MID(VLOOKUP($B284,Seqs!$A:$B,2,0),E284,1),"")</f>
        <v>Y</v>
      </c>
      <c r="E284" s="3">
        <v>53</v>
      </c>
      <c r="F284" s="3" t="str">
        <f>IFERROR(MID(VLOOKUP($B284,Seqs!$A:$B,2,0),G284,1),"")</f>
        <v>N</v>
      </c>
      <c r="G284" s="3">
        <v>82</v>
      </c>
      <c r="H284" s="3" t="str">
        <f>IFERROR(MID(VLOOKUP($B284,Seqs!$A:$B,2,0),I284,1),"")</f>
        <v>H</v>
      </c>
      <c r="I284" s="23">
        <v>83</v>
      </c>
      <c r="J284" s="3" t="str">
        <f>IFERROR(MID(VLOOKUP($B284,Seqs!$A:$B,2,0),K284,1),"")</f>
        <v>R</v>
      </c>
      <c r="K284" s="23">
        <v>86</v>
      </c>
      <c r="L284" s="3" t="str">
        <f>IFERROR(MID(VLOOKUP($B284,Seqs!$A:$B,2,0),M284,1),"")</f>
        <v>T</v>
      </c>
      <c r="M284" s="3">
        <v>87</v>
      </c>
      <c r="N284" s="3" t="str">
        <f>IFERROR(MID(VLOOKUP($B284,Seqs!$A:$B,2,0),O284,1),"")</f>
        <v>E</v>
      </c>
      <c r="O284" s="3">
        <v>118</v>
      </c>
      <c r="P284" s="3" t="str">
        <f>IFERROR(MID(VLOOKUP($B284,Seqs!$A:$B,2,0),Q284,1),"")</f>
        <v>T</v>
      </c>
      <c r="Q284" s="3">
        <v>119</v>
      </c>
      <c r="R284" s="3" t="str">
        <f>IFERROR(MID(VLOOKUP($B284,Seqs!$A:$B,2,0),S284,1),"")</f>
        <v>F</v>
      </c>
      <c r="S284" s="3">
        <v>122</v>
      </c>
      <c r="T284" s="3" t="str">
        <f>IFERROR(MID(VLOOKUP($B284,Seqs!$A:$B,2,0),U284,1),"")</f>
        <v>G</v>
      </c>
      <c r="U284" s="3">
        <v>123</v>
      </c>
      <c r="V284" s="3" t="str">
        <f>IFERROR(MID(VLOOKUP($B284,Seqs!$A:$B,2,0),W284,1),"")</f>
        <v>H</v>
      </c>
      <c r="W284" s="3">
        <v>158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T</v>
      </c>
      <c r="AC284" s="3">
        <v>165</v>
      </c>
      <c r="AD284" s="3" t="str">
        <f>IFERROR(MID(VLOOKUP($B284,Seqs!$A:$B,2,0),AE284,1),"")</f>
        <v>M</v>
      </c>
      <c r="AE284" s="3">
        <v>191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E</v>
      </c>
      <c r="AI284" s="3">
        <v>212</v>
      </c>
      <c r="AJ284" s="3" t="str">
        <f>IFERROR(MID(VLOOKUP($B284,Seqs!$A:$B,2,0),AK284,1),"")</f>
        <v>I</v>
      </c>
      <c r="AK284" s="3">
        <v>218</v>
      </c>
      <c r="AL284" s="3" t="str">
        <f>IFERROR(MID(VLOOKUP($B284,Seqs!$A:$B,2,0),AM284,1),"")</f>
        <v>C</v>
      </c>
      <c r="AM284" s="3">
        <v>252</v>
      </c>
      <c r="AN284" s="3" t="str">
        <f>IFERROR(MID(VLOOKUP($B284,Seqs!$A:$B,2,0),AO284,1),"")</f>
        <v>K</v>
      </c>
      <c r="AO284" s="3">
        <v>294</v>
      </c>
      <c r="AP284" s="3" t="str">
        <f>IFERROR(MID(VLOOKUP($B284,Seqs!$A:$B,2,0),AQ284,1),"")</f>
        <v>F</v>
      </c>
      <c r="AQ284" s="3">
        <v>330</v>
      </c>
      <c r="AR284" s="3" t="str">
        <f>IFERROR(MID(VLOOKUP($B284,Seqs!$A:$B,2,0),AS284,1),"")</f>
        <v>D</v>
      </c>
      <c r="AS284" s="3">
        <v>338</v>
      </c>
      <c r="AT284" s="3" t="str">
        <f>IFERROR(MID(VLOOKUP($B284,Seqs!$A:$B,2,0),AU284,1),"")</f>
        <v>L</v>
      </c>
      <c r="AU284" s="3">
        <v>367</v>
      </c>
      <c r="AV284" s="3" t="str">
        <f>IFERROR(MID(VLOOKUP($B284,Seqs!$A:$B,2,0),AW284,1),"")</f>
        <v>S</v>
      </c>
      <c r="AW284" s="3">
        <v>368</v>
      </c>
      <c r="AX284" s="3" t="str">
        <f>IFERROR(MID(VLOOKUP($B284,Seqs!$A:$B,2,0),AY284,1),"")</f>
        <v>C</v>
      </c>
      <c r="AY284" s="3">
        <v>383</v>
      </c>
      <c r="AZ284" s="77" t="str">
        <f>VLOOKUP(B284,Classification!A:D,2,0)</f>
        <v>A</v>
      </c>
      <c r="BA284" s="94" t="str">
        <f>VLOOKUP(B284,Classification!A:D,4,0)</f>
        <v>Orexin</v>
      </c>
      <c r="BB284" s="27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255</v>
      </c>
      <c r="BD284" s="2" t="s">
        <v>1376</v>
      </c>
      <c r="BE284" s="3" t="s">
        <v>1374</v>
      </c>
      <c r="BF284" s="119">
        <v>2.2999999999999998</v>
      </c>
      <c r="BG284" s="49" t="s">
        <v>1</v>
      </c>
      <c r="BH284" s="49" t="s">
        <v>1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>E284</f>
        <v>53</v>
      </c>
      <c r="BW284" s="71">
        <f>I284</f>
        <v>83</v>
      </c>
      <c r="BX284" s="72">
        <f>M284</f>
        <v>87</v>
      </c>
      <c r="BY284" s="71">
        <f>Q284</f>
        <v>119</v>
      </c>
      <c r="BZ284" s="72">
        <f>U284</f>
        <v>123</v>
      </c>
      <c r="CA284" s="71" t="str">
        <f>Y284</f>
        <v>-</v>
      </c>
      <c r="CB284" s="72">
        <f>AC284</f>
        <v>165</v>
      </c>
      <c r="CC284" s="71">
        <f>AG284</f>
        <v>210</v>
      </c>
      <c r="CD284" s="72">
        <f>AK284</f>
        <v>218</v>
      </c>
      <c r="CE284" s="71">
        <f>AO284</f>
        <v>294</v>
      </c>
      <c r="CF284" s="72">
        <f>AS284</f>
        <v>338</v>
      </c>
      <c r="CG284" s="71">
        <f>AW284</f>
        <v>368</v>
      </c>
      <c r="CH284" s="70">
        <f>G284</f>
        <v>82</v>
      </c>
      <c r="CI284" s="71">
        <f>K284</f>
        <v>86</v>
      </c>
      <c r="CJ284" s="72">
        <f>O284</f>
        <v>118</v>
      </c>
      <c r="CK284" s="72">
        <f>S284</f>
        <v>122</v>
      </c>
      <c r="CL284" s="72">
        <f>W284</f>
        <v>158</v>
      </c>
      <c r="CM284" s="72" t="str">
        <f>AA284</f>
        <v>-</v>
      </c>
      <c r="CN284" s="72">
        <f>AE284</f>
        <v>191</v>
      </c>
      <c r="CO284" s="72">
        <f>AI284</f>
        <v>212</v>
      </c>
      <c r="CP284" s="72">
        <f>AM284</f>
        <v>252</v>
      </c>
      <c r="CQ284" s="72">
        <f>AQ284</f>
        <v>330</v>
      </c>
      <c r="CR284" s="72">
        <f>AU284</f>
        <v>367</v>
      </c>
      <c r="CS284" s="72">
        <f>AY284</f>
        <v>383</v>
      </c>
      <c r="CT284" s="23">
        <f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591"/>
        <v>p2ry1_human__wt</v>
      </c>
      <c r="B285" s="3" t="s">
        <v>345</v>
      </c>
      <c r="C285" s="3" t="s">
        <v>100</v>
      </c>
      <c r="D285" s="3" t="str">
        <f>IFERROR(MID(VLOOKUP($B285,Seqs!$A:$B,2,0),E285,1),"")</f>
        <v>F</v>
      </c>
      <c r="E285" s="3">
        <v>49</v>
      </c>
      <c r="F285" s="3" t="str">
        <f>IFERROR(MID(VLOOKUP($B285,Seqs!$A:$B,2,0),G285,1),"")</f>
        <v>H</v>
      </c>
      <c r="G285" s="3">
        <v>79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S</v>
      </c>
      <c r="M285" s="3">
        <v>84</v>
      </c>
      <c r="N285" s="3" t="str">
        <f>IFERROR(MID(VLOOKUP($B285,Seqs!$A:$B,2,0),O285,1),"")</f>
        <v>N</v>
      </c>
      <c r="O285" s="3">
        <v>113</v>
      </c>
      <c r="P285" s="3" t="str">
        <f>IFERROR(MID(VLOOKUP($B285,Seqs!$A:$B,2,0),Q285,1),"")</f>
        <v>D</v>
      </c>
      <c r="Q285" s="3">
        <v>116</v>
      </c>
      <c r="R285" s="3" t="str">
        <f>IFERROR(MID(VLOOKUP($B285,Seqs!$A:$B,2,0),S285,1),"")</f>
        <v>F</v>
      </c>
      <c r="S285" s="3">
        <v>119</v>
      </c>
      <c r="T285" s="3" t="str">
        <f>IFERROR(MID(VLOOKUP($B285,Seqs!$A:$B,2,0),U285,1),"")</f>
        <v>G</v>
      </c>
      <c r="U285" s="3">
        <v>120</v>
      </c>
      <c r="V285" s="3" t="str">
        <f>IFERROR(MID(VLOOKUP($B285,Seqs!$A:$B,2,0),W285,1),"")</f>
        <v>Y</v>
      </c>
      <c r="W285" s="3">
        <v>155</v>
      </c>
      <c r="X285" s="3" t="str">
        <f>IFERROR(MID(VLOOKUP($B285,Seqs!$A:$B,2,0),Y285,1),"")</f>
        <v>P</v>
      </c>
      <c r="Y285" s="3">
        <v>156</v>
      </c>
      <c r="Z285" s="3" t="str">
        <f>IFERROR(MID(VLOOKUP($B285,Seqs!$A:$B,2,0),AA285,1),"")</f>
        <v>L</v>
      </c>
      <c r="AA285" s="3">
        <v>163</v>
      </c>
      <c r="AB285" s="3" t="str">
        <f>IFERROR(MID(VLOOKUP($B285,Seqs!$A:$B,2,0),AC285,1),"")</f>
        <v>K</v>
      </c>
      <c r="AC285" s="3">
        <v>164</v>
      </c>
      <c r="AD285" s="3" t="str">
        <f>IFERROR(MID(VLOOKUP($B285,Seqs!$A:$B,2,0),AE285,1),"")</f>
        <v>S</v>
      </c>
      <c r="AE285" s="3">
        <v>190</v>
      </c>
      <c r="AF285" s="3" t="str">
        <f>IFERROR(MID(VLOOKUP($B285,Seqs!$A:$B,2,0),AG285,1),"")</f>
        <v>C</v>
      </c>
      <c r="AG285" s="3">
        <v>202</v>
      </c>
      <c r="AH285" s="3" t="str">
        <f>IFERROR(MID(VLOOKUP($B285,Seqs!$A:$B,2,0),AI285,1),"")</f>
        <v>D</v>
      </c>
      <c r="AI285" s="3">
        <v>204</v>
      </c>
      <c r="AJ285" s="3" t="str">
        <f>IFERROR(MID(VLOOKUP($B285,Seqs!$A:$B,2,0),AK285,1),"")</f>
        <v>L</v>
      </c>
      <c r="AK285" s="3">
        <v>211</v>
      </c>
      <c r="AL285" s="3" t="str">
        <f>IFERROR(MID(VLOOKUP($B285,Seqs!$A:$B,2,0),AM285,1),"")</f>
        <v>K</v>
      </c>
      <c r="AM285" s="3">
        <v>247</v>
      </c>
      <c r="AN285" s="3" t="str">
        <f>IFERROR(MID(VLOOKUP($B285,Seqs!$A:$B,2,0),AO285,1),"")</f>
        <v>P</v>
      </c>
      <c r="AO285" s="3">
        <v>253</v>
      </c>
      <c r="AP285" s="3" t="str">
        <f>IFERROR(MID(VLOOKUP($B285,Seqs!$A:$B,2,0),AQ285,1),"")</f>
        <v>D</v>
      </c>
      <c r="AQ285" s="3">
        <v>289</v>
      </c>
      <c r="AR285" s="3" t="str">
        <f>IFERROR(MID(VLOOKUP($B285,Seqs!$A:$B,2,0),AS285,1),"")</f>
        <v>M</v>
      </c>
      <c r="AS285" s="3">
        <v>295</v>
      </c>
      <c r="AT285" s="3" t="str">
        <f>IFERROR(MID(VLOOKUP($B285,Seqs!$A:$B,2,0),AU285,1),"")</f>
        <v>A</v>
      </c>
      <c r="AU285" s="3">
        <v>327</v>
      </c>
      <c r="AV285" s="3" t="str">
        <f>IFERROR(MID(VLOOKUP($B285,Seqs!$A:$B,2,0),AW285,1),"")</f>
        <v>G</v>
      </c>
      <c r="AW285" s="3">
        <v>328</v>
      </c>
      <c r="AX285" s="3" t="str">
        <f>IFERROR(MID(VLOOKUP($B285,Seqs!$A:$B,2,0),AY285,1),"")</f>
        <v>R</v>
      </c>
      <c r="AY285" s="3">
        <v>340</v>
      </c>
      <c r="AZ285" s="77" t="str">
        <f>VLOOKUP(B285,Classification!A:D,2,0)</f>
        <v>A</v>
      </c>
      <c r="BA285" s="94" t="str">
        <f>VLOOKUP(B285,Classification!A:D,4,0)</f>
        <v>P2Y</v>
      </c>
      <c r="BB285" s="27" t="b">
        <f t="shared" si="1592"/>
        <v>1</v>
      </c>
      <c r="BC285" s="23">
        <f t="shared" si="1565"/>
        <v>260</v>
      </c>
      <c r="BD285" s="56" t="s">
        <v>23</v>
      </c>
      <c r="BE285" s="3" t="s">
        <v>23</v>
      </c>
      <c r="BF285" s="119" t="s">
        <v>23</v>
      </c>
      <c r="BG285" s="49" t="s">
        <v>1372</v>
      </c>
      <c r="BH285" s="49" t="s">
        <v>1377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1566"/>
        <v>49</v>
      </c>
      <c r="BW285" s="71" t="str">
        <f t="shared" si="1567"/>
        <v>-</v>
      </c>
      <c r="BX285" s="72">
        <f t="shared" si="1568"/>
        <v>84</v>
      </c>
      <c r="BY285" s="71">
        <f t="shared" si="1569"/>
        <v>116</v>
      </c>
      <c r="BZ285" s="72">
        <f t="shared" si="1570"/>
        <v>120</v>
      </c>
      <c r="CA285" s="71">
        <f t="shared" si="1571"/>
        <v>156</v>
      </c>
      <c r="CB285" s="72">
        <f t="shared" si="1572"/>
        <v>164</v>
      </c>
      <c r="CC285" s="71">
        <f t="shared" si="1573"/>
        <v>202</v>
      </c>
      <c r="CD285" s="72">
        <f t="shared" si="1574"/>
        <v>211</v>
      </c>
      <c r="CE285" s="71">
        <f t="shared" si="1575"/>
        <v>253</v>
      </c>
      <c r="CF285" s="72">
        <f t="shared" si="1576"/>
        <v>295</v>
      </c>
      <c r="CG285" s="71">
        <f t="shared" si="1577"/>
        <v>328</v>
      </c>
      <c r="CH285" s="70">
        <f t="shared" si="1578"/>
        <v>79</v>
      </c>
      <c r="CI285" s="71" t="str">
        <f t="shared" si="1579"/>
        <v>-</v>
      </c>
      <c r="CJ285" s="72">
        <f t="shared" si="1580"/>
        <v>113</v>
      </c>
      <c r="CK285" s="72">
        <f t="shared" si="1581"/>
        <v>119</v>
      </c>
      <c r="CL285" s="72">
        <f t="shared" si="1582"/>
        <v>155</v>
      </c>
      <c r="CM285" s="72">
        <f t="shared" si="1583"/>
        <v>163</v>
      </c>
      <c r="CN285" s="72">
        <f t="shared" si="1584"/>
        <v>190</v>
      </c>
      <c r="CO285" s="72">
        <f t="shared" si="1585"/>
        <v>204</v>
      </c>
      <c r="CP285" s="72">
        <f t="shared" si="1586"/>
        <v>247</v>
      </c>
      <c r="CQ285" s="72">
        <f t="shared" si="1587"/>
        <v>289</v>
      </c>
      <c r="CR285" s="72">
        <f t="shared" si="1588"/>
        <v>327</v>
      </c>
      <c r="CS285" s="72">
        <f t="shared" si="1589"/>
        <v>340</v>
      </c>
      <c r="CT285" s="23" t="e">
        <f t="shared" si="1590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1591"/>
        <v>p2ry1_human_4XNV</v>
      </c>
      <c r="B286" s="3" t="s">
        <v>345</v>
      </c>
      <c r="C286" s="3" t="s">
        <v>1151</v>
      </c>
      <c r="D286" s="3" t="str">
        <f>IFERROR(MID(VLOOKUP($B286,Seqs!$A:$B,2,0),E286,1),"")</f>
        <v>F</v>
      </c>
      <c r="E286" s="3">
        <v>49</v>
      </c>
      <c r="F286" s="3" t="str">
        <f>IFERROR(MID(VLOOKUP($B286,Seqs!$A:$B,2,0),G286,1),"")</f>
        <v>H</v>
      </c>
      <c r="G286" s="3">
        <v>79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S</v>
      </c>
      <c r="M286" s="3">
        <v>84</v>
      </c>
      <c r="N286" s="3" t="str">
        <f>IFERROR(MID(VLOOKUP($B286,Seqs!$A:$B,2,0),O286,1),"")</f>
        <v>N</v>
      </c>
      <c r="O286" s="3">
        <v>113</v>
      </c>
      <c r="P286" s="3" t="str">
        <f>IFERROR(MID(VLOOKUP($B286,Seqs!$A:$B,2,0),Q286,1),"")</f>
        <v>D</v>
      </c>
      <c r="Q286" s="3">
        <v>116</v>
      </c>
      <c r="R286" s="3" t="str">
        <f>IFERROR(MID(VLOOKUP($B286,Seqs!$A:$B,2,0),S286,1),"")</f>
        <v>F</v>
      </c>
      <c r="S286" s="3">
        <v>119</v>
      </c>
      <c r="T286" s="3" t="str">
        <f>IFERROR(MID(VLOOKUP($B286,Seqs!$A:$B,2,0),U286,1),"")</f>
        <v>G</v>
      </c>
      <c r="U286" s="3">
        <v>120</v>
      </c>
      <c r="V286" s="3" t="str">
        <f>IFERROR(MID(VLOOKUP($B286,Seqs!$A:$B,2,0),W286,1),"")</f>
        <v>Y</v>
      </c>
      <c r="W286" s="3">
        <v>155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G</v>
      </c>
      <c r="AC286" s="9">
        <v>161</v>
      </c>
      <c r="AD286" s="3" t="str">
        <f>IFERROR(MID(VLOOKUP($B286,Seqs!$A:$B,2,0),AE286,1),"")</f>
        <v>S</v>
      </c>
      <c r="AE286" s="3">
        <v>190</v>
      </c>
      <c r="AF286" s="3" t="str">
        <f>IFERROR(MID(VLOOKUP($B286,Seqs!$A:$B,2,0),AG286,1),"")</f>
        <v>C</v>
      </c>
      <c r="AG286" s="3">
        <v>202</v>
      </c>
      <c r="AH286" s="3" t="str">
        <f>IFERROR(MID(VLOOKUP($B286,Seqs!$A:$B,2,0),AI286,1),"")</f>
        <v>D</v>
      </c>
      <c r="AI286" s="3">
        <v>204</v>
      </c>
      <c r="AJ286" s="3" t="str">
        <f>IFERROR(MID(VLOOKUP($B286,Seqs!$A:$B,2,0),AK286,1),"")</f>
        <v>L</v>
      </c>
      <c r="AK286" s="3">
        <v>211</v>
      </c>
      <c r="AL286" s="3" t="str">
        <f>IFERROR(MID(VLOOKUP($B286,Seqs!$A:$B,2,0),AM286,1),"")</f>
        <v>K</v>
      </c>
      <c r="AM286" s="3">
        <v>247</v>
      </c>
      <c r="AN286" s="3" t="str">
        <f>IFERROR(MID(VLOOKUP($B286,Seqs!$A:$B,2,0),AO286,1),"")</f>
        <v>P</v>
      </c>
      <c r="AO286" s="3">
        <v>253</v>
      </c>
      <c r="AP286" s="3" t="str">
        <f>IFERROR(MID(VLOOKUP($B286,Seqs!$A:$B,2,0),AQ286,1),"")</f>
        <v>D</v>
      </c>
      <c r="AQ286" s="3">
        <v>289</v>
      </c>
      <c r="AR286" s="3" t="str">
        <f>IFERROR(MID(VLOOKUP($B286,Seqs!$A:$B,2,0),AS286,1),"")</f>
        <v>M</v>
      </c>
      <c r="AS286" s="3">
        <v>295</v>
      </c>
      <c r="AT286" s="3" t="str">
        <f>IFERROR(MID(VLOOKUP($B286,Seqs!$A:$B,2,0),AU286,1),"")</f>
        <v>L</v>
      </c>
      <c r="AU286" s="3">
        <v>326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P2Y</v>
      </c>
      <c r="BB286" s="27" t="b">
        <f t="shared" si="1592"/>
        <v>1</v>
      </c>
      <c r="BC286" s="23">
        <f t="shared" si="1565"/>
        <v>243</v>
      </c>
      <c r="BD286" s="4" t="s">
        <v>23</v>
      </c>
      <c r="BE286" s="3" t="s">
        <v>1428</v>
      </c>
      <c r="BF286" s="119">
        <v>2.2000000000000002</v>
      </c>
      <c r="BG286" s="49" t="s">
        <v>1377</v>
      </c>
      <c r="BH286" s="49" t="s">
        <v>1377</v>
      </c>
      <c r="BI286" s="3" t="s">
        <v>1168</v>
      </c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1566"/>
        <v>49</v>
      </c>
      <c r="BW286" s="71" t="str">
        <f t="shared" si="1567"/>
        <v>-</v>
      </c>
      <c r="BX286" s="72">
        <f t="shared" si="1568"/>
        <v>84</v>
      </c>
      <c r="BY286" s="71">
        <f t="shared" si="1569"/>
        <v>116</v>
      </c>
      <c r="BZ286" s="72">
        <f t="shared" si="1570"/>
        <v>120</v>
      </c>
      <c r="CA286" s="71" t="str">
        <f t="shared" si="1571"/>
        <v>-</v>
      </c>
      <c r="CB286" s="72">
        <f t="shared" si="1572"/>
        <v>161</v>
      </c>
      <c r="CC286" s="71">
        <f t="shared" si="1573"/>
        <v>202</v>
      </c>
      <c r="CD286" s="72">
        <f t="shared" si="1574"/>
        <v>211</v>
      </c>
      <c r="CE286" s="71">
        <f t="shared" si="1575"/>
        <v>253</v>
      </c>
      <c r="CF286" s="72">
        <f t="shared" si="1576"/>
        <v>295</v>
      </c>
      <c r="CG286" s="71" t="str">
        <f t="shared" si="1577"/>
        <v>-</v>
      </c>
      <c r="CH286" s="70">
        <f t="shared" si="1578"/>
        <v>79</v>
      </c>
      <c r="CI286" s="71" t="str">
        <f t="shared" si="1579"/>
        <v>-</v>
      </c>
      <c r="CJ286" s="72">
        <f t="shared" si="1580"/>
        <v>113</v>
      </c>
      <c r="CK286" s="72">
        <f t="shared" si="1581"/>
        <v>119</v>
      </c>
      <c r="CL286" s="72">
        <f t="shared" si="1582"/>
        <v>155</v>
      </c>
      <c r="CM286" s="72" t="str">
        <f t="shared" si="1583"/>
        <v>-</v>
      </c>
      <c r="CN286" s="72">
        <f t="shared" si="1584"/>
        <v>190</v>
      </c>
      <c r="CO286" s="72">
        <f t="shared" si="1585"/>
        <v>204</v>
      </c>
      <c r="CP286" s="72">
        <f t="shared" si="1586"/>
        <v>247</v>
      </c>
      <c r="CQ286" s="72">
        <f t="shared" si="1587"/>
        <v>289</v>
      </c>
      <c r="CR286" s="72">
        <f t="shared" si="1588"/>
        <v>326</v>
      </c>
      <c r="CS286" s="72" t="str">
        <f t="shared" si="1589"/>
        <v>-</v>
      </c>
      <c r="CT286" s="23" t="e">
        <f t="shared" si="1590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591"/>
        <v>p2ry1_human_4XNW</v>
      </c>
      <c r="B287" s="3" t="s">
        <v>345</v>
      </c>
      <c r="C287" s="3" t="s">
        <v>1055</v>
      </c>
      <c r="D287" s="3" t="str">
        <f>IFERROR(MID(VLOOKUP($B287,Seqs!$A:$B,2,0),E287,1),"")</f>
        <v>F</v>
      </c>
      <c r="E287" s="3">
        <v>49</v>
      </c>
      <c r="F287" s="3" t="str">
        <f>IFERROR(MID(VLOOKUP($B287,Seqs!$A:$B,2,0),G287,1),"")</f>
        <v>H</v>
      </c>
      <c r="G287" s="3">
        <v>79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S</v>
      </c>
      <c r="M287" s="3">
        <v>84</v>
      </c>
      <c r="N287" s="3" t="str">
        <f>IFERROR(MID(VLOOKUP($B287,Seqs!$A:$B,2,0),O287,1),"")</f>
        <v>N</v>
      </c>
      <c r="O287" s="3">
        <v>113</v>
      </c>
      <c r="P287" s="3" t="str">
        <f>IFERROR(MID(VLOOKUP($B287,Seqs!$A:$B,2,0),Q287,1),"")</f>
        <v>D</v>
      </c>
      <c r="Q287" s="3">
        <v>116</v>
      </c>
      <c r="R287" s="3" t="str">
        <f>IFERROR(MID(VLOOKUP($B287,Seqs!$A:$B,2,0),S287,1),"")</f>
        <v>F</v>
      </c>
      <c r="S287" s="3">
        <v>119</v>
      </c>
      <c r="T287" s="3" t="str">
        <f>IFERROR(MID(VLOOKUP($B287,Seqs!$A:$B,2,0),U287,1),"")</f>
        <v>G</v>
      </c>
      <c r="U287" s="3">
        <v>120</v>
      </c>
      <c r="V287" s="3" t="str">
        <f>IFERROR(MID(VLOOKUP($B287,Seqs!$A:$B,2,0),W287,1),"")</f>
        <v>Y</v>
      </c>
      <c r="W287" s="3">
        <v>155</v>
      </c>
      <c r="X287" s="3" t="str">
        <f>IFERROR(MID(VLOOKUP($B287,Seqs!$A:$B,2,0),Y287,1),"")</f>
        <v>P</v>
      </c>
      <c r="Y287" s="3">
        <v>156</v>
      </c>
      <c r="Z287" s="3" t="str">
        <f>IFERROR(MID(VLOOKUP($B287,Seqs!$A:$B,2,0),AA287,1),"")</f>
        <v>L</v>
      </c>
      <c r="AA287" s="3">
        <v>163</v>
      </c>
      <c r="AB287" s="3" t="str">
        <f>IFERROR(MID(VLOOKUP($B287,Seqs!$A:$B,2,0),AC287,1),"")</f>
        <v>K</v>
      </c>
      <c r="AC287" s="9">
        <v>164</v>
      </c>
      <c r="AD287" s="3" t="str">
        <f>IFERROR(MID(VLOOKUP($B287,Seqs!$A:$B,2,0),AE287,1),"")</f>
        <v>S</v>
      </c>
      <c r="AE287" s="3">
        <v>190</v>
      </c>
      <c r="AF287" s="3" t="str">
        <f>IFERROR(MID(VLOOKUP($B287,Seqs!$A:$B,2,0),AG287,1),"")</f>
        <v>C</v>
      </c>
      <c r="AG287" s="3">
        <v>202</v>
      </c>
      <c r="AH287" s="3" t="str">
        <f>IFERROR(MID(VLOOKUP($B287,Seqs!$A:$B,2,0),AI287,1),"")</f>
        <v>D</v>
      </c>
      <c r="AI287" s="3">
        <v>204</v>
      </c>
      <c r="AJ287" s="3" t="str">
        <f>IFERROR(MID(VLOOKUP($B287,Seqs!$A:$B,2,0),AK287,1),"")</f>
        <v>L</v>
      </c>
      <c r="AK287" s="3">
        <v>211</v>
      </c>
      <c r="AL287" s="3" t="str">
        <f>IFERROR(MID(VLOOKUP($B287,Seqs!$A:$B,2,0),AM287,1),"")</f>
        <v>K</v>
      </c>
      <c r="AM287" s="3">
        <v>247</v>
      </c>
      <c r="AN287" s="3" t="str">
        <f>IFERROR(MID(VLOOKUP($B287,Seqs!$A:$B,2,0),AO287,1),"")</f>
        <v>P</v>
      </c>
      <c r="AO287" s="3">
        <v>253</v>
      </c>
      <c r="AP287" s="3" t="str">
        <f>IFERROR(MID(VLOOKUP($B287,Seqs!$A:$B,2,0),AQ287,1),"")</f>
        <v>D</v>
      </c>
      <c r="AQ287" s="3">
        <v>289</v>
      </c>
      <c r="AR287" s="3" t="str">
        <f>IFERROR(MID(VLOOKUP($B287,Seqs!$A:$B,2,0),AS287,1),"")</f>
        <v>M</v>
      </c>
      <c r="AS287" s="3">
        <v>295</v>
      </c>
      <c r="AT287" s="3" t="str">
        <f>IFERROR(MID(VLOOKUP($B287,Seqs!$A:$B,2,0),AU287,1),"")</f>
        <v>L</v>
      </c>
      <c r="AU287" s="3">
        <v>326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A</v>
      </c>
      <c r="BA287" s="94" t="str">
        <f>VLOOKUP(B287,Classification!A:D,4,0)</f>
        <v>P2Y</v>
      </c>
      <c r="BB287" s="27" t="b">
        <f t="shared" si="1592"/>
        <v>1</v>
      </c>
      <c r="BC287" s="23">
        <f t="shared" si="1565"/>
        <v>247</v>
      </c>
      <c r="BD287" s="2" t="s">
        <v>1429</v>
      </c>
      <c r="BE287" s="3" t="s">
        <v>1428</v>
      </c>
      <c r="BF287" s="119">
        <v>2.7</v>
      </c>
      <c r="BG287" s="49" t="s">
        <v>1377</v>
      </c>
      <c r="BH287" s="49" t="s">
        <v>1377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1566"/>
        <v>49</v>
      </c>
      <c r="BW287" s="71" t="str">
        <f t="shared" si="1567"/>
        <v>-</v>
      </c>
      <c r="BX287" s="72">
        <f t="shared" si="1568"/>
        <v>84</v>
      </c>
      <c r="BY287" s="71">
        <f t="shared" si="1569"/>
        <v>116</v>
      </c>
      <c r="BZ287" s="72">
        <f t="shared" si="1570"/>
        <v>120</v>
      </c>
      <c r="CA287" s="71">
        <f t="shared" si="1571"/>
        <v>156</v>
      </c>
      <c r="CB287" s="72">
        <f t="shared" si="1572"/>
        <v>164</v>
      </c>
      <c r="CC287" s="71">
        <f t="shared" si="1573"/>
        <v>202</v>
      </c>
      <c r="CD287" s="72">
        <f t="shared" si="1574"/>
        <v>211</v>
      </c>
      <c r="CE287" s="71">
        <f t="shared" si="1575"/>
        <v>253</v>
      </c>
      <c r="CF287" s="72">
        <f t="shared" si="1576"/>
        <v>295</v>
      </c>
      <c r="CG287" s="71" t="str">
        <f t="shared" si="1577"/>
        <v>-</v>
      </c>
      <c r="CH287" s="70">
        <f t="shared" si="1578"/>
        <v>79</v>
      </c>
      <c r="CI287" s="71" t="str">
        <f t="shared" si="1579"/>
        <v>-</v>
      </c>
      <c r="CJ287" s="72">
        <f t="shared" si="1580"/>
        <v>113</v>
      </c>
      <c r="CK287" s="72">
        <f t="shared" si="1581"/>
        <v>119</v>
      </c>
      <c r="CL287" s="72">
        <f t="shared" si="1582"/>
        <v>155</v>
      </c>
      <c r="CM287" s="72">
        <f t="shared" si="1583"/>
        <v>163</v>
      </c>
      <c r="CN287" s="72">
        <f t="shared" si="1584"/>
        <v>190</v>
      </c>
      <c r="CO287" s="72">
        <f t="shared" si="1585"/>
        <v>204</v>
      </c>
      <c r="CP287" s="72">
        <f t="shared" si="1586"/>
        <v>247</v>
      </c>
      <c r="CQ287" s="72">
        <f t="shared" si="1587"/>
        <v>289</v>
      </c>
      <c r="CR287" s="72">
        <f t="shared" si="1588"/>
        <v>326</v>
      </c>
      <c r="CS287" s="72" t="str">
        <f t="shared" si="1589"/>
        <v>-</v>
      </c>
      <c r="CT287" s="23" t="e">
        <f t="shared" si="1590"/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591"/>
        <v>p2y12_human__wt</v>
      </c>
      <c r="B288" s="3" t="s">
        <v>352</v>
      </c>
      <c r="C288" s="3" t="s">
        <v>100</v>
      </c>
      <c r="D288" s="3" t="str">
        <f>IFERROR(MID(VLOOKUP($B288,Seqs!$A:$B,2,0),E288,1),"")</f>
        <v>Y</v>
      </c>
      <c r="E288" s="3">
        <v>21</v>
      </c>
      <c r="F288" s="3" t="str">
        <f>IFERROR(MID(VLOOKUP($B288,Seqs!$A:$B,2,0),G288,1),"")</f>
        <v>I</v>
      </c>
      <c r="G288" s="3">
        <v>53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S</v>
      </c>
      <c r="M288" s="3">
        <v>57</v>
      </c>
      <c r="N288" s="3" t="str">
        <f>IFERROR(MID(VLOOKUP($B288,Seqs!$A:$B,2,0),O288,1),"")</f>
        <v>K</v>
      </c>
      <c r="O288" s="3">
        <v>86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G</v>
      </c>
      <c r="U288" s="3">
        <v>90</v>
      </c>
      <c r="V288" s="3" t="str">
        <f>IFERROR(MID(VLOOKUP($B288,Seqs!$A:$B,2,0),W288,1),"")</f>
        <v>R</v>
      </c>
      <c r="W288" s="3">
        <v>128</v>
      </c>
      <c r="X288" s="3" t="str">
        <f>IFERROR(MID(VLOOKUP($B288,Seqs!$A:$B,2,0),Y288,1),"")</f>
        <v>P</v>
      </c>
      <c r="Y288" s="3">
        <v>129</v>
      </c>
      <c r="Z288" s="3" t="str">
        <f>IFERROR(MID(VLOOKUP($B288,Seqs!$A:$B,2,0),AA288,1),"")</f>
        <v>K</v>
      </c>
      <c r="AA288" s="73">
        <v>136</v>
      </c>
      <c r="AB288" s="3" t="str">
        <f>IFERROR(MID(VLOOKUP($B288,Seqs!$A:$B,2,0),AC288,1),"")</f>
        <v>N</v>
      </c>
      <c r="AC288" s="9">
        <v>137</v>
      </c>
      <c r="AD288" s="3" t="str">
        <f>IFERROR(MID(VLOOKUP($B288,Seqs!$A:$B,2,0),AE288,1),"")</f>
        <v>T</v>
      </c>
      <c r="AE288" s="3">
        <v>163</v>
      </c>
      <c r="AF288" s="3" t="str">
        <f>IFERROR(MID(VLOOKUP($B288,Seqs!$A:$B,2,0),AG288,1),"")</f>
        <v>C</v>
      </c>
      <c r="AG288" s="3">
        <v>175</v>
      </c>
      <c r="AH288" s="3" t="str">
        <f>IFERROR(MID(VLOOKUP($B288,Seqs!$A:$B,2,0),AI288,1),"")</f>
        <v>F</v>
      </c>
      <c r="AI288" s="3">
        <v>177</v>
      </c>
      <c r="AJ288" s="3" t="str">
        <f>IFERROR(MID(VLOOKUP($B288,Seqs!$A:$B,2,0),AK288,1),"")</f>
        <v>E</v>
      </c>
      <c r="AK288" s="3">
        <v>181</v>
      </c>
      <c r="AL288" s="3" t="str">
        <f>IFERROR(MID(VLOOKUP($B288,Seqs!$A:$B,2,0),AM288,1),"")</f>
        <v>T</v>
      </c>
      <c r="AM288" s="3">
        <v>223</v>
      </c>
      <c r="AN288" s="3" t="str">
        <f>IFERROR(MID(VLOOKUP($B288,Seqs!$A:$B,2,0),AO288,1),"")</f>
        <v>P</v>
      </c>
      <c r="AO288" s="3">
        <v>230</v>
      </c>
      <c r="AP288" s="3" t="str">
        <f>IFERROR(MID(VLOOKUP($B288,Seqs!$A:$B,2,0),AQ288,1),"")</f>
        <v>R</v>
      </c>
      <c r="AQ288" s="3">
        <v>265</v>
      </c>
      <c r="AR288" s="3" t="str">
        <f>IFERROR(MID(VLOOKUP($B288,Seqs!$A:$B,2,0),AS288,1),"")</f>
        <v>D</v>
      </c>
      <c r="AS288" s="3">
        <v>269</v>
      </c>
      <c r="AT288" s="3" t="str">
        <f>IFERROR(MID(VLOOKUP($B288,Seqs!$A:$B,2,0),AU288,1),"")</f>
        <v>L</v>
      </c>
      <c r="AU288" s="3">
        <v>301</v>
      </c>
      <c r="AV288" s="3" t="str">
        <f>IFERROR(MID(VLOOKUP($B288,Seqs!$A:$B,2,0),AW288,1),"")</f>
        <v>C</v>
      </c>
      <c r="AW288" s="3">
        <v>302</v>
      </c>
      <c r="AX288" s="3" t="str">
        <f>IFERROR(MID(VLOOKUP($B288,Seqs!$A:$B,2,0),AY288,1),"")</f>
        <v>M</v>
      </c>
      <c r="AY288" s="3">
        <v>312</v>
      </c>
      <c r="AZ288" s="77" t="str">
        <f>VLOOKUP(B288,Classification!A:D,2,0)</f>
        <v>A</v>
      </c>
      <c r="BA288" s="94" t="str">
        <f>VLOOKUP(B288,Classification!A:D,4,0)</f>
        <v>P2Y</v>
      </c>
      <c r="BB288" s="27" t="b">
        <f t="shared" si="1592"/>
        <v>1</v>
      </c>
      <c r="BC288" s="23">
        <f t="shared" si="1565"/>
        <v>265</v>
      </c>
      <c r="BD288" s="56" t="s">
        <v>23</v>
      </c>
      <c r="BE288" s="3" t="s">
        <v>23</v>
      </c>
      <c r="BF288" s="119" t="s">
        <v>23</v>
      </c>
      <c r="BG288" s="49" t="s">
        <v>1372</v>
      </c>
      <c r="BH288" s="49" t="s">
        <v>1377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566"/>
        <v>21</v>
      </c>
      <c r="BW288" s="71" t="str">
        <f t="shared" si="1567"/>
        <v>-</v>
      </c>
      <c r="BX288" s="72">
        <f t="shared" si="1568"/>
        <v>57</v>
      </c>
      <c r="BY288" s="71" t="str">
        <f t="shared" si="1569"/>
        <v>-</v>
      </c>
      <c r="BZ288" s="72">
        <f t="shared" si="1570"/>
        <v>90</v>
      </c>
      <c r="CA288" s="71">
        <f t="shared" si="1571"/>
        <v>129</v>
      </c>
      <c r="CB288" s="72">
        <f t="shared" si="1572"/>
        <v>137</v>
      </c>
      <c r="CC288" s="71">
        <f t="shared" si="1573"/>
        <v>175</v>
      </c>
      <c r="CD288" s="72">
        <f t="shared" si="1574"/>
        <v>181</v>
      </c>
      <c r="CE288" s="71">
        <f t="shared" si="1575"/>
        <v>230</v>
      </c>
      <c r="CF288" s="72">
        <f t="shared" si="1576"/>
        <v>269</v>
      </c>
      <c r="CG288" s="71">
        <f t="shared" si="1577"/>
        <v>302</v>
      </c>
      <c r="CH288" s="70">
        <f t="shared" si="1578"/>
        <v>53</v>
      </c>
      <c r="CI288" s="71" t="str">
        <f t="shared" si="1579"/>
        <v>-</v>
      </c>
      <c r="CJ288" s="72">
        <f t="shared" si="1580"/>
        <v>86</v>
      </c>
      <c r="CK288" s="72" t="str">
        <f t="shared" si="1581"/>
        <v>-</v>
      </c>
      <c r="CL288" s="72">
        <f t="shared" si="1582"/>
        <v>128</v>
      </c>
      <c r="CM288" s="72">
        <f t="shared" si="1583"/>
        <v>136</v>
      </c>
      <c r="CN288" s="72">
        <f t="shared" si="1584"/>
        <v>163</v>
      </c>
      <c r="CO288" s="72">
        <f t="shared" si="1585"/>
        <v>177</v>
      </c>
      <c r="CP288" s="72">
        <f t="shared" si="1586"/>
        <v>223</v>
      </c>
      <c r="CQ288" s="72">
        <f t="shared" si="1587"/>
        <v>265</v>
      </c>
      <c r="CR288" s="72">
        <f t="shared" si="1588"/>
        <v>301</v>
      </c>
      <c r="CS288" s="72">
        <f t="shared" si="1589"/>
        <v>312</v>
      </c>
      <c r="CT288" s="23" t="e">
        <f t="shared" si="1590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591"/>
        <v>p2y12_human_4NTJ</v>
      </c>
      <c r="B289" s="3" t="s">
        <v>352</v>
      </c>
      <c r="C289" s="3" t="s">
        <v>1048</v>
      </c>
      <c r="D289" s="3" t="str">
        <f>IFERROR(MID(VLOOKUP($B289,Seqs!$A:$B,2,0),E289,1),"")</f>
        <v>Y</v>
      </c>
      <c r="E289" s="3">
        <v>21</v>
      </c>
      <c r="F289" s="3" t="str">
        <f>IFERROR(MID(VLOOKUP($B289,Seqs!$A:$B,2,0),G289,1),"")</f>
        <v>I</v>
      </c>
      <c r="G289" s="3">
        <v>53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S</v>
      </c>
      <c r="M289" s="3">
        <v>57</v>
      </c>
      <c r="N289" s="3" t="str">
        <f>IFERROR(MID(VLOOKUP($B289,Seqs!$A:$B,2,0),O289,1),"")</f>
        <v>K</v>
      </c>
      <c r="O289" s="3">
        <v>86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L</v>
      </c>
      <c r="U289" s="3">
        <v>92</v>
      </c>
      <c r="V289" s="3" t="str">
        <f>IFERROR(MID(VLOOKUP($B289,Seqs!$A:$B,2,0),W289,1),"")</f>
        <v>R</v>
      </c>
      <c r="W289" s="3">
        <v>128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N</v>
      </c>
      <c r="AC289" s="9">
        <v>137</v>
      </c>
      <c r="AD289" s="3" t="str">
        <f>IFERROR(MID(VLOOKUP($B289,Seqs!$A:$B,2,0),AE289,1),"")</f>
        <v>L</v>
      </c>
      <c r="AE289" s="3">
        <v>162</v>
      </c>
      <c r="AF289" s="3" t="str">
        <f>IFERROR(MID(VLOOKUP($B289,Seqs!$A:$B,2,0),AG289,1),"")</f>
        <v>C</v>
      </c>
      <c r="AG289" s="3">
        <v>175</v>
      </c>
      <c r="AH289" s="3" t="str">
        <f>IFERROR(MID(VLOOKUP($B289,Seqs!$A:$B,2,0),AI289,1),"")</f>
        <v>F</v>
      </c>
      <c r="AI289" s="3">
        <v>177</v>
      </c>
      <c r="AJ289" s="3" t="str">
        <f>IFERROR(MID(VLOOKUP($B289,Seqs!$A:$B,2,0),AK289,1),"")</f>
        <v>E</v>
      </c>
      <c r="AK289" s="3">
        <v>181</v>
      </c>
      <c r="AL289" s="3" t="str">
        <f>IFERROR(MID(VLOOKUP($B289,Seqs!$A:$B,2,0),AM289,1),"")</f>
        <v>T</v>
      </c>
      <c r="AM289" s="3">
        <v>223</v>
      </c>
      <c r="AN289" s="3" t="str">
        <f>IFERROR(MID(VLOOKUP($B289,Seqs!$A:$B,2,0),AO289,1),"")</f>
        <v>I</v>
      </c>
      <c r="AO289" s="3">
        <v>240</v>
      </c>
      <c r="AP289" s="3" t="str">
        <f>IFERROR(MID(VLOOKUP($B289,Seqs!$A:$B,2,0),AQ289,1),"")</f>
        <v>L</v>
      </c>
      <c r="AQ289" s="3">
        <v>261</v>
      </c>
      <c r="AR289" s="3" t="str">
        <f>IFERROR(MID(VLOOKUP($B289,Seqs!$A:$B,2,0),AS289,1),"")</f>
        <v>D</v>
      </c>
      <c r="AS289" s="3">
        <v>269</v>
      </c>
      <c r="AT289" s="3" t="str">
        <f>IFERROR(MID(VLOOKUP($B289,Seqs!$A:$B,2,0),AU289,1),"")</f>
        <v>L</v>
      </c>
      <c r="AU289" s="3">
        <v>301</v>
      </c>
      <c r="AV289" s="3" t="str">
        <f>IFERROR(MID(VLOOKUP($B289,Seqs!$A:$B,2,0),AW289,1),"")</f>
        <v>C</v>
      </c>
      <c r="AW289" s="3">
        <v>302</v>
      </c>
      <c r="AX289" s="3" t="str">
        <f>IFERROR(MID(VLOOKUP($B289,Seqs!$A:$B,2,0),AY289,1),"")</f>
        <v>M</v>
      </c>
      <c r="AY289" s="3">
        <v>312</v>
      </c>
      <c r="AZ289" s="77" t="str">
        <f>VLOOKUP(B289,Classification!A:D,2,0)</f>
        <v>A</v>
      </c>
      <c r="BA289" s="94" t="str">
        <f>VLOOKUP(B289,Classification!A:D,4,0)</f>
        <v>P2Y</v>
      </c>
      <c r="BB289" s="27" t="b">
        <f t="shared" si="1592"/>
        <v>1</v>
      </c>
      <c r="BC289" s="23">
        <f t="shared" si="1565"/>
        <v>241</v>
      </c>
      <c r="BD289" s="2" t="s">
        <v>1429</v>
      </c>
      <c r="BE289" s="3" t="s">
        <v>1428</v>
      </c>
      <c r="BF289" s="119">
        <v>2.62</v>
      </c>
      <c r="BG289" s="49" t="s">
        <v>1377</v>
      </c>
      <c r="BH289" s="49" t="s">
        <v>1377</v>
      </c>
      <c r="BI289" s="3" t="s">
        <v>1170</v>
      </c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566"/>
        <v>21</v>
      </c>
      <c r="BW289" s="71" t="str">
        <f t="shared" si="1567"/>
        <v>-</v>
      </c>
      <c r="BX289" s="72">
        <f t="shared" si="1568"/>
        <v>57</v>
      </c>
      <c r="BY289" s="71" t="str">
        <f t="shared" si="1569"/>
        <v>-</v>
      </c>
      <c r="BZ289" s="72">
        <f t="shared" si="1570"/>
        <v>92</v>
      </c>
      <c r="CA289" s="71" t="str">
        <f t="shared" si="1571"/>
        <v>-</v>
      </c>
      <c r="CB289" s="72">
        <f t="shared" si="1572"/>
        <v>137</v>
      </c>
      <c r="CC289" s="71">
        <f t="shared" si="1573"/>
        <v>175</v>
      </c>
      <c r="CD289" s="72">
        <f t="shared" si="1574"/>
        <v>181</v>
      </c>
      <c r="CE289" s="71">
        <f t="shared" si="1575"/>
        <v>240</v>
      </c>
      <c r="CF289" s="72">
        <f t="shared" si="1576"/>
        <v>269</v>
      </c>
      <c r="CG289" s="71">
        <f t="shared" si="1577"/>
        <v>302</v>
      </c>
      <c r="CH289" s="70">
        <f t="shared" si="1578"/>
        <v>53</v>
      </c>
      <c r="CI289" s="71" t="str">
        <f t="shared" si="1579"/>
        <v>-</v>
      </c>
      <c r="CJ289" s="72">
        <f t="shared" si="1580"/>
        <v>86</v>
      </c>
      <c r="CK289" s="72" t="str">
        <f t="shared" si="1581"/>
        <v>-</v>
      </c>
      <c r="CL289" s="72">
        <f t="shared" si="1582"/>
        <v>128</v>
      </c>
      <c r="CM289" s="72" t="str">
        <f t="shared" si="1583"/>
        <v>-</v>
      </c>
      <c r="CN289" s="72">
        <f t="shared" si="1584"/>
        <v>162</v>
      </c>
      <c r="CO289" s="72">
        <f t="shared" si="1585"/>
        <v>177</v>
      </c>
      <c r="CP289" s="72">
        <f t="shared" si="1586"/>
        <v>223</v>
      </c>
      <c r="CQ289" s="72">
        <f t="shared" si="1587"/>
        <v>261</v>
      </c>
      <c r="CR289" s="72">
        <f t="shared" si="1588"/>
        <v>301</v>
      </c>
      <c r="CS289" s="72">
        <f t="shared" si="1589"/>
        <v>312</v>
      </c>
      <c r="CT289" s="23" t="e">
        <f t="shared" si="1590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1591"/>
        <v>p2y12_human_4PXZ</v>
      </c>
      <c r="B290" s="3" t="s">
        <v>352</v>
      </c>
      <c r="C290" s="3" t="s">
        <v>1152</v>
      </c>
      <c r="D290" s="3" t="str">
        <f>IFERROR(MID(VLOOKUP($B290,Seqs!$A:$B,2,0),E290,1),"")</f>
        <v>I</v>
      </c>
      <c r="E290" s="3">
        <v>23</v>
      </c>
      <c r="F290" s="3" t="str">
        <f>IFERROR(MID(VLOOKUP($B290,Seqs!$A:$B,2,0),G290,1),"")</f>
        <v>I</v>
      </c>
      <c r="G290" s="3">
        <v>53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S</v>
      </c>
      <c r="M290" s="3">
        <v>57</v>
      </c>
      <c r="N290" s="3" t="str">
        <f>IFERROR(MID(VLOOKUP($B290,Seqs!$A:$B,2,0),O290,1),"")</f>
        <v>K</v>
      </c>
      <c r="O290" s="3">
        <v>86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G</v>
      </c>
      <c r="U290" s="3">
        <v>90</v>
      </c>
      <c r="V290" s="3" t="str">
        <f>IFERROR(MID(VLOOKUP($B290,Seqs!$A:$B,2,0),W290,1),"")</f>
        <v>R</v>
      </c>
      <c r="W290" s="3">
        <v>128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N</v>
      </c>
      <c r="AC290" s="9">
        <v>137</v>
      </c>
      <c r="AD290" s="3" t="str">
        <f>IFERROR(MID(VLOOKUP($B290,Seqs!$A:$B,2,0),AE290,1),"")</f>
        <v>T</v>
      </c>
      <c r="AE290" s="3">
        <v>163</v>
      </c>
      <c r="AF290" s="3" t="str">
        <f>IFERROR(MID(VLOOKUP($B290,Seqs!$A:$B,2,0),AG290,1),"")</f>
        <v>C</v>
      </c>
      <c r="AG290" s="3">
        <v>175</v>
      </c>
      <c r="AH290" s="3" t="str">
        <f>IFERROR(MID(VLOOKUP($B290,Seqs!$A:$B,2,0),AI290,1),"")</f>
        <v>F</v>
      </c>
      <c r="AI290" s="3">
        <v>177</v>
      </c>
      <c r="AJ290" s="3" t="str">
        <f>IFERROR(MID(VLOOKUP($B290,Seqs!$A:$B,2,0),AK290,1),"")</f>
        <v>E</v>
      </c>
      <c r="AK290" s="3">
        <v>181</v>
      </c>
      <c r="AL290" s="3" t="str">
        <f>IFERROR(MID(VLOOKUP($B290,Seqs!$A:$B,2,0),AM290,1),"")</f>
        <v>S</v>
      </c>
      <c r="AM290" s="3">
        <v>219</v>
      </c>
      <c r="AN290" s="3" t="str">
        <f>IFERROR(MID(VLOOKUP($B290,Seqs!$A:$B,2,0),AO290,1),"")</f>
        <v>V</v>
      </c>
      <c r="AO290" s="3">
        <v>236</v>
      </c>
      <c r="AP290" s="3" t="str">
        <f>IFERROR(MID(VLOOKUP($B290,Seqs!$A:$B,2,0),AQ290,1),"")</f>
        <v>R</v>
      </c>
      <c r="AQ290" s="3">
        <v>265</v>
      </c>
      <c r="AR290" s="3" t="str">
        <f>IFERROR(MID(VLOOKUP($B290,Seqs!$A:$B,2,0),AS290,1),"")</f>
        <v>D</v>
      </c>
      <c r="AS290" s="3">
        <v>269</v>
      </c>
      <c r="AT290" s="3" t="str">
        <f>IFERROR(MID(VLOOKUP($B290,Seqs!$A:$B,2,0),AU290,1),"")</f>
        <v>C</v>
      </c>
      <c r="AU290" s="3">
        <v>292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P2Y</v>
      </c>
      <c r="BB290" s="27" t="b">
        <f t="shared" si="1592"/>
        <v>1</v>
      </c>
      <c r="BC290" s="23">
        <f t="shared" si="1565"/>
        <v>227</v>
      </c>
      <c r="BD290" s="4" t="s">
        <v>23</v>
      </c>
      <c r="BE290" s="3" t="s">
        <v>1428</v>
      </c>
      <c r="BF290" s="119">
        <v>2.5</v>
      </c>
      <c r="BG290" s="49" t="s">
        <v>1377</v>
      </c>
      <c r="BH290" s="49" t="s">
        <v>1377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1566"/>
        <v>23</v>
      </c>
      <c r="BW290" s="71" t="str">
        <f t="shared" si="1567"/>
        <v>-</v>
      </c>
      <c r="BX290" s="72">
        <f t="shared" si="1568"/>
        <v>57</v>
      </c>
      <c r="BY290" s="71" t="str">
        <f t="shared" si="1569"/>
        <v>-</v>
      </c>
      <c r="BZ290" s="72">
        <f t="shared" si="1570"/>
        <v>90</v>
      </c>
      <c r="CA290" s="71" t="str">
        <f t="shared" si="1571"/>
        <v>-</v>
      </c>
      <c r="CB290" s="72">
        <f t="shared" si="1572"/>
        <v>137</v>
      </c>
      <c r="CC290" s="71">
        <f t="shared" si="1573"/>
        <v>175</v>
      </c>
      <c r="CD290" s="72">
        <f t="shared" si="1574"/>
        <v>181</v>
      </c>
      <c r="CE290" s="71">
        <f t="shared" si="1575"/>
        <v>236</v>
      </c>
      <c r="CF290" s="72">
        <f t="shared" si="1576"/>
        <v>269</v>
      </c>
      <c r="CG290" s="71" t="str">
        <f t="shared" si="1577"/>
        <v>-</v>
      </c>
      <c r="CH290" s="70">
        <f t="shared" si="1578"/>
        <v>53</v>
      </c>
      <c r="CI290" s="71" t="str">
        <f t="shared" si="1579"/>
        <v>-</v>
      </c>
      <c r="CJ290" s="72">
        <f t="shared" si="1580"/>
        <v>86</v>
      </c>
      <c r="CK290" s="72" t="str">
        <f t="shared" si="1581"/>
        <v>-</v>
      </c>
      <c r="CL290" s="72">
        <f t="shared" si="1582"/>
        <v>128</v>
      </c>
      <c r="CM290" s="72" t="str">
        <f t="shared" si="1583"/>
        <v>-</v>
      </c>
      <c r="CN290" s="72">
        <f t="shared" si="1584"/>
        <v>163</v>
      </c>
      <c r="CO290" s="72">
        <f t="shared" si="1585"/>
        <v>177</v>
      </c>
      <c r="CP290" s="72">
        <f t="shared" si="1586"/>
        <v>219</v>
      </c>
      <c r="CQ290" s="72">
        <f t="shared" si="1587"/>
        <v>265</v>
      </c>
      <c r="CR290" s="72">
        <f t="shared" si="1588"/>
        <v>292</v>
      </c>
      <c r="CS290" s="72" t="str">
        <f t="shared" si="1589"/>
        <v>-</v>
      </c>
      <c r="CT290" s="23" t="e">
        <f t="shared" si="1590"/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1591"/>
        <v>p2y12_human_4PY0</v>
      </c>
      <c r="B291" s="3" t="s">
        <v>352</v>
      </c>
      <c r="C291" s="3" t="s">
        <v>1050</v>
      </c>
      <c r="D291" s="3" t="str">
        <f>IFERROR(MID(VLOOKUP($B291,Seqs!$A:$B,2,0),E291,1),"")</f>
        <v>I</v>
      </c>
      <c r="E291" s="3">
        <v>23</v>
      </c>
      <c r="F291" s="3" t="str">
        <f>IFERROR(MID(VLOOKUP($B291,Seqs!$A:$B,2,0),G291,1),"")</f>
        <v>I</v>
      </c>
      <c r="G291" s="3">
        <v>53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S</v>
      </c>
      <c r="M291" s="3">
        <v>57</v>
      </c>
      <c r="N291" s="3" t="str">
        <f>IFERROR(MID(VLOOKUP($B291,Seqs!$A:$B,2,0),O291,1),"")</f>
        <v>K</v>
      </c>
      <c r="O291" s="3">
        <v>86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G</v>
      </c>
      <c r="U291" s="3">
        <v>90</v>
      </c>
      <c r="V291" s="3" t="str">
        <f>IFERROR(MID(VLOOKUP($B291,Seqs!$A:$B,2,0),W291,1),"")</f>
        <v>R</v>
      </c>
      <c r="W291" s="3">
        <v>128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N</v>
      </c>
      <c r="AC291" s="9">
        <v>137</v>
      </c>
      <c r="AD291" s="3" t="str">
        <f>IFERROR(MID(VLOOKUP($B291,Seqs!$A:$B,2,0),AE291,1),"")</f>
        <v>T</v>
      </c>
      <c r="AE291" s="3">
        <v>163</v>
      </c>
      <c r="AF291" s="3" t="str">
        <f>IFERROR(MID(VLOOKUP($B291,Seqs!$A:$B,2,0),AG291,1),"")</f>
        <v>C</v>
      </c>
      <c r="AG291" s="3">
        <v>175</v>
      </c>
      <c r="AH291" s="3" t="str">
        <f>IFERROR(MID(VLOOKUP($B291,Seqs!$A:$B,2,0),AI291,1),"")</f>
        <v>F</v>
      </c>
      <c r="AI291" s="3">
        <v>177</v>
      </c>
      <c r="AJ291" s="3" t="str">
        <f>IFERROR(MID(VLOOKUP($B291,Seqs!$A:$B,2,0),AK291,1),"")</f>
        <v>E</v>
      </c>
      <c r="AK291" s="3">
        <v>181</v>
      </c>
      <c r="AL291" s="3" t="str">
        <f>IFERROR(MID(VLOOKUP($B291,Seqs!$A:$B,2,0),AM291,1),"")</f>
        <v>S</v>
      </c>
      <c r="AM291" s="3">
        <v>219</v>
      </c>
      <c r="AN291" s="3" t="str">
        <f>IFERROR(MID(VLOOKUP($B291,Seqs!$A:$B,2,0),AO291,1),"")</f>
        <v>V</v>
      </c>
      <c r="AO291" s="3">
        <v>236</v>
      </c>
      <c r="AP291" s="3" t="str">
        <f>IFERROR(MID(VLOOKUP($B291,Seqs!$A:$B,2,0),AQ291,1),"")</f>
        <v>R</v>
      </c>
      <c r="AQ291" s="3">
        <v>265</v>
      </c>
      <c r="AR291" s="3" t="str">
        <f>IFERROR(MID(VLOOKUP($B291,Seqs!$A:$B,2,0),AS291,1),"")</f>
        <v>D</v>
      </c>
      <c r="AS291" s="3">
        <v>269</v>
      </c>
      <c r="AT291" s="3" t="str">
        <f>IFERROR(MID(VLOOKUP($B291,Seqs!$A:$B,2,0),AU291,1),"")</f>
        <v>C</v>
      </c>
      <c r="AU291" s="3">
        <v>292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P2Y</v>
      </c>
      <c r="BB291" s="27" t="b">
        <f t="shared" si="1592"/>
        <v>1</v>
      </c>
      <c r="BC291" s="23">
        <f t="shared" si="1565"/>
        <v>227</v>
      </c>
      <c r="BD291" s="4" t="s">
        <v>23</v>
      </c>
      <c r="BE291" s="3" t="s">
        <v>1428</v>
      </c>
      <c r="BF291" s="119">
        <v>3.1</v>
      </c>
      <c r="BG291" s="49" t="s">
        <v>1377</v>
      </c>
      <c r="BH291" s="49" t="s">
        <v>1377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1566"/>
        <v>23</v>
      </c>
      <c r="BW291" s="71" t="str">
        <f t="shared" si="1567"/>
        <v>-</v>
      </c>
      <c r="BX291" s="72">
        <f t="shared" si="1568"/>
        <v>57</v>
      </c>
      <c r="BY291" s="71" t="str">
        <f t="shared" si="1569"/>
        <v>-</v>
      </c>
      <c r="BZ291" s="72">
        <f t="shared" si="1570"/>
        <v>90</v>
      </c>
      <c r="CA291" s="71" t="str">
        <f t="shared" si="1571"/>
        <v>-</v>
      </c>
      <c r="CB291" s="72">
        <f t="shared" si="1572"/>
        <v>137</v>
      </c>
      <c r="CC291" s="71">
        <f t="shared" si="1573"/>
        <v>175</v>
      </c>
      <c r="CD291" s="72">
        <f t="shared" si="1574"/>
        <v>181</v>
      </c>
      <c r="CE291" s="71">
        <f t="shared" si="1575"/>
        <v>236</v>
      </c>
      <c r="CF291" s="72">
        <f t="shared" si="1576"/>
        <v>269</v>
      </c>
      <c r="CG291" s="71" t="str">
        <f t="shared" si="1577"/>
        <v>-</v>
      </c>
      <c r="CH291" s="70">
        <f t="shared" si="1578"/>
        <v>53</v>
      </c>
      <c r="CI291" s="71" t="str">
        <f t="shared" si="1579"/>
        <v>-</v>
      </c>
      <c r="CJ291" s="72">
        <f t="shared" si="1580"/>
        <v>86</v>
      </c>
      <c r="CK291" s="72" t="str">
        <f t="shared" si="1581"/>
        <v>-</v>
      </c>
      <c r="CL291" s="72">
        <f t="shared" si="1582"/>
        <v>128</v>
      </c>
      <c r="CM291" s="72" t="str">
        <f t="shared" si="1583"/>
        <v>-</v>
      </c>
      <c r="CN291" s="72">
        <f t="shared" si="1584"/>
        <v>163</v>
      </c>
      <c r="CO291" s="72">
        <f t="shared" si="1585"/>
        <v>177</v>
      </c>
      <c r="CP291" s="72">
        <f t="shared" si="1586"/>
        <v>219</v>
      </c>
      <c r="CQ291" s="72">
        <f t="shared" si="1587"/>
        <v>265</v>
      </c>
      <c r="CR291" s="72">
        <f t="shared" si="1588"/>
        <v>292</v>
      </c>
      <c r="CS291" s="72" t="str">
        <f t="shared" si="1589"/>
        <v>-</v>
      </c>
      <c r="CT291" s="23" t="e">
        <f t="shared" si="1590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1591"/>
        <v>par1_human__wt</v>
      </c>
      <c r="B292" s="3" t="s">
        <v>355</v>
      </c>
      <c r="C292" s="3" t="s">
        <v>100</v>
      </c>
      <c r="D292" s="3" t="str">
        <f>IFERROR(MID(VLOOKUP($B292,Seqs!$A:$B,2,0),E292,1),"")</f>
        <v>S</v>
      </c>
      <c r="E292" s="3">
        <v>99</v>
      </c>
      <c r="F292" s="3" t="str">
        <f>IFERROR(MID(VLOOKUP($B292,Seqs!$A:$B,2,0),G292,1),"")</f>
        <v>K</v>
      </c>
      <c r="G292" s="3">
        <v>130</v>
      </c>
      <c r="H292" s="3" t="str">
        <f>IFERROR(MID(VLOOKUP($B292,Seqs!$A:$B,2,0),I292,1),"")</f>
        <v>M</v>
      </c>
      <c r="I292" s="23">
        <v>131</v>
      </c>
      <c r="J292" s="3" t="str">
        <f>IFERROR(MID(VLOOKUP($B292,Seqs!$A:$B,2,0),K292,1),"")</f>
        <v>K</v>
      </c>
      <c r="K292" s="23">
        <v>134</v>
      </c>
      <c r="L292" s="3" t="str">
        <f>IFERROR(MID(VLOOKUP($B292,Seqs!$A:$B,2,0),M292,1),"")</f>
        <v>K</v>
      </c>
      <c r="M292" s="3">
        <v>135</v>
      </c>
      <c r="N292" s="3" t="str">
        <f>IFERROR(MID(VLOOKUP($B292,Seqs!$A:$B,2,0),O292,1),"")</f>
        <v>S</v>
      </c>
      <c r="O292" s="3">
        <v>164</v>
      </c>
      <c r="P292" s="3" t="str">
        <f>IFERROR(MID(VLOOKUP($B292,Seqs!$A:$B,2,0),Q292,1),"")</f>
        <v>D</v>
      </c>
      <c r="Q292" s="3">
        <v>167</v>
      </c>
      <c r="R292" s="3" t="str">
        <f>IFERROR(MID(VLOOKUP($B292,Seqs!$A:$B,2,0),S292,1),"")</f>
        <v>F</v>
      </c>
      <c r="S292" s="3">
        <v>170</v>
      </c>
      <c r="T292" s="3" t="str">
        <f>IFERROR(MID(VLOOKUP($B292,Seqs!$A:$B,2,0),U292,1),"")</f>
        <v>G</v>
      </c>
      <c r="U292" s="3">
        <v>171</v>
      </c>
      <c r="V292" s="3" t="str">
        <f>IFERROR(MID(VLOOKUP($B292,Seqs!$A:$B,2,0),W292,1),"")</f>
        <v>Y</v>
      </c>
      <c r="W292" s="3">
        <v>206</v>
      </c>
      <c r="X292" s="3" t="str">
        <f>IFERROR(MID(VLOOKUP($B292,Seqs!$A:$B,2,0),Y292,1),"")</f>
        <v>P</v>
      </c>
      <c r="Y292" s="3">
        <v>207</v>
      </c>
      <c r="Z292" s="3" t="str">
        <f>IFERROR(MID(VLOOKUP($B292,Seqs!$A:$B,2,0),AA292,1),"")</f>
        <v>R</v>
      </c>
      <c r="AA292" s="3">
        <v>214</v>
      </c>
      <c r="AB292" s="3" t="str">
        <f>IFERROR(MID(VLOOKUP($B292,Seqs!$A:$B,2,0),AC292,1),"")</f>
        <v>T</v>
      </c>
      <c r="AC292" s="9">
        <v>215</v>
      </c>
      <c r="AD292" s="3" t="str">
        <f>IFERROR(MID(VLOOKUP($B292,Seqs!$A:$B,2,0),AE292,1),"")</f>
        <v>K</v>
      </c>
      <c r="AE292" s="3">
        <v>240</v>
      </c>
      <c r="AF292" s="3" t="str">
        <f>IFERROR(MID(VLOOKUP($B292,Seqs!$A:$B,2,0),AG292,1),"")</f>
        <v>C</v>
      </c>
      <c r="AG292" s="3">
        <v>254</v>
      </c>
      <c r="AH292" s="3" t="str">
        <f>IFERROR(MID(VLOOKUP($B292,Seqs!$A:$B,2,0),AI292,1),"")</f>
        <v>D</v>
      </c>
      <c r="AI292" s="3">
        <v>256</v>
      </c>
      <c r="AJ292" s="3" t="str">
        <f>IFERROR(MID(VLOOKUP($B292,Seqs!$A:$B,2,0),AK292,1),"")</f>
        <v>E</v>
      </c>
      <c r="AK292" s="3">
        <v>264</v>
      </c>
      <c r="AL292" s="3" t="str">
        <f>IFERROR(MID(VLOOKUP($B292,Seqs!$A:$B,2,0),AM292,1),"")</f>
        <v>S</v>
      </c>
      <c r="AM292" s="3">
        <v>299</v>
      </c>
      <c r="AN292" s="3" t="str">
        <f>IFERROR(MID(VLOOKUP($B292,Seqs!$A:$B,2,0),AO292,1),"")</f>
        <v>N</v>
      </c>
      <c r="AO292" s="3">
        <v>304</v>
      </c>
      <c r="AP292" s="3" t="str">
        <f>IFERROR(MID(VLOOKUP($B292,Seqs!$A:$B,2,0),AQ292,1),"")</f>
        <v>L</v>
      </c>
      <c r="AQ292" s="3">
        <v>340</v>
      </c>
      <c r="AR292" s="3" t="str">
        <f>IFERROR(MID(VLOOKUP($B292,Seqs!$A:$B,2,0),AS292,1),"")</f>
        <v>T</v>
      </c>
      <c r="AS292" s="3">
        <v>346</v>
      </c>
      <c r="AT292" s="3" t="str">
        <f>IFERROR(MID(VLOOKUP($B292,Seqs!$A:$B,2,0),AU292,1),"")</f>
        <v>A</v>
      </c>
      <c r="AU292" s="3">
        <v>374</v>
      </c>
      <c r="AV292" s="3" t="str">
        <f>IFERROR(MID(VLOOKUP($B292,Seqs!$A:$B,2,0),AW292,1),"")</f>
        <v>S</v>
      </c>
      <c r="AW292" s="3">
        <v>375</v>
      </c>
      <c r="AX292" s="3" t="str">
        <f>IFERROR(MID(VLOOKUP($B292,Seqs!$A:$B,2,0),AY292,1),"")</f>
        <v>K</v>
      </c>
      <c r="AY292" s="3">
        <v>389</v>
      </c>
      <c r="AZ292" s="77" t="str">
        <f>VLOOKUP(B292,Classification!A:D,2,0)</f>
        <v>A</v>
      </c>
      <c r="BA292" s="94" t="str">
        <f>VLOOKUP(B292,Classification!A:D,4,0)</f>
        <v>Proteinase-activated</v>
      </c>
      <c r="BB292" s="27" t="b">
        <f t="shared" si="1592"/>
        <v>1</v>
      </c>
      <c r="BC292" s="23">
        <f t="shared" si="1565"/>
        <v>260</v>
      </c>
      <c r="BD292" s="56" t="s">
        <v>23</v>
      </c>
      <c r="BE292" s="3" t="s">
        <v>23</v>
      </c>
      <c r="BF292" s="119" t="s">
        <v>23</v>
      </c>
      <c r="BG292" s="49" t="s">
        <v>1372</v>
      </c>
      <c r="BH292" s="49" t="s">
        <v>1377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1566"/>
        <v>99</v>
      </c>
      <c r="BW292" s="71">
        <f t="shared" si="1567"/>
        <v>131</v>
      </c>
      <c r="BX292" s="72">
        <f t="shared" si="1568"/>
        <v>135</v>
      </c>
      <c r="BY292" s="71">
        <f t="shared" si="1569"/>
        <v>167</v>
      </c>
      <c r="BZ292" s="72">
        <f t="shared" si="1570"/>
        <v>171</v>
      </c>
      <c r="CA292" s="71">
        <f t="shared" si="1571"/>
        <v>207</v>
      </c>
      <c r="CB292" s="72">
        <f t="shared" si="1572"/>
        <v>215</v>
      </c>
      <c r="CC292" s="71">
        <f t="shared" si="1573"/>
        <v>254</v>
      </c>
      <c r="CD292" s="72">
        <f t="shared" si="1574"/>
        <v>264</v>
      </c>
      <c r="CE292" s="71">
        <f t="shared" si="1575"/>
        <v>304</v>
      </c>
      <c r="CF292" s="72">
        <f t="shared" si="1576"/>
        <v>346</v>
      </c>
      <c r="CG292" s="71">
        <f t="shared" si="1577"/>
        <v>375</v>
      </c>
      <c r="CH292" s="70">
        <f t="shared" si="1578"/>
        <v>130</v>
      </c>
      <c r="CI292" s="71">
        <f t="shared" si="1579"/>
        <v>134</v>
      </c>
      <c r="CJ292" s="72">
        <f t="shared" si="1580"/>
        <v>164</v>
      </c>
      <c r="CK292" s="72">
        <f t="shared" si="1581"/>
        <v>170</v>
      </c>
      <c r="CL292" s="72">
        <f t="shared" si="1582"/>
        <v>206</v>
      </c>
      <c r="CM292" s="72">
        <f t="shared" si="1583"/>
        <v>214</v>
      </c>
      <c r="CN292" s="72">
        <f t="shared" si="1584"/>
        <v>240</v>
      </c>
      <c r="CO292" s="72">
        <f t="shared" si="1585"/>
        <v>256</v>
      </c>
      <c r="CP292" s="72">
        <f t="shared" si="1586"/>
        <v>299</v>
      </c>
      <c r="CQ292" s="72">
        <f t="shared" si="1587"/>
        <v>340</v>
      </c>
      <c r="CR292" s="72">
        <f t="shared" si="1588"/>
        <v>374</v>
      </c>
      <c r="CS292" s="72">
        <f t="shared" si="1589"/>
        <v>389</v>
      </c>
      <c r="CT292" s="23">
        <f t="shared" si="1590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591"/>
        <v>par1_human_3VW7</v>
      </c>
      <c r="B293" s="3" t="s">
        <v>355</v>
      </c>
      <c r="C293" s="3" t="s">
        <v>93</v>
      </c>
      <c r="D293" s="3" t="str">
        <f>IFERROR(MID(VLOOKUP($B293,Seqs!$A:$B,2,0),E293,1),"")</f>
        <v>S</v>
      </c>
      <c r="E293" s="3">
        <v>99</v>
      </c>
      <c r="F293" s="3" t="str">
        <f>IFERROR(MID(VLOOKUP($B293,Seqs!$A:$B,2,0),G293,1),"")</f>
        <v>K</v>
      </c>
      <c r="G293" s="3">
        <v>130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K</v>
      </c>
      <c r="M293" s="3">
        <v>135</v>
      </c>
      <c r="N293" s="3" t="str">
        <f>IFERROR(MID(VLOOKUP($B293,Seqs!$A:$B,2,0),O293,1),"")</f>
        <v>S</v>
      </c>
      <c r="O293" s="3">
        <v>164</v>
      </c>
      <c r="P293" s="3" t="str">
        <f>IFERROR(MID(VLOOKUP($B293,Seqs!$A:$B,2,0),Q293,1),"")</f>
        <v>D</v>
      </c>
      <c r="Q293" s="3">
        <v>167</v>
      </c>
      <c r="R293" s="3" t="str">
        <f>IFERROR(MID(VLOOKUP($B293,Seqs!$A:$B,2,0),S293,1),"")</f>
        <v>F</v>
      </c>
      <c r="S293" s="3">
        <v>170</v>
      </c>
      <c r="T293" s="3" t="str">
        <f>IFERROR(MID(VLOOKUP($B293,Seqs!$A:$B,2,0),U293,1),"")</f>
        <v>G</v>
      </c>
      <c r="U293" s="3">
        <v>171</v>
      </c>
      <c r="V293" s="3" t="str">
        <f>IFERROR(MID(VLOOKUP($B293,Seqs!$A:$B,2,0),W293,1),"")</f>
        <v>Y</v>
      </c>
      <c r="W293" s="3">
        <v>206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T</v>
      </c>
      <c r="AC293" s="9">
        <v>215</v>
      </c>
      <c r="AD293" s="3" t="str">
        <f>IFERROR(MID(VLOOKUP($B293,Seqs!$A:$B,2,0),AE293,1),"")</f>
        <v>K</v>
      </c>
      <c r="AE293" s="3">
        <v>240</v>
      </c>
      <c r="AF293" s="3" t="str">
        <f>IFERROR(MID(VLOOKUP($B293,Seqs!$A:$B,2,0),AG293,1),"")</f>
        <v>C</v>
      </c>
      <c r="AG293" s="3">
        <v>254</v>
      </c>
      <c r="AH293" s="3" t="str">
        <f>IFERROR(MID(VLOOKUP($B293,Seqs!$A:$B,2,0),AI293,1),"")</f>
        <v>D</v>
      </c>
      <c r="AI293" s="3">
        <v>256</v>
      </c>
      <c r="AJ293" s="3" t="str">
        <f>IFERROR(MID(VLOOKUP($B293,Seqs!$A:$B,2,0),AK293,1),"")</f>
        <v>E</v>
      </c>
      <c r="AK293" s="3">
        <v>264</v>
      </c>
      <c r="AL293" s="3" t="str">
        <f>IFERROR(MID(VLOOKUP($B293,Seqs!$A:$B,2,0),AM293,1),"")</f>
        <v>S</v>
      </c>
      <c r="AM293" s="3">
        <v>300</v>
      </c>
      <c r="AN293" s="3" t="str">
        <f>IFERROR(MID(VLOOKUP($B293,Seqs!$A:$B,2,0),AO293,1),"")</f>
        <v>N</v>
      </c>
      <c r="AO293" s="3">
        <v>304</v>
      </c>
      <c r="AP293" s="3" t="str">
        <f>IFERROR(MID(VLOOKUP($B293,Seqs!$A:$B,2,0),AQ293,1),"")</f>
        <v>L</v>
      </c>
      <c r="AQ293" s="3">
        <v>340</v>
      </c>
      <c r="AR293" s="3" t="str">
        <f>IFERROR(MID(VLOOKUP($B293,Seqs!$A:$B,2,0),AS293,1),"")</f>
        <v>T</v>
      </c>
      <c r="AS293" s="3">
        <v>346</v>
      </c>
      <c r="AT293" s="3" t="str">
        <f>IFERROR(MID(VLOOKUP($B293,Seqs!$A:$B,2,0),AU293,1),"")</f>
        <v>Y</v>
      </c>
      <c r="AU293" s="3">
        <v>372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A</v>
      </c>
      <c r="BA293" s="94" t="str">
        <f>VLOOKUP(B293,Classification!A:D,4,0)</f>
        <v>Proteinase-activated</v>
      </c>
      <c r="BB293" s="27" t="b">
        <f t="shared" si="1592"/>
        <v>1</v>
      </c>
      <c r="BC293" s="23">
        <f t="shared" si="1565"/>
        <v>235</v>
      </c>
      <c r="BD293" s="2" t="s">
        <v>1429</v>
      </c>
      <c r="BE293" s="3" t="s">
        <v>1428</v>
      </c>
      <c r="BF293" s="119">
        <v>2.2000000000000002</v>
      </c>
      <c r="BG293" s="49" t="s">
        <v>1377</v>
      </c>
      <c r="BH293" s="49" t="s">
        <v>1377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1566"/>
        <v>99</v>
      </c>
      <c r="BW293" s="71" t="str">
        <f t="shared" si="1567"/>
        <v>-</v>
      </c>
      <c r="BX293" s="72">
        <f t="shared" si="1568"/>
        <v>135</v>
      </c>
      <c r="BY293" s="71">
        <f t="shared" si="1569"/>
        <v>167</v>
      </c>
      <c r="BZ293" s="72">
        <f t="shared" si="1570"/>
        <v>171</v>
      </c>
      <c r="CA293" s="71" t="str">
        <f t="shared" si="1571"/>
        <v>-</v>
      </c>
      <c r="CB293" s="72">
        <f t="shared" si="1572"/>
        <v>215</v>
      </c>
      <c r="CC293" s="71">
        <f t="shared" si="1573"/>
        <v>254</v>
      </c>
      <c r="CD293" s="72">
        <f t="shared" si="1574"/>
        <v>264</v>
      </c>
      <c r="CE293" s="71">
        <f t="shared" si="1575"/>
        <v>304</v>
      </c>
      <c r="CF293" s="72">
        <f t="shared" si="1576"/>
        <v>346</v>
      </c>
      <c r="CG293" s="71" t="str">
        <f t="shared" si="1577"/>
        <v>-</v>
      </c>
      <c r="CH293" s="70">
        <f t="shared" si="1578"/>
        <v>130</v>
      </c>
      <c r="CI293" s="71" t="str">
        <f t="shared" si="1579"/>
        <v>-</v>
      </c>
      <c r="CJ293" s="72">
        <f t="shared" si="1580"/>
        <v>164</v>
      </c>
      <c r="CK293" s="72">
        <f t="shared" si="1581"/>
        <v>170</v>
      </c>
      <c r="CL293" s="72">
        <f t="shared" si="1582"/>
        <v>206</v>
      </c>
      <c r="CM293" s="72" t="str">
        <f t="shared" si="1583"/>
        <v>-</v>
      </c>
      <c r="CN293" s="72">
        <f t="shared" si="1584"/>
        <v>240</v>
      </c>
      <c r="CO293" s="72">
        <f t="shared" si="1585"/>
        <v>256</v>
      </c>
      <c r="CP293" s="72">
        <f t="shared" si="1586"/>
        <v>300</v>
      </c>
      <c r="CQ293" s="72">
        <f t="shared" si="1587"/>
        <v>340</v>
      </c>
      <c r="CR293" s="72">
        <f t="shared" si="1588"/>
        <v>372</v>
      </c>
      <c r="CS293" s="72" t="str">
        <f t="shared" si="1589"/>
        <v>-</v>
      </c>
      <c r="CT293" s="23" t="e">
        <f t="shared" si="1590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:A313" si="1733">CONCATENATE(B294,"_",C294)</f>
        <v>par2_human__wt</v>
      </c>
      <c r="B294" s="3" t="s">
        <v>356</v>
      </c>
      <c r="C294" s="3" t="s">
        <v>100</v>
      </c>
      <c r="D294" s="3" t="str">
        <f>IFERROR(MID(VLOOKUP($B294,Seqs!$A:$B,2,0),E294,1),"")</f>
        <v>G</v>
      </c>
      <c r="E294" s="3">
        <v>71</v>
      </c>
      <c r="F294" s="3" t="str">
        <f>IFERROR(MID(VLOOKUP($B294,Seqs!$A:$B,2,0),G294,1),"")</f>
        <v>R</v>
      </c>
      <c r="G294" s="3">
        <v>103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H</v>
      </c>
      <c r="M294" s="3">
        <v>108</v>
      </c>
      <c r="N294" s="3" t="str">
        <f>IFERROR(MID(VLOOKUP($B294,Seqs!$A:$B,2,0),O294,1),"")</f>
        <v>H</v>
      </c>
      <c r="O294" s="3">
        <v>137</v>
      </c>
      <c r="P294" s="3" t="str">
        <f>IFERROR(MID(VLOOKUP($B294,Seqs!$A:$B,2,0),Q294,1),"")</f>
        <v>G</v>
      </c>
      <c r="Q294" s="3">
        <v>138</v>
      </c>
      <c r="R294" s="3" t="str">
        <f>IFERROR(MID(VLOOKUP($B294,Seqs!$A:$B,2,0),S294,1),"")</f>
        <v>Y</v>
      </c>
      <c r="S294" s="3">
        <v>143</v>
      </c>
      <c r="T294" s="3" t="str">
        <f>IFERROR(MID(VLOOKUP($B294,Seqs!$A:$B,2,0),U294,1),"")</f>
        <v>G</v>
      </c>
      <c r="U294" s="3">
        <v>144</v>
      </c>
      <c r="V294" s="3" t="str">
        <f>IFERROR(MID(VLOOKUP($B294,Seqs!$A:$B,2,0),W294,1),"")</f>
        <v>N</v>
      </c>
      <c r="W294" s="3">
        <v>179</v>
      </c>
      <c r="X294" s="3" t="str">
        <f>IFERROR(MID(VLOOKUP($B294,Seqs!$A:$B,2,0),Y294,1),"")</f>
        <v>P</v>
      </c>
      <c r="Y294" s="3">
        <v>180</v>
      </c>
      <c r="Z294" s="3" t="str">
        <f>IFERROR(MID(VLOOKUP($B294,Seqs!$A:$B,2,0),AA294,1),"")</f>
        <v>K</v>
      </c>
      <c r="AA294" s="3">
        <v>186</v>
      </c>
      <c r="AB294" s="3" t="str">
        <f>IFERROR(MID(VLOOKUP($B294,Seqs!$A:$B,2,0),AC294,1),"")</f>
        <v>K</v>
      </c>
      <c r="AC294" s="3">
        <v>187</v>
      </c>
      <c r="AD294" s="3" t="str">
        <f>IFERROR(MID(VLOOKUP($B294,Seqs!$A:$B,2,0),AE294,1),"")</f>
        <v>V</v>
      </c>
      <c r="AE294" s="3">
        <v>211</v>
      </c>
      <c r="AF294" s="3" t="str">
        <f>IFERROR(MID(VLOOKUP($B294,Seqs!$A:$B,2,0),AG294,1),"")</f>
        <v>C</v>
      </c>
      <c r="AG294" s="3">
        <v>226</v>
      </c>
      <c r="AH294" s="3" t="str">
        <f>IFERROR(MID(VLOOKUP($B294,Seqs!$A:$B,2,0),AI294,1),"")</f>
        <v>D</v>
      </c>
      <c r="AI294" s="3">
        <v>228</v>
      </c>
      <c r="AJ294" s="3" t="str">
        <f>IFERROR(MID(VLOOKUP($B294,Seqs!$A:$B,2,0),AK294,1),"")</f>
        <v>L</v>
      </c>
      <c r="AK294" s="3">
        <v>235</v>
      </c>
      <c r="AL294" s="3" t="str">
        <f>IFERROR(MID(VLOOKUP($B294,Seqs!$A:$B,2,0),AM294,1),"")</f>
        <v>S</v>
      </c>
      <c r="AM294" s="3">
        <v>272</v>
      </c>
      <c r="AN294" s="3" t="str">
        <f>IFERROR(MID(VLOOKUP($B294,Seqs!$A:$B,2,0),AO294,1),"")</f>
        <v>S</v>
      </c>
      <c r="AO294" s="3">
        <v>278</v>
      </c>
      <c r="AP294" s="3" t="str">
        <f>IFERROR(MID(VLOOKUP($B294,Seqs!$A:$B,2,0),AQ294,1),"")</f>
        <v>Q</v>
      </c>
      <c r="AQ294" s="3">
        <v>317</v>
      </c>
      <c r="AR294" s="3" t="str">
        <f>IFERROR(MID(VLOOKUP($B294,Seqs!$A:$B,2,0),AS294,1),"")</f>
        <v>V</v>
      </c>
      <c r="AS294" s="3">
        <v>322</v>
      </c>
      <c r="AT294" s="3" t="str">
        <f>IFERROR(MID(VLOOKUP($B294,Seqs!$A:$B,2,0),AU294,1),"")</f>
        <v>V</v>
      </c>
      <c r="AU294" s="3">
        <v>347</v>
      </c>
      <c r="AV294" s="3" t="str">
        <f>IFERROR(MID(VLOOKUP($B294,Seqs!$A:$B,2,0),AW294,1),"")</f>
        <v>S</v>
      </c>
      <c r="AW294" s="3">
        <v>348</v>
      </c>
      <c r="AX294" s="3" t="str">
        <f>IFERROR(MID(VLOOKUP($B294,Seqs!$A:$B,2,0),AY294,1),"")</f>
        <v>R</v>
      </c>
      <c r="AY294" s="3">
        <v>362</v>
      </c>
      <c r="AZ294" s="77" t="str">
        <f>VLOOKUP(B294,Classification!A:D,2,0)</f>
        <v>A</v>
      </c>
      <c r="BA294" s="94" t="str">
        <f>VLOOKUP(B294,Classification!A:D,4,0)</f>
        <v>Proteinase-activated</v>
      </c>
      <c r="BB294" s="27" t="b">
        <f t="shared" ref="BB294:BB313" si="1734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:BC313" si="1735">_xlfn.AGGREGATE(9,6,CH294:CS294)-_xlfn.AGGREGATE(9,6,BV294:CG294)+12</f>
        <v>260</v>
      </c>
      <c r="BD294" s="2" t="s">
        <v>23</v>
      </c>
      <c r="BE294" s="3" t="s">
        <v>23</v>
      </c>
      <c r="BF294" s="119" t="s">
        <v>23</v>
      </c>
      <c r="BG294" s="49" t="s">
        <v>1377</v>
      </c>
      <c r="BH294" s="49" t="s">
        <v>1377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ref="BV294:BV313" si="1736">E294</f>
        <v>71</v>
      </c>
      <c r="BW294" s="71" t="str">
        <f t="shared" ref="BW294:BW313" si="1737">I294</f>
        <v>-</v>
      </c>
      <c r="BX294" s="72">
        <f t="shared" ref="BX294:BX313" si="1738">M294</f>
        <v>108</v>
      </c>
      <c r="BY294" s="71">
        <f t="shared" ref="BY294:BY313" si="1739">Q294</f>
        <v>138</v>
      </c>
      <c r="BZ294" s="72">
        <f t="shared" ref="BZ294:BZ313" si="1740">U294</f>
        <v>144</v>
      </c>
      <c r="CA294" s="71">
        <f t="shared" ref="CA294:CA313" si="1741">Y294</f>
        <v>180</v>
      </c>
      <c r="CB294" s="72">
        <f t="shared" ref="CB294:CB313" si="1742">AC294</f>
        <v>187</v>
      </c>
      <c r="CC294" s="71">
        <f t="shared" ref="CC294:CC313" si="1743">AG294</f>
        <v>226</v>
      </c>
      <c r="CD294" s="72">
        <f t="shared" ref="CD294:CD313" si="1744">AK294</f>
        <v>235</v>
      </c>
      <c r="CE294" s="71">
        <f t="shared" ref="CE294:CE313" si="1745">AO294</f>
        <v>278</v>
      </c>
      <c r="CF294" s="72">
        <f t="shared" ref="CF294:CF313" si="1746">AS294</f>
        <v>322</v>
      </c>
      <c r="CG294" s="71">
        <f t="shared" ref="CG294:CG313" si="1747">AW294</f>
        <v>348</v>
      </c>
      <c r="CH294" s="70">
        <f t="shared" ref="CH294:CH313" si="1748">G294</f>
        <v>103</v>
      </c>
      <c r="CI294" s="71" t="str">
        <f t="shared" ref="CI294:CI313" si="1749">K294</f>
        <v>-</v>
      </c>
      <c r="CJ294" s="72">
        <f t="shared" ref="CJ294:CJ313" si="1750">O294</f>
        <v>137</v>
      </c>
      <c r="CK294" s="72">
        <f t="shared" ref="CK294:CK313" si="1751">S294</f>
        <v>143</v>
      </c>
      <c r="CL294" s="72">
        <f t="shared" ref="CL294:CL313" si="1752">W294</f>
        <v>179</v>
      </c>
      <c r="CM294" s="72">
        <f t="shared" ref="CM294:CM313" si="1753">AA294</f>
        <v>186</v>
      </c>
      <c r="CN294" s="72">
        <f t="shared" ref="CN294:CN313" si="1754">AE294</f>
        <v>211</v>
      </c>
      <c r="CO294" s="72">
        <f t="shared" ref="CO294:CO313" si="1755">AI294</f>
        <v>228</v>
      </c>
      <c r="CP294" s="72">
        <f t="shared" ref="CP294:CP313" si="1756">AM294</f>
        <v>272</v>
      </c>
      <c r="CQ294" s="72">
        <f t="shared" ref="CQ294:CQ313" si="1757">AQ294</f>
        <v>317</v>
      </c>
      <c r="CR294" s="72">
        <f t="shared" ref="CR294:CR313" si="1758">AU294</f>
        <v>347</v>
      </c>
      <c r="CS294" s="72">
        <f t="shared" ref="CS294:CS313" si="1759">AY294</f>
        <v>362</v>
      </c>
      <c r="CT294" s="23" t="e">
        <f t="shared" ref="CT294:CT313" si="1760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si="1733"/>
        <v>par2_human_5NDD</v>
      </c>
      <c r="B295" s="3" t="s">
        <v>356</v>
      </c>
      <c r="C295" s="3" t="s">
        <v>1396</v>
      </c>
      <c r="D295" s="3" t="str">
        <f>IFERROR(MID(VLOOKUP($B295,Seqs!$A:$B,2,0),E295,1),"")</f>
        <v>G</v>
      </c>
      <c r="E295" s="3">
        <v>71</v>
      </c>
      <c r="F295" s="3" t="str">
        <f>IFERROR(MID(VLOOKUP($B295,Seqs!$A:$B,2,0),G295,1),"")</f>
        <v>R</v>
      </c>
      <c r="G295" s="3">
        <v>103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H</v>
      </c>
      <c r="M295" s="3">
        <v>108</v>
      </c>
      <c r="N295" s="3" t="str">
        <f>IFERROR(MID(VLOOKUP($B295,Seqs!$A:$B,2,0),O295,1),"")</f>
        <v>H</v>
      </c>
      <c r="O295" s="3">
        <v>137</v>
      </c>
      <c r="P295" s="3" t="str">
        <f>IFERROR(MID(VLOOKUP($B295,Seqs!$A:$B,2,0),Q295,1),"")</f>
        <v>G</v>
      </c>
      <c r="Q295" s="3">
        <v>138</v>
      </c>
      <c r="R295" s="3" t="str">
        <f>IFERROR(MID(VLOOKUP($B295,Seqs!$A:$B,2,0),S295,1),"")</f>
        <v>Y</v>
      </c>
      <c r="S295" s="3">
        <v>143</v>
      </c>
      <c r="T295" s="3" t="str">
        <f>IFERROR(MID(VLOOKUP($B295,Seqs!$A:$B,2,0),U295,1),"")</f>
        <v>G</v>
      </c>
      <c r="U295" s="3">
        <v>144</v>
      </c>
      <c r="V295" s="3" t="str">
        <f>IFERROR(MID(VLOOKUP($B295,Seqs!$A:$B,2,0),W295,1),"")</f>
        <v>N</v>
      </c>
      <c r="W295" s="3">
        <v>179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H</v>
      </c>
      <c r="AC295" s="3">
        <v>183</v>
      </c>
      <c r="AD295" s="3" t="str">
        <f>IFERROR(MID(VLOOKUP($B295,Seqs!$A:$B,2,0),AE295,1),"")</f>
        <v>V</v>
      </c>
      <c r="AE295" s="3">
        <v>211</v>
      </c>
      <c r="AF295" s="3" t="str">
        <f>IFERROR(MID(VLOOKUP($B295,Seqs!$A:$B,2,0),AG295,1),"")</f>
        <v>C</v>
      </c>
      <c r="AG295" s="3">
        <v>226</v>
      </c>
      <c r="AH295" s="3" t="str">
        <f>IFERROR(MID(VLOOKUP($B295,Seqs!$A:$B,2,0),AI295,1),"")</f>
        <v>D</v>
      </c>
      <c r="AI295" s="3">
        <v>228</v>
      </c>
      <c r="AJ295" s="3" t="str">
        <f>IFERROR(MID(VLOOKUP($B295,Seqs!$A:$B,2,0),AK295,1),"")</f>
        <v>L</v>
      </c>
      <c r="AK295" s="3">
        <v>235</v>
      </c>
      <c r="AL295" s="3" t="str">
        <f>IFERROR(MID(VLOOKUP($B295,Seqs!$A:$B,2,0),AM295,1),"")</f>
        <v>L</v>
      </c>
      <c r="AM295" s="3">
        <v>269</v>
      </c>
      <c r="AN295" s="3" t="str">
        <f>IFERROR(MID(VLOOKUP($B295,Seqs!$A:$B,2,0),AO295,1),"")</f>
        <v>S</v>
      </c>
      <c r="AO295" s="3">
        <v>278</v>
      </c>
      <c r="AP295" s="3" t="str">
        <f>IFERROR(MID(VLOOKUP($B295,Seqs!$A:$B,2,0),AQ295,1),"")</f>
        <v>Q</v>
      </c>
      <c r="AQ295" s="3">
        <v>317</v>
      </c>
      <c r="AR295" s="3" t="str">
        <f>IFERROR(MID(VLOOKUP($B295,Seqs!$A:$B,2,0),AS295,1),"")</f>
        <v>V</v>
      </c>
      <c r="AS295" s="3">
        <v>322</v>
      </c>
      <c r="AT295" s="3" t="str">
        <f>IFERROR(MID(VLOOKUP($B295,Seqs!$A:$B,2,0),AU295,1),"")</f>
        <v>V</v>
      </c>
      <c r="AU295" s="3">
        <v>347</v>
      </c>
      <c r="AV295" s="3" t="str">
        <f>IFERROR(MID(VLOOKUP($B295,Seqs!$A:$B,2,0),AW295,1),"")</f>
        <v>S</v>
      </c>
      <c r="AW295" s="3">
        <v>348</v>
      </c>
      <c r="AX295" s="3" t="str">
        <f>IFERROR(MID(VLOOKUP($B295,Seqs!$A:$B,2,0),AY295,1),"")</f>
        <v>L</v>
      </c>
      <c r="AY295" s="3">
        <v>359</v>
      </c>
      <c r="AZ295" s="77" t="str">
        <f>VLOOKUP(B295,Classification!A:D,2,0)</f>
        <v>A</v>
      </c>
      <c r="BA295" s="94" t="str">
        <f>VLOOKUP(B295,Classification!A:D,4,0)</f>
        <v>Proteinase-activated</v>
      </c>
      <c r="BB295" s="27" t="b">
        <f t="shared" si="1734"/>
        <v>1</v>
      </c>
      <c r="BC295" s="23">
        <f t="shared" si="1735"/>
        <v>252</v>
      </c>
      <c r="BD295" s="2" t="s">
        <v>1429</v>
      </c>
      <c r="BE295" s="3" t="s">
        <v>1428</v>
      </c>
      <c r="BF295" s="119">
        <v>2.8</v>
      </c>
      <c r="BG295" s="49" t="s">
        <v>1</v>
      </c>
      <c r="BH295" s="49" t="s">
        <v>1377</v>
      </c>
      <c r="BI295" s="1"/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si="1736"/>
        <v>71</v>
      </c>
      <c r="BW295" s="71" t="str">
        <f t="shared" si="1737"/>
        <v>-</v>
      </c>
      <c r="BX295" s="72">
        <f t="shared" si="1738"/>
        <v>108</v>
      </c>
      <c r="BY295" s="71">
        <f t="shared" si="1739"/>
        <v>138</v>
      </c>
      <c r="BZ295" s="72">
        <f t="shared" si="1740"/>
        <v>144</v>
      </c>
      <c r="CA295" s="71" t="str">
        <f t="shared" si="1741"/>
        <v>-</v>
      </c>
      <c r="CB295" s="72">
        <f t="shared" si="1742"/>
        <v>183</v>
      </c>
      <c r="CC295" s="71">
        <f t="shared" si="1743"/>
        <v>226</v>
      </c>
      <c r="CD295" s="72">
        <f t="shared" si="1744"/>
        <v>235</v>
      </c>
      <c r="CE295" s="71">
        <f t="shared" si="1745"/>
        <v>278</v>
      </c>
      <c r="CF295" s="72">
        <f t="shared" si="1746"/>
        <v>322</v>
      </c>
      <c r="CG295" s="71">
        <f t="shared" si="1747"/>
        <v>348</v>
      </c>
      <c r="CH295" s="70">
        <f t="shared" si="1748"/>
        <v>103</v>
      </c>
      <c r="CI295" s="71" t="str">
        <f t="shared" si="1749"/>
        <v>-</v>
      </c>
      <c r="CJ295" s="72">
        <f t="shared" si="1750"/>
        <v>137</v>
      </c>
      <c r="CK295" s="72">
        <f t="shared" si="1751"/>
        <v>143</v>
      </c>
      <c r="CL295" s="72">
        <f t="shared" si="1752"/>
        <v>179</v>
      </c>
      <c r="CM295" s="72" t="str">
        <f t="shared" si="1753"/>
        <v>-</v>
      </c>
      <c r="CN295" s="72">
        <f t="shared" si="1754"/>
        <v>211</v>
      </c>
      <c r="CO295" s="72">
        <f t="shared" si="1755"/>
        <v>228</v>
      </c>
      <c r="CP295" s="72">
        <f t="shared" si="1756"/>
        <v>269</v>
      </c>
      <c r="CQ295" s="72">
        <f t="shared" si="1757"/>
        <v>317</v>
      </c>
      <c r="CR295" s="72">
        <f t="shared" si="1758"/>
        <v>347</v>
      </c>
      <c r="CS295" s="72">
        <f t="shared" si="1759"/>
        <v>359</v>
      </c>
      <c r="CT295" s="23" t="e">
        <f t="shared" si="1760"/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si="1733"/>
        <v>par2_human_5NDZ</v>
      </c>
      <c r="B296" s="3" t="s">
        <v>356</v>
      </c>
      <c r="C296" s="3" t="s">
        <v>1397</v>
      </c>
      <c r="D296" s="3" t="str">
        <f>IFERROR(MID(VLOOKUP($B296,Seqs!$A:$B,2,0),E296,1),"")</f>
        <v>G</v>
      </c>
      <c r="E296" s="3">
        <v>71</v>
      </c>
      <c r="F296" s="3" t="str">
        <f>IFERROR(MID(VLOOKUP($B296,Seqs!$A:$B,2,0),G296,1),"")</f>
        <v>R</v>
      </c>
      <c r="G296" s="3">
        <v>103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H</v>
      </c>
      <c r="M296" s="3">
        <v>108</v>
      </c>
      <c r="N296" s="3" t="str">
        <f>IFERROR(MID(VLOOKUP($B296,Seqs!$A:$B,2,0),O296,1),"")</f>
        <v>H</v>
      </c>
      <c r="O296" s="3">
        <v>137</v>
      </c>
      <c r="P296" s="3" t="str">
        <f>IFERROR(MID(VLOOKUP($B296,Seqs!$A:$B,2,0),Q296,1),"")</f>
        <v>G</v>
      </c>
      <c r="Q296" s="3">
        <v>138</v>
      </c>
      <c r="R296" s="3" t="str">
        <f>IFERROR(MID(VLOOKUP($B296,Seqs!$A:$B,2,0),S296,1),"")</f>
        <v>Y</v>
      </c>
      <c r="S296" s="3">
        <v>143</v>
      </c>
      <c r="T296" s="3" t="str">
        <f>IFERROR(MID(VLOOKUP($B296,Seqs!$A:$B,2,0),U296,1),"")</f>
        <v>G</v>
      </c>
      <c r="U296" s="3">
        <v>144</v>
      </c>
      <c r="V296" s="3" t="str">
        <f>IFERROR(MID(VLOOKUP($B296,Seqs!$A:$B,2,0),W296,1),"")</f>
        <v>N</v>
      </c>
      <c r="W296" s="3">
        <v>179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H</v>
      </c>
      <c r="AC296" s="3">
        <v>183</v>
      </c>
      <c r="AD296" s="3" t="str">
        <f>IFERROR(MID(VLOOKUP($B296,Seqs!$A:$B,2,0),AE296,1),"")</f>
        <v>V</v>
      </c>
      <c r="AE296" s="3">
        <v>211</v>
      </c>
      <c r="AF296" s="3" t="str">
        <f>IFERROR(MID(VLOOKUP($B296,Seqs!$A:$B,2,0),AG296,1),"")</f>
        <v>C</v>
      </c>
      <c r="AG296" s="3">
        <v>226</v>
      </c>
      <c r="AH296" s="3" t="str">
        <f>IFERROR(MID(VLOOKUP($B296,Seqs!$A:$B,2,0),AI296,1),"")</f>
        <v>D</v>
      </c>
      <c r="AI296" s="3">
        <v>228</v>
      </c>
      <c r="AJ296" s="3" t="str">
        <f>IFERROR(MID(VLOOKUP($B296,Seqs!$A:$B,2,0),AK296,1),"")</f>
        <v>L</v>
      </c>
      <c r="AK296" s="3">
        <v>235</v>
      </c>
      <c r="AL296" s="3" t="str">
        <f>IFERROR(MID(VLOOKUP($B296,Seqs!$A:$B,2,0),AM296,1),"")</f>
        <v>L</v>
      </c>
      <c r="AM296" s="3">
        <v>269</v>
      </c>
      <c r="AN296" s="3" t="str">
        <f>IFERROR(MID(VLOOKUP($B296,Seqs!$A:$B,2,0),AO296,1),"")</f>
        <v>S</v>
      </c>
      <c r="AO296" s="3">
        <v>278</v>
      </c>
      <c r="AP296" s="3" t="str">
        <f>IFERROR(MID(VLOOKUP($B296,Seqs!$A:$B,2,0),AQ296,1),"")</f>
        <v>Q</v>
      </c>
      <c r="AQ296" s="3">
        <v>317</v>
      </c>
      <c r="AR296" s="3" t="str">
        <f>IFERROR(MID(VLOOKUP($B296,Seqs!$A:$B,2,0),AS296,1),"")</f>
        <v>V</v>
      </c>
      <c r="AS296" s="3">
        <v>322</v>
      </c>
      <c r="AT296" s="3" t="str">
        <f>IFERROR(MID(VLOOKUP($B296,Seqs!$A:$B,2,0),AU296,1),"")</f>
        <v>S</v>
      </c>
      <c r="AU296" s="3">
        <v>348</v>
      </c>
      <c r="AV296" s="3" t="str">
        <f>IFERROR(MID(VLOOKUP($B296,Seqs!$A:$B,2,0),AW296,1),"")</f>
        <v>H</v>
      </c>
      <c r="AW296" s="3">
        <v>349</v>
      </c>
      <c r="AX296" s="3" t="str">
        <f>IFERROR(MID(VLOOKUP($B296,Seqs!$A:$B,2,0),AY296,1),"")</f>
        <v>L</v>
      </c>
      <c r="AY296" s="3">
        <v>359</v>
      </c>
      <c r="AZ296" s="77" t="str">
        <f>VLOOKUP(B296,Classification!A:D,2,0)</f>
        <v>A</v>
      </c>
      <c r="BA296" s="94" t="str">
        <f>VLOOKUP(B296,Classification!A:D,4,0)</f>
        <v>Proteinase-activated</v>
      </c>
      <c r="BB296" s="27" t="b">
        <f t="shared" si="1734"/>
        <v>1</v>
      </c>
      <c r="BC296" s="23">
        <f t="shared" si="1735"/>
        <v>252</v>
      </c>
      <c r="BD296" s="2" t="s">
        <v>23</v>
      </c>
      <c r="BE296" s="3" t="s">
        <v>1428</v>
      </c>
      <c r="BF296" s="119">
        <v>3.6</v>
      </c>
      <c r="BG296" s="49" t="s">
        <v>1</v>
      </c>
      <c r="BH296" s="49" t="s">
        <v>1377</v>
      </c>
      <c r="BI296" s="1"/>
      <c r="BJ296" s="70" t="s">
        <v>1287</v>
      </c>
      <c r="BK296" s="57" t="s">
        <v>1287</v>
      </c>
      <c r="BL296" s="57" t="s">
        <v>1287</v>
      </c>
      <c r="BM296" s="57" t="s">
        <v>1287</v>
      </c>
      <c r="BN296" s="57" t="s">
        <v>1287</v>
      </c>
      <c r="BO296" s="57" t="s">
        <v>1287</v>
      </c>
      <c r="BP296" s="57" t="s">
        <v>1287</v>
      </c>
      <c r="BQ296" s="57" t="s">
        <v>1287</v>
      </c>
      <c r="BR296" s="57" t="s">
        <v>1287</v>
      </c>
      <c r="BS296" s="57" t="s">
        <v>1287</v>
      </c>
      <c r="BT296" s="57" t="s">
        <v>1287</v>
      </c>
      <c r="BU296" s="57" t="s">
        <v>1287</v>
      </c>
      <c r="BV296" s="70">
        <f t="shared" si="1736"/>
        <v>71</v>
      </c>
      <c r="BW296" s="71" t="str">
        <f t="shared" si="1737"/>
        <v>-</v>
      </c>
      <c r="BX296" s="72">
        <f t="shared" si="1738"/>
        <v>108</v>
      </c>
      <c r="BY296" s="71">
        <f t="shared" si="1739"/>
        <v>138</v>
      </c>
      <c r="BZ296" s="72">
        <f t="shared" si="1740"/>
        <v>144</v>
      </c>
      <c r="CA296" s="71" t="str">
        <f t="shared" si="1741"/>
        <v>-</v>
      </c>
      <c r="CB296" s="72">
        <f t="shared" si="1742"/>
        <v>183</v>
      </c>
      <c r="CC296" s="71">
        <f t="shared" si="1743"/>
        <v>226</v>
      </c>
      <c r="CD296" s="72">
        <f t="shared" si="1744"/>
        <v>235</v>
      </c>
      <c r="CE296" s="71">
        <f t="shared" si="1745"/>
        <v>278</v>
      </c>
      <c r="CF296" s="72">
        <f t="shared" si="1746"/>
        <v>322</v>
      </c>
      <c r="CG296" s="71">
        <f t="shared" si="1747"/>
        <v>349</v>
      </c>
      <c r="CH296" s="70">
        <f t="shared" si="1748"/>
        <v>103</v>
      </c>
      <c r="CI296" s="71" t="str">
        <f t="shared" si="1749"/>
        <v>-</v>
      </c>
      <c r="CJ296" s="72">
        <f t="shared" si="1750"/>
        <v>137</v>
      </c>
      <c r="CK296" s="72">
        <f t="shared" si="1751"/>
        <v>143</v>
      </c>
      <c r="CL296" s="72">
        <f t="shared" si="1752"/>
        <v>179</v>
      </c>
      <c r="CM296" s="72" t="str">
        <f t="shared" si="1753"/>
        <v>-</v>
      </c>
      <c r="CN296" s="72">
        <f t="shared" si="1754"/>
        <v>211</v>
      </c>
      <c r="CO296" s="72">
        <f t="shared" si="1755"/>
        <v>228</v>
      </c>
      <c r="CP296" s="72">
        <f t="shared" si="1756"/>
        <v>269</v>
      </c>
      <c r="CQ296" s="72">
        <f t="shared" si="1757"/>
        <v>317</v>
      </c>
      <c r="CR296" s="72">
        <f t="shared" si="1758"/>
        <v>348</v>
      </c>
      <c r="CS296" s="72">
        <f t="shared" si="1759"/>
        <v>359</v>
      </c>
      <c r="CT296" s="23" t="e">
        <f t="shared" si="1760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si="1733"/>
        <v>par2_human_5NJ6</v>
      </c>
      <c r="B297" s="3" t="s">
        <v>356</v>
      </c>
      <c r="C297" s="3" t="s">
        <v>1398</v>
      </c>
      <c r="D297" s="3" t="str">
        <f>IFERROR(MID(VLOOKUP($B297,Seqs!$A:$B,2,0),E297,1),"")</f>
        <v>G</v>
      </c>
      <c r="E297" s="3">
        <v>71</v>
      </c>
      <c r="F297" s="3" t="str">
        <f>IFERROR(MID(VLOOKUP($B297,Seqs!$A:$B,2,0),G297,1),"")</f>
        <v>R</v>
      </c>
      <c r="G297" s="3">
        <v>103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H</v>
      </c>
      <c r="M297" s="3">
        <v>108</v>
      </c>
      <c r="N297" s="3" t="str">
        <f>IFERROR(MID(VLOOKUP($B297,Seqs!$A:$B,2,0),O297,1),"")</f>
        <v>H</v>
      </c>
      <c r="O297" s="3">
        <v>137</v>
      </c>
      <c r="P297" s="3" t="str">
        <f>IFERROR(MID(VLOOKUP($B297,Seqs!$A:$B,2,0),Q297,1),"")</f>
        <v>G</v>
      </c>
      <c r="Q297" s="3">
        <v>138</v>
      </c>
      <c r="R297" s="3" t="str">
        <f>IFERROR(MID(VLOOKUP($B297,Seqs!$A:$B,2,0),S297,1),"")</f>
        <v>Y</v>
      </c>
      <c r="S297" s="3">
        <v>143</v>
      </c>
      <c r="T297" s="3" t="str">
        <f>IFERROR(MID(VLOOKUP($B297,Seqs!$A:$B,2,0),U297,1),"")</f>
        <v>G</v>
      </c>
      <c r="U297" s="3">
        <v>144</v>
      </c>
      <c r="V297" s="3" t="str">
        <f>IFERROR(MID(VLOOKUP($B297,Seqs!$A:$B,2,0),W297,1),"")</f>
        <v>N</v>
      </c>
      <c r="W297" s="3">
        <v>179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H</v>
      </c>
      <c r="AC297" s="3">
        <v>183</v>
      </c>
      <c r="AD297" s="3" t="str">
        <f>IFERROR(MID(VLOOKUP($B297,Seqs!$A:$B,2,0),AE297,1),"")</f>
        <v>V</v>
      </c>
      <c r="AE297" s="3">
        <v>211</v>
      </c>
      <c r="AF297" s="3" t="str">
        <f>IFERROR(MID(VLOOKUP($B297,Seqs!$A:$B,2,0),AG297,1),"")</f>
        <v>C</v>
      </c>
      <c r="AG297" s="3">
        <v>226</v>
      </c>
      <c r="AH297" s="3" t="str">
        <f>IFERROR(MID(VLOOKUP($B297,Seqs!$A:$B,2,0),AI297,1),"")</f>
        <v>D</v>
      </c>
      <c r="AI297" s="3">
        <v>228</v>
      </c>
      <c r="AJ297" s="3" t="str">
        <f>IFERROR(MID(VLOOKUP($B297,Seqs!$A:$B,2,0),AK297,1),"")</f>
        <v>L</v>
      </c>
      <c r="AK297" s="3">
        <v>235</v>
      </c>
      <c r="AL297" s="3" t="str">
        <f>IFERROR(MID(VLOOKUP($B297,Seqs!$A:$B,2,0),AM297,1),"")</f>
        <v>L</v>
      </c>
      <c r="AM297" s="3">
        <v>269</v>
      </c>
      <c r="AN297" s="3" t="str">
        <f>IFERROR(MID(VLOOKUP($B297,Seqs!$A:$B,2,0),AO297,1),"")</f>
        <v>S</v>
      </c>
      <c r="AO297" s="3">
        <v>278</v>
      </c>
      <c r="AP297" s="3" t="str">
        <f>IFERROR(MID(VLOOKUP($B297,Seqs!$A:$B,2,0),AQ297,1),"")</f>
        <v>Q</v>
      </c>
      <c r="AQ297" s="3">
        <v>317</v>
      </c>
      <c r="AR297" s="3" t="str">
        <f>IFERROR(MID(VLOOKUP($B297,Seqs!$A:$B,2,0),AS297,1),"")</f>
        <v>V</v>
      </c>
      <c r="AS297" s="3">
        <v>322</v>
      </c>
      <c r="AT297" s="3" t="str">
        <f>IFERROR(MID(VLOOKUP($B297,Seqs!$A:$B,2,0),AU297,1),"")</f>
        <v>S</v>
      </c>
      <c r="AU297" s="3">
        <v>348</v>
      </c>
      <c r="AV297" s="3" t="str">
        <f>IFERROR(MID(VLOOKUP($B297,Seqs!$A:$B,2,0),AW297,1),"")</f>
        <v>H</v>
      </c>
      <c r="AW297" s="3">
        <v>349</v>
      </c>
      <c r="AX297" s="3" t="str">
        <f>IFERROR(MID(VLOOKUP($B297,Seqs!$A:$B,2,0),AY297,1),"")</f>
        <v>L</v>
      </c>
      <c r="AY297" s="3">
        <v>359</v>
      </c>
      <c r="AZ297" s="77" t="str">
        <f>VLOOKUP(B297,Classification!A:D,2,0)</f>
        <v>A</v>
      </c>
      <c r="BA297" s="94" t="str">
        <f>VLOOKUP(B297,Classification!A:D,4,0)</f>
        <v>Proteinase-activated</v>
      </c>
      <c r="BB297" s="27" t="b">
        <f t="shared" si="1734"/>
        <v>1</v>
      </c>
      <c r="BC297" s="23">
        <f t="shared" si="1735"/>
        <v>252</v>
      </c>
      <c r="BD297" s="2" t="s">
        <v>23</v>
      </c>
      <c r="BE297" s="3" t="s">
        <v>1428</v>
      </c>
      <c r="BF297" s="119">
        <v>4</v>
      </c>
      <c r="BG297" s="49" t="s">
        <v>1</v>
      </c>
      <c r="BH297" s="49" t="s">
        <v>1377</v>
      </c>
      <c r="BI297" s="1"/>
      <c r="BJ297" s="70" t="s">
        <v>1287</v>
      </c>
      <c r="BK297" s="57" t="s">
        <v>1287</v>
      </c>
      <c r="BL297" s="57" t="s">
        <v>1287</v>
      </c>
      <c r="BM297" s="57" t="s">
        <v>1287</v>
      </c>
      <c r="BN297" s="57" t="s">
        <v>1287</v>
      </c>
      <c r="BO297" s="57" t="s">
        <v>1287</v>
      </c>
      <c r="BP297" s="57" t="s">
        <v>1287</v>
      </c>
      <c r="BQ297" s="57" t="s">
        <v>1287</v>
      </c>
      <c r="BR297" s="57" t="s">
        <v>1287</v>
      </c>
      <c r="BS297" s="57" t="s">
        <v>1287</v>
      </c>
      <c r="BT297" s="57" t="s">
        <v>1287</v>
      </c>
      <c r="BU297" s="57" t="s">
        <v>1287</v>
      </c>
      <c r="BV297" s="70">
        <f t="shared" si="1736"/>
        <v>71</v>
      </c>
      <c r="BW297" s="71" t="str">
        <f t="shared" si="1737"/>
        <v>-</v>
      </c>
      <c r="BX297" s="72">
        <f t="shared" si="1738"/>
        <v>108</v>
      </c>
      <c r="BY297" s="71">
        <f t="shared" si="1739"/>
        <v>138</v>
      </c>
      <c r="BZ297" s="72">
        <f t="shared" si="1740"/>
        <v>144</v>
      </c>
      <c r="CA297" s="71" t="str">
        <f t="shared" si="1741"/>
        <v>-</v>
      </c>
      <c r="CB297" s="72">
        <f t="shared" si="1742"/>
        <v>183</v>
      </c>
      <c r="CC297" s="71">
        <f t="shared" si="1743"/>
        <v>226</v>
      </c>
      <c r="CD297" s="72">
        <f t="shared" si="1744"/>
        <v>235</v>
      </c>
      <c r="CE297" s="71">
        <f t="shared" si="1745"/>
        <v>278</v>
      </c>
      <c r="CF297" s="72">
        <f t="shared" si="1746"/>
        <v>322</v>
      </c>
      <c r="CG297" s="71">
        <f t="shared" si="1747"/>
        <v>349</v>
      </c>
      <c r="CH297" s="70">
        <f t="shared" si="1748"/>
        <v>103</v>
      </c>
      <c r="CI297" s="71" t="str">
        <f t="shared" si="1749"/>
        <v>-</v>
      </c>
      <c r="CJ297" s="72">
        <f t="shared" si="1750"/>
        <v>137</v>
      </c>
      <c r="CK297" s="72">
        <f t="shared" si="1751"/>
        <v>143</v>
      </c>
      <c r="CL297" s="72">
        <f t="shared" si="1752"/>
        <v>179</v>
      </c>
      <c r="CM297" s="72" t="str">
        <f t="shared" si="1753"/>
        <v>-</v>
      </c>
      <c r="CN297" s="72">
        <f t="shared" si="1754"/>
        <v>211</v>
      </c>
      <c r="CO297" s="72">
        <f t="shared" si="1755"/>
        <v>228</v>
      </c>
      <c r="CP297" s="72">
        <f t="shared" si="1756"/>
        <v>269</v>
      </c>
      <c r="CQ297" s="72">
        <f t="shared" si="1757"/>
        <v>317</v>
      </c>
      <c r="CR297" s="72">
        <f t="shared" si="1758"/>
        <v>348</v>
      </c>
      <c r="CS297" s="72">
        <f t="shared" si="1759"/>
        <v>359</v>
      </c>
      <c r="CT297" s="23" t="e">
        <f t="shared" si="1760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ref="A298" si="1761">CONCATENATE(B298,"_",C298)</f>
        <v>pd2r2_human__wt</v>
      </c>
      <c r="B298" s="3" t="s">
        <v>360</v>
      </c>
      <c r="C298" s="3" t="s">
        <v>100</v>
      </c>
      <c r="D298" s="3" t="str">
        <f>IFERROR(MID(VLOOKUP($B298,Seqs!$A:$B,2,0),E298,1),"")</f>
        <v>D</v>
      </c>
      <c r="E298" s="3">
        <v>32</v>
      </c>
      <c r="F298" s="3" t="str">
        <f>IFERROR(MID(VLOOKUP($B298,Seqs!$A:$B,2,0),G298,1),"")</f>
        <v>R</v>
      </c>
      <c r="G298" s="3">
        <v>60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T</v>
      </c>
      <c r="M298" s="3">
        <v>64</v>
      </c>
      <c r="N298" s="3" t="str">
        <f>IFERROR(MID(VLOOKUP($B298,Seqs!$A:$B,2,0),O298,1),"")</f>
        <v>G</v>
      </c>
      <c r="O298" s="3">
        <v>94</v>
      </c>
      <c r="P298" s="3" t="str">
        <f>IFERROR(MID(VLOOKUP($B298,Seqs!$A:$B,2,0),Q298,1),"")</f>
        <v>S</v>
      </c>
      <c r="Q298" s="3">
        <v>96</v>
      </c>
      <c r="R298" s="3" t="str">
        <f>IFERROR(MID(VLOOKUP($B298,Seqs!$A:$B,2,0),S298,1),"")</f>
        <v>L</v>
      </c>
      <c r="S298" s="3">
        <v>99</v>
      </c>
      <c r="T298" s="3" t="str">
        <f>IFERROR(MID(VLOOKUP($B298,Seqs!$A:$B,2,0),U298,1),"")</f>
        <v>G</v>
      </c>
      <c r="U298" s="3">
        <v>100</v>
      </c>
      <c r="V298" s="3" t="str">
        <f>IFERROR(MID(VLOOKUP($B298,Seqs!$A:$B,2,0),W298,1),"")</f>
        <v>R</v>
      </c>
      <c r="W298" s="3">
        <v>135</v>
      </c>
      <c r="X298" s="3" t="str">
        <f>IFERROR(MID(VLOOKUP($B298,Seqs!$A:$B,2,0),Y298,1),"")</f>
        <v>P</v>
      </c>
      <c r="Y298" s="3">
        <v>136</v>
      </c>
      <c r="Z298" s="3" t="str">
        <f>IFERROR(MID(VLOOKUP($B298,Seqs!$A:$B,2,0),AA298,1),"")</f>
        <v>R</v>
      </c>
      <c r="AA298" s="3">
        <v>143</v>
      </c>
      <c r="AB298" s="3" t="str">
        <f>IFERROR(MID(VLOOKUP($B298,Seqs!$A:$B,2,0),AC298,1),"")</f>
        <v>T</v>
      </c>
      <c r="AC298" s="3">
        <v>144</v>
      </c>
      <c r="AD298" s="3" t="str">
        <f>IFERROR(MID(VLOOKUP($B298,Seqs!$A:$B,2,0),AE298,1),"")</f>
        <v>R</v>
      </c>
      <c r="AE298" s="3">
        <v>170</v>
      </c>
      <c r="AF298" s="3" t="str">
        <f>IFERROR(MID(VLOOKUP($B298,Seqs!$A:$B,2,0),AG298,1),"")</f>
        <v>C</v>
      </c>
      <c r="AG298" s="3">
        <v>182</v>
      </c>
      <c r="AH298" s="3" t="str">
        <f>IFERROR(MID(VLOOKUP($B298,Seqs!$A:$B,2,0),AI298,1),"")</f>
        <v>Y</v>
      </c>
      <c r="AI298" s="3">
        <v>184</v>
      </c>
      <c r="AJ298" s="3" t="str">
        <f>IFERROR(MID(VLOOKUP($B298,Seqs!$A:$B,2,0),AK298,1),"")</f>
        <v>D</v>
      </c>
      <c r="AK298" s="3">
        <v>194</v>
      </c>
      <c r="AL298" s="3" t="str">
        <f>IFERROR(MID(VLOOKUP($B298,Seqs!$A:$B,2,0),AM298,1),"")</f>
        <v>R</v>
      </c>
      <c r="AM298" s="3">
        <v>236</v>
      </c>
      <c r="AN298" s="3" t="str">
        <f>IFERROR(MID(VLOOKUP($B298,Seqs!$A:$B,2,0),AO298,1),"")</f>
        <v>P</v>
      </c>
      <c r="AO298" s="3">
        <v>241</v>
      </c>
      <c r="AP298" s="3" t="str">
        <f>IFERROR(MID(VLOOKUP($B298,Seqs!$A:$B,2,0),AQ298,1),"")</f>
        <v>A</v>
      </c>
      <c r="AQ298" s="3">
        <v>272</v>
      </c>
      <c r="AR298" s="3" t="str">
        <f>IFERROR(MID(VLOOKUP($B298,Seqs!$A:$B,2,0),AS298,1),"")</f>
        <v>L</v>
      </c>
      <c r="AS298" s="3">
        <v>278</v>
      </c>
      <c r="AT298" s="3" t="str">
        <f>IFERROR(MID(VLOOKUP($B298,Seqs!$A:$B,2,0),AU298,1),"")</f>
        <v>T</v>
      </c>
      <c r="AU298" s="3">
        <v>307</v>
      </c>
      <c r="AV298" s="3" t="str">
        <f>IFERROR(MID(VLOOKUP($B298,Seqs!$A:$B,2,0),AW298,1),"")</f>
        <v>C</v>
      </c>
      <c r="AW298" s="3">
        <v>308</v>
      </c>
      <c r="AX298" s="3" t="str">
        <f>IFERROR(MID(VLOOKUP($B298,Seqs!$A:$B,2,0),AY298,1),"")</f>
        <v>S</v>
      </c>
      <c r="AY298" s="3">
        <v>325</v>
      </c>
      <c r="AZ298" s="77" t="str">
        <f>VLOOKUP(B298,Classification!A:D,2,0)</f>
        <v>A</v>
      </c>
      <c r="BA298" s="94" t="str">
        <f>VLOOKUP(B298,Classification!A:D,4,0)</f>
        <v>Prostanoid</v>
      </c>
      <c r="BB298" s="27" t="b">
        <f t="shared" ref="BB298" si="1762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23">
        <f t="shared" ref="BC298" si="1763">_xlfn.AGGREGATE(9,6,CH298:CS298)-_xlfn.AGGREGATE(9,6,BV298:CG298)+12</f>
        <v>262</v>
      </c>
      <c r="BD298" s="2" t="s">
        <v>23</v>
      </c>
      <c r="BE298" s="3" t="s">
        <v>23</v>
      </c>
      <c r="BF298" s="119" t="s">
        <v>23</v>
      </c>
      <c r="BG298" s="49" t="s">
        <v>23</v>
      </c>
      <c r="BH298" s="49" t="s">
        <v>23</v>
      </c>
      <c r="BI298" s="1"/>
      <c r="BJ298" s="70" t="s">
        <v>1287</v>
      </c>
      <c r="BK298" s="57" t="s">
        <v>1287</v>
      </c>
      <c r="BL298" s="57" t="s">
        <v>1287</v>
      </c>
      <c r="BM298" s="57" t="s">
        <v>1287</v>
      </c>
      <c r="BN298" s="57" t="s">
        <v>1287</v>
      </c>
      <c r="BO298" s="57" t="s">
        <v>1287</v>
      </c>
      <c r="BP298" s="57" t="s">
        <v>1287</v>
      </c>
      <c r="BQ298" s="57" t="s">
        <v>1287</v>
      </c>
      <c r="BR298" s="57" t="s">
        <v>1287</v>
      </c>
      <c r="BS298" s="57" t="s">
        <v>1287</v>
      </c>
      <c r="BT298" s="57" t="s">
        <v>1287</v>
      </c>
      <c r="BU298" s="57" t="s">
        <v>1287</v>
      </c>
      <c r="BV298" s="70">
        <f t="shared" ref="BV298" si="1764">E298</f>
        <v>32</v>
      </c>
      <c r="BW298" s="71" t="str">
        <f t="shared" ref="BW298" si="1765">I298</f>
        <v>-</v>
      </c>
      <c r="BX298" s="72">
        <f t="shared" ref="BX298" si="1766">M298</f>
        <v>64</v>
      </c>
      <c r="BY298" s="71">
        <f t="shared" ref="BY298" si="1767">Q298</f>
        <v>96</v>
      </c>
      <c r="BZ298" s="72">
        <f t="shared" ref="BZ298" si="1768">U298</f>
        <v>100</v>
      </c>
      <c r="CA298" s="71">
        <f t="shared" ref="CA298" si="1769">Y298</f>
        <v>136</v>
      </c>
      <c r="CB298" s="72">
        <f t="shared" ref="CB298" si="1770">AC298</f>
        <v>144</v>
      </c>
      <c r="CC298" s="71">
        <f t="shared" ref="CC298" si="1771">AG298</f>
        <v>182</v>
      </c>
      <c r="CD298" s="72">
        <f t="shared" ref="CD298" si="1772">AK298</f>
        <v>194</v>
      </c>
      <c r="CE298" s="71">
        <f t="shared" ref="CE298" si="1773">AO298</f>
        <v>241</v>
      </c>
      <c r="CF298" s="72">
        <f t="shared" ref="CF298" si="1774">AS298</f>
        <v>278</v>
      </c>
      <c r="CG298" s="71">
        <f t="shared" ref="CG298" si="1775">AW298</f>
        <v>308</v>
      </c>
      <c r="CH298" s="70">
        <f t="shared" ref="CH298" si="1776">G298</f>
        <v>60</v>
      </c>
      <c r="CI298" s="71" t="str">
        <f t="shared" ref="CI298" si="1777">K298</f>
        <v>-</v>
      </c>
      <c r="CJ298" s="72">
        <f t="shared" ref="CJ298" si="1778">O298</f>
        <v>94</v>
      </c>
      <c r="CK298" s="72">
        <f t="shared" ref="CK298" si="1779">S298</f>
        <v>99</v>
      </c>
      <c r="CL298" s="72">
        <f t="shared" ref="CL298" si="1780">W298</f>
        <v>135</v>
      </c>
      <c r="CM298" s="72">
        <f t="shared" ref="CM298" si="1781">AA298</f>
        <v>143</v>
      </c>
      <c r="CN298" s="72">
        <f t="shared" ref="CN298" si="1782">AE298</f>
        <v>170</v>
      </c>
      <c r="CO298" s="72">
        <f t="shared" ref="CO298" si="1783">AI298</f>
        <v>184</v>
      </c>
      <c r="CP298" s="72">
        <f t="shared" ref="CP298" si="1784">AM298</f>
        <v>236</v>
      </c>
      <c r="CQ298" s="72">
        <f t="shared" ref="CQ298" si="1785">AQ298</f>
        <v>272</v>
      </c>
      <c r="CR298" s="72">
        <f t="shared" ref="CR298" si="1786">AU298</f>
        <v>307</v>
      </c>
      <c r="CS298" s="72">
        <f t="shared" ref="CS298" si="1787">AY298</f>
        <v>325</v>
      </c>
      <c r="CT298" s="23" t="e">
        <f t="shared" ref="CT298" si="1788">M298-K298</f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ref="A299" si="1789">CONCATENATE(B299,"_",C299)</f>
        <v>pd2r2_human_6D26</v>
      </c>
      <c r="B299" s="3" t="s">
        <v>360</v>
      </c>
      <c r="C299" s="3" t="s">
        <v>1517</v>
      </c>
      <c r="D299" s="3" t="str">
        <f>IFERROR(MID(VLOOKUP($B299,Seqs!$A:$B,2,0),E299,1),"")</f>
        <v>D</v>
      </c>
      <c r="E299" s="3">
        <v>32</v>
      </c>
      <c r="F299" s="3" t="str">
        <f>IFERROR(MID(VLOOKUP($B299,Seqs!$A:$B,2,0),G299,1),"")</f>
        <v>R</v>
      </c>
      <c r="G299" s="3">
        <v>60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T</v>
      </c>
      <c r="M299" s="3">
        <v>64</v>
      </c>
      <c r="N299" s="3" t="str">
        <f>IFERROR(MID(VLOOKUP($B299,Seqs!$A:$B,2,0),O299,1),"")</f>
        <v>G</v>
      </c>
      <c r="O299" s="3">
        <v>94</v>
      </c>
      <c r="P299" s="3" t="str">
        <f>IFERROR(MID(VLOOKUP($B299,Seqs!$A:$B,2,0),Q299,1),"")</f>
        <v>S</v>
      </c>
      <c r="Q299" s="3">
        <v>96</v>
      </c>
      <c r="R299" s="3" t="str">
        <f>IFERROR(MID(VLOOKUP($B299,Seqs!$A:$B,2,0),S299,1),"")</f>
        <v>L</v>
      </c>
      <c r="S299" s="3">
        <v>99</v>
      </c>
      <c r="T299" s="3" t="str">
        <f>IFERROR(MID(VLOOKUP($B299,Seqs!$A:$B,2,0),U299,1),"")</f>
        <v>T</v>
      </c>
      <c r="U299" s="3">
        <v>101</v>
      </c>
      <c r="V299" s="3" t="str">
        <f>IFERROR(MID(VLOOKUP($B299,Seqs!$A:$B,2,0),W299,1),"")</f>
        <v>R</v>
      </c>
      <c r="W299" s="3">
        <v>135</v>
      </c>
      <c r="X299" s="3" t="str">
        <f>IFERROR(MID(VLOOKUP($B299,Seqs!$A:$B,2,0),Y299,1),"")</f>
        <v>P</v>
      </c>
      <c r="Y299" s="3">
        <v>136</v>
      </c>
      <c r="Z299" s="3" t="str">
        <f>IFERROR(MID(VLOOKUP($B299,Seqs!$A:$B,2,0),AA299,1),"")</f>
        <v>R</v>
      </c>
      <c r="AA299" s="3">
        <v>143</v>
      </c>
      <c r="AB299" s="3" t="str">
        <f>IFERROR(MID(VLOOKUP($B299,Seqs!$A:$B,2,0),AC299,1),"")</f>
        <v>T</v>
      </c>
      <c r="AC299" s="3">
        <v>144</v>
      </c>
      <c r="AD299" s="3" t="str">
        <f>IFERROR(MID(VLOOKUP($B299,Seqs!$A:$B,2,0),AE299,1),"")</f>
        <v>R</v>
      </c>
      <c r="AE299" s="3">
        <v>170</v>
      </c>
      <c r="AF299" s="3" t="str">
        <f>IFERROR(MID(VLOOKUP($B299,Seqs!$A:$B,2,0),AG299,1),"")</f>
        <v>C</v>
      </c>
      <c r="AG299" s="3">
        <v>182</v>
      </c>
      <c r="AH299" s="3" t="str">
        <f>IFERROR(MID(VLOOKUP($B299,Seqs!$A:$B,2,0),AI299,1),"")</f>
        <v>Y</v>
      </c>
      <c r="AI299" s="3">
        <v>184</v>
      </c>
      <c r="AJ299" s="3" t="str">
        <f>IFERROR(MID(VLOOKUP($B299,Seqs!$A:$B,2,0),AK299,1),"")</f>
        <v>D</v>
      </c>
      <c r="AK299" s="3">
        <v>194</v>
      </c>
      <c r="AL299" s="3" t="str">
        <f>IFERROR(MID(VLOOKUP($B299,Seqs!$A:$B,2,0),AM299,1),"")</f>
        <v>R</v>
      </c>
      <c r="AM299" s="3">
        <v>236</v>
      </c>
      <c r="AN299" s="3" t="str">
        <f>IFERROR(MID(VLOOKUP($B299,Seqs!$A:$B,2,0),AO299,1),"")</f>
        <v/>
      </c>
      <c r="AO299" s="3">
        <v>2244</v>
      </c>
      <c r="AP299" s="3" t="str">
        <f>IFERROR(MID(VLOOKUP($B299,Seqs!$A:$B,2,0),AQ299,1),"")</f>
        <v/>
      </c>
      <c r="AQ299" s="3">
        <v>2271</v>
      </c>
      <c r="AR299" s="3" t="str">
        <f>IFERROR(MID(VLOOKUP($B299,Seqs!$A:$B,2,0),AS299,1),"")</f>
        <v/>
      </c>
      <c r="AS299" s="3">
        <v>2278</v>
      </c>
      <c r="AT299" s="3" t="str">
        <f>IFERROR(MID(VLOOKUP($B299,Seqs!$A:$B,2,0),AU299,1),"")</f>
        <v/>
      </c>
      <c r="AU299" s="3">
        <v>2307</v>
      </c>
      <c r="AV299" s="3" t="str">
        <f>IFERROR(MID(VLOOKUP($B299,Seqs!$A:$B,2,0),AW299,1),"")</f>
        <v/>
      </c>
      <c r="AW299" s="3">
        <v>2308</v>
      </c>
      <c r="AX299" s="3" t="str">
        <f>IFERROR(MID(VLOOKUP($B299,Seqs!$A:$B,2,0),AY299,1),"")</f>
        <v/>
      </c>
      <c r="AY299" s="3">
        <v>2325</v>
      </c>
      <c r="AZ299" s="77" t="str">
        <f>VLOOKUP(B299,Classification!A:D,2,0)</f>
        <v>A</v>
      </c>
      <c r="BA299" s="94" t="str">
        <f>VLOOKUP(B299,Classification!A:D,4,0)</f>
        <v>Prostanoid</v>
      </c>
      <c r="BB299" s="27" t="b">
        <f t="shared" ref="BB299" si="1790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 t="shared" ref="BC299" si="1791">_xlfn.AGGREGATE(9,6,CH299:CS299)-_xlfn.AGGREGATE(9,6,BV299:CG299)+12</f>
        <v>257</v>
      </c>
      <c r="BD299" s="2" t="s">
        <v>23</v>
      </c>
      <c r="BE299" s="3" t="s">
        <v>1374</v>
      </c>
      <c r="BF299" s="119">
        <v>2.8</v>
      </c>
      <c r="BG299" s="49" t="s">
        <v>1</v>
      </c>
      <c r="BH299" s="49" t="s">
        <v>1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 t="shared" ref="BV299" si="1792">E299</f>
        <v>32</v>
      </c>
      <c r="BW299" s="71" t="str">
        <f t="shared" ref="BW299" si="1793">I299</f>
        <v>-</v>
      </c>
      <c r="BX299" s="72">
        <f t="shared" ref="BX299" si="1794">M299</f>
        <v>64</v>
      </c>
      <c r="BY299" s="71">
        <f t="shared" ref="BY299" si="1795">Q299</f>
        <v>96</v>
      </c>
      <c r="BZ299" s="72">
        <f t="shared" ref="BZ299" si="1796">U299</f>
        <v>101</v>
      </c>
      <c r="CA299" s="71">
        <f t="shared" ref="CA299" si="1797">Y299</f>
        <v>136</v>
      </c>
      <c r="CB299" s="72">
        <f t="shared" ref="CB299" si="1798">AC299</f>
        <v>144</v>
      </c>
      <c r="CC299" s="71">
        <f t="shared" ref="CC299" si="1799">AG299</f>
        <v>182</v>
      </c>
      <c r="CD299" s="72">
        <f t="shared" ref="CD299" si="1800">AK299</f>
        <v>194</v>
      </c>
      <c r="CE299" s="71">
        <f t="shared" ref="CE299" si="1801">AO299</f>
        <v>2244</v>
      </c>
      <c r="CF299" s="72">
        <f t="shared" ref="CF299" si="1802">AS299</f>
        <v>2278</v>
      </c>
      <c r="CG299" s="71">
        <f t="shared" ref="CG299" si="1803">AW299</f>
        <v>2308</v>
      </c>
      <c r="CH299" s="70">
        <f t="shared" ref="CH299" si="1804">G299</f>
        <v>60</v>
      </c>
      <c r="CI299" s="71" t="str">
        <f t="shared" ref="CI299" si="1805">K299</f>
        <v>-</v>
      </c>
      <c r="CJ299" s="72">
        <f t="shared" ref="CJ299" si="1806">O299</f>
        <v>94</v>
      </c>
      <c r="CK299" s="72">
        <f t="shared" ref="CK299" si="1807">S299</f>
        <v>99</v>
      </c>
      <c r="CL299" s="72">
        <f t="shared" ref="CL299" si="1808">W299</f>
        <v>135</v>
      </c>
      <c r="CM299" s="72">
        <f t="shared" ref="CM299" si="1809">AA299</f>
        <v>143</v>
      </c>
      <c r="CN299" s="72">
        <f t="shared" ref="CN299" si="1810">AE299</f>
        <v>170</v>
      </c>
      <c r="CO299" s="72">
        <f t="shared" ref="CO299" si="1811">AI299</f>
        <v>184</v>
      </c>
      <c r="CP299" s="72">
        <f t="shared" ref="CP299" si="1812">AM299</f>
        <v>236</v>
      </c>
      <c r="CQ299" s="72">
        <f t="shared" ref="CQ299" si="1813">AQ299</f>
        <v>2271</v>
      </c>
      <c r="CR299" s="72">
        <f t="shared" ref="CR299" si="1814">AU299</f>
        <v>2307</v>
      </c>
      <c r="CS299" s="72">
        <f t="shared" ref="CS299" si="1815">AY299</f>
        <v>2325</v>
      </c>
      <c r="CT299" s="23" t="e">
        <f t="shared" ref="CT299" si="1816"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ref="A300" si="1817">CONCATENATE(B300,"_",C300)</f>
        <v>pd2r2_human_6D27</v>
      </c>
      <c r="B300" s="3" t="s">
        <v>360</v>
      </c>
      <c r="C300" s="3" t="s">
        <v>1542</v>
      </c>
      <c r="D300" s="3" t="str">
        <f>IFERROR(MID(VLOOKUP($B300,Seqs!$A:$B,2,0),E300,1),"")</f>
        <v>D</v>
      </c>
      <c r="E300" s="3">
        <v>32</v>
      </c>
      <c r="F300" s="3" t="str">
        <f>IFERROR(MID(VLOOKUP($B300,Seqs!$A:$B,2,0),G300,1),"")</f>
        <v>R</v>
      </c>
      <c r="G300" s="3">
        <v>60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T</v>
      </c>
      <c r="M300" s="3">
        <v>64</v>
      </c>
      <c r="N300" s="3" t="str">
        <f>IFERROR(MID(VLOOKUP($B300,Seqs!$A:$B,2,0),O300,1),"")</f>
        <v>G</v>
      </c>
      <c r="O300" s="3">
        <v>94</v>
      </c>
      <c r="P300" s="3" t="str">
        <f>IFERROR(MID(VLOOKUP($B300,Seqs!$A:$B,2,0),Q300,1),"")</f>
        <v>S</v>
      </c>
      <c r="Q300" s="3">
        <v>96</v>
      </c>
      <c r="R300" s="3" t="str">
        <f>IFERROR(MID(VLOOKUP($B300,Seqs!$A:$B,2,0),S300,1),"")</f>
        <v>L</v>
      </c>
      <c r="S300" s="3">
        <v>99</v>
      </c>
      <c r="T300" s="3" t="str">
        <f>IFERROR(MID(VLOOKUP($B300,Seqs!$A:$B,2,0),U300,1),"")</f>
        <v>T</v>
      </c>
      <c r="U300" s="3">
        <v>101</v>
      </c>
      <c r="V300" s="3" t="str">
        <f>IFERROR(MID(VLOOKUP($B300,Seqs!$A:$B,2,0),W300,1),"")</f>
        <v>R</v>
      </c>
      <c r="W300" s="3">
        <v>135</v>
      </c>
      <c r="X300" s="3" t="str">
        <f>IFERROR(MID(VLOOKUP($B300,Seqs!$A:$B,2,0),Y300,1),"")</f>
        <v>P</v>
      </c>
      <c r="Y300" s="3">
        <v>136</v>
      </c>
      <c r="Z300" s="3" t="str">
        <f>IFERROR(MID(VLOOKUP($B300,Seqs!$A:$B,2,0),AA300,1),"")</f>
        <v>R</v>
      </c>
      <c r="AA300" s="3">
        <v>143</v>
      </c>
      <c r="AB300" s="3" t="str">
        <f>IFERROR(MID(VLOOKUP($B300,Seqs!$A:$B,2,0),AC300,1),"")</f>
        <v>T</v>
      </c>
      <c r="AC300" s="3">
        <v>144</v>
      </c>
      <c r="AD300" s="3" t="str">
        <f>IFERROR(MID(VLOOKUP($B300,Seqs!$A:$B,2,0),AE300,1),"")</f>
        <v>R</v>
      </c>
      <c r="AE300" s="3">
        <v>170</v>
      </c>
      <c r="AF300" s="3" t="str">
        <f>IFERROR(MID(VLOOKUP($B300,Seqs!$A:$B,2,0),AG300,1),"")</f>
        <v>C</v>
      </c>
      <c r="AG300" s="3">
        <v>182</v>
      </c>
      <c r="AH300" s="3" t="str">
        <f>IFERROR(MID(VLOOKUP($B300,Seqs!$A:$B,2,0),AI300,1),"")</f>
        <v>Y</v>
      </c>
      <c r="AI300" s="3">
        <v>184</v>
      </c>
      <c r="AJ300" s="3" t="str">
        <f>IFERROR(MID(VLOOKUP($B300,Seqs!$A:$B,2,0),AK300,1),"")</f>
        <v>D</v>
      </c>
      <c r="AK300" s="3">
        <v>194</v>
      </c>
      <c r="AL300" s="3" t="str">
        <f>IFERROR(MID(VLOOKUP($B300,Seqs!$A:$B,2,0),AM300,1),"")</f>
        <v>R</v>
      </c>
      <c r="AM300" s="3">
        <v>236</v>
      </c>
      <c r="AN300" s="3" t="str">
        <f>IFERROR(MID(VLOOKUP($B300,Seqs!$A:$B,2,0),AO300,1),"")</f>
        <v/>
      </c>
      <c r="AO300" s="3">
        <v>2244</v>
      </c>
      <c r="AP300" s="3" t="str">
        <f>IFERROR(MID(VLOOKUP($B300,Seqs!$A:$B,2,0),AQ300,1),"")</f>
        <v/>
      </c>
      <c r="AQ300" s="3">
        <v>2271</v>
      </c>
      <c r="AR300" s="3" t="str">
        <f>IFERROR(MID(VLOOKUP($B300,Seqs!$A:$B,2,0),AS300,1),"")</f>
        <v/>
      </c>
      <c r="AS300" s="3">
        <v>2278</v>
      </c>
      <c r="AT300" s="3" t="str">
        <f>IFERROR(MID(VLOOKUP($B300,Seqs!$A:$B,2,0),AU300,1),"")</f>
        <v/>
      </c>
      <c r="AU300" s="3">
        <v>2307</v>
      </c>
      <c r="AV300" s="3" t="str">
        <f>IFERROR(MID(VLOOKUP($B300,Seqs!$A:$B,2,0),AW300,1),"")</f>
        <v/>
      </c>
      <c r="AW300" s="3">
        <v>2308</v>
      </c>
      <c r="AX300" s="3" t="str">
        <f>IFERROR(MID(VLOOKUP($B300,Seqs!$A:$B,2,0),AY300,1),"")</f>
        <v/>
      </c>
      <c r="AY300" s="3">
        <v>2325</v>
      </c>
      <c r="AZ300" s="77" t="str">
        <f>VLOOKUP(B300,Classification!A:D,2,0)</f>
        <v>A</v>
      </c>
      <c r="BA300" s="94" t="str">
        <f>VLOOKUP(B300,Classification!A:D,4,0)</f>
        <v>Prostanoid</v>
      </c>
      <c r="BB300" s="27" t="b">
        <f t="shared" ref="BB300" si="1818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 t="shared" ref="BC300" si="1819">_xlfn.AGGREGATE(9,6,CH300:CS300)-_xlfn.AGGREGATE(9,6,BV300:CG300)+12</f>
        <v>257</v>
      </c>
      <c r="BD300" s="2" t="s">
        <v>1376</v>
      </c>
      <c r="BE300" s="3" t="s">
        <v>1374</v>
      </c>
      <c r="BF300" s="119">
        <v>4.74</v>
      </c>
      <c r="BG300" s="49" t="s">
        <v>1</v>
      </c>
      <c r="BH300" s="49" t="s">
        <v>1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ref="BV300" si="1820">E300</f>
        <v>32</v>
      </c>
      <c r="BW300" s="71" t="str">
        <f t="shared" ref="BW300" si="1821">I300</f>
        <v>-</v>
      </c>
      <c r="BX300" s="72">
        <f t="shared" ref="BX300" si="1822">M300</f>
        <v>64</v>
      </c>
      <c r="BY300" s="71">
        <f t="shared" ref="BY300" si="1823">Q300</f>
        <v>96</v>
      </c>
      <c r="BZ300" s="72">
        <f t="shared" ref="BZ300" si="1824">U300</f>
        <v>101</v>
      </c>
      <c r="CA300" s="71">
        <f t="shared" ref="CA300" si="1825">Y300</f>
        <v>136</v>
      </c>
      <c r="CB300" s="72">
        <f t="shared" ref="CB300" si="1826">AC300</f>
        <v>144</v>
      </c>
      <c r="CC300" s="71">
        <f t="shared" ref="CC300" si="1827">AG300</f>
        <v>182</v>
      </c>
      <c r="CD300" s="72">
        <f t="shared" ref="CD300" si="1828">AK300</f>
        <v>194</v>
      </c>
      <c r="CE300" s="71">
        <f t="shared" ref="CE300" si="1829">AO300</f>
        <v>2244</v>
      </c>
      <c r="CF300" s="72">
        <f t="shared" ref="CF300" si="1830">AS300</f>
        <v>2278</v>
      </c>
      <c r="CG300" s="71">
        <f t="shared" ref="CG300" si="1831">AW300</f>
        <v>2308</v>
      </c>
      <c r="CH300" s="70">
        <f t="shared" ref="CH300" si="1832">G300</f>
        <v>60</v>
      </c>
      <c r="CI300" s="71" t="str">
        <f t="shared" ref="CI300" si="1833">K300</f>
        <v>-</v>
      </c>
      <c r="CJ300" s="72">
        <f t="shared" ref="CJ300" si="1834">O300</f>
        <v>94</v>
      </c>
      <c r="CK300" s="72">
        <f t="shared" ref="CK300" si="1835">S300</f>
        <v>99</v>
      </c>
      <c r="CL300" s="72">
        <f t="shared" ref="CL300" si="1836">W300</f>
        <v>135</v>
      </c>
      <c r="CM300" s="72">
        <f t="shared" ref="CM300" si="1837">AA300</f>
        <v>143</v>
      </c>
      <c r="CN300" s="72">
        <f t="shared" ref="CN300" si="1838">AE300</f>
        <v>170</v>
      </c>
      <c r="CO300" s="72">
        <f t="shared" ref="CO300" si="1839">AI300</f>
        <v>184</v>
      </c>
      <c r="CP300" s="72">
        <f t="shared" ref="CP300" si="1840">AM300</f>
        <v>236</v>
      </c>
      <c r="CQ300" s="72">
        <f t="shared" ref="CQ300" si="1841">AQ300</f>
        <v>2271</v>
      </c>
      <c r="CR300" s="72">
        <f t="shared" ref="CR300" si="1842">AU300</f>
        <v>2307</v>
      </c>
      <c r="CS300" s="72">
        <f t="shared" ref="CS300" si="1843">AY300</f>
        <v>2325</v>
      </c>
      <c r="CT300" s="23" t="e">
        <f t="shared" ref="CT300" si="1844"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s="12" customFormat="1" x14ac:dyDescent="0.2">
      <c r="A301" s="9" t="str">
        <f t="shared" ref="A301:A303" si="1845">CONCATENATE(B301,"_",C301)</f>
        <v>pe2r3_human__wt</v>
      </c>
      <c r="B301" s="9" t="s">
        <v>363</v>
      </c>
      <c r="C301" s="9" t="s">
        <v>100</v>
      </c>
      <c r="D301" s="9" t="str">
        <f>IFERROR(MID(VLOOKUP($B301,Seqs!$A:$B,2,0),E301,1),"")</f>
        <v>V</v>
      </c>
      <c r="E301" s="9">
        <v>52</v>
      </c>
      <c r="F301" s="9" t="str">
        <f>IFERROR(MID(VLOOKUP($B301,Seqs!$A:$B,2,0),G301,1),"")</f>
        <v>R</v>
      </c>
      <c r="G301" s="9">
        <v>78</v>
      </c>
      <c r="H301" s="9" t="str">
        <f>IFERROR(MID(VLOOKUP($B301,Seqs!$A:$B,2,0),I301,1),"")</f>
        <v/>
      </c>
      <c r="I301" s="109" t="s">
        <v>23</v>
      </c>
      <c r="J301" s="9" t="str">
        <f>IFERROR(MID(VLOOKUP($B301,Seqs!$A:$B,2,0),K301,1),"")</f>
        <v/>
      </c>
      <c r="K301" s="109" t="s">
        <v>23</v>
      </c>
      <c r="L301" s="9" t="str">
        <f>IFERROR(MID(VLOOKUP($B301,Seqs!$A:$B,2,0),M301,1),"")</f>
        <v>K</v>
      </c>
      <c r="M301" s="9">
        <v>85</v>
      </c>
      <c r="N301" s="9" t="str">
        <f>IFERROR(MID(VLOOKUP($B301,Seqs!$A:$B,2,0),O301,1),"")</f>
        <v>K</v>
      </c>
      <c r="O301" s="9">
        <v>117</v>
      </c>
      <c r="P301" s="9" t="str">
        <f>IFERROR(MID(VLOOKUP($B301,Seqs!$A:$B,2,0),Q301,1),"")</f>
        <v>Q</v>
      </c>
      <c r="Q301" s="9">
        <v>118</v>
      </c>
      <c r="R301" s="9" t="str">
        <f>IFERROR(MID(VLOOKUP($B301,Seqs!$A:$B,2,0),S301,1),"")</f>
        <v>S</v>
      </c>
      <c r="S301" s="9">
        <v>126</v>
      </c>
      <c r="T301" s="9" t="str">
        <f>IFERROR(MID(VLOOKUP($B301,Seqs!$A:$B,2,0),U301,1),"")</f>
        <v>G</v>
      </c>
      <c r="U301" s="9">
        <v>127</v>
      </c>
      <c r="V301" s="9" t="str">
        <f>IFERROR(MID(VLOOKUP($B301,Seqs!$A:$B,2,0),W301,1),"")</f>
        <v>A</v>
      </c>
      <c r="W301" s="9">
        <v>161</v>
      </c>
      <c r="X301" s="9" t="str">
        <f>IFERROR(MID(VLOOKUP($B301,Seqs!$A:$B,2,0),Y301,1),"")</f>
        <v>P</v>
      </c>
      <c r="Y301" s="9">
        <v>162</v>
      </c>
      <c r="Z301" s="9" t="str">
        <f>IFERROR(MID(VLOOKUP($B301,Seqs!$A:$B,2,0),AA301,1),"")</f>
        <v>M</v>
      </c>
      <c r="AA301" s="9">
        <v>169</v>
      </c>
      <c r="AB301" s="9" t="str">
        <f>IFERROR(MID(VLOOKUP($B301,Seqs!$A:$B,2,0),AC301,1),"")</f>
        <v>K</v>
      </c>
      <c r="AC301" s="9">
        <v>170</v>
      </c>
      <c r="AD301" s="9" t="str">
        <f>IFERROR(MID(VLOOKUP($B301,Seqs!$A:$B,2,0),AE301,1),"")</f>
        <v>G</v>
      </c>
      <c r="AE301" s="9">
        <v>195</v>
      </c>
      <c r="AF301" s="9" t="str">
        <f>IFERROR(MID(VLOOKUP($B301,Seqs!$A:$B,2,0),AG301,1),"")</f>
        <v>C</v>
      </c>
      <c r="AG301" s="9">
        <v>208</v>
      </c>
      <c r="AH301" s="9" t="str">
        <f>IFERROR(MID(VLOOKUP($B301,Seqs!$A:$B,2,0),AI301,1),"")</f>
        <v>I</v>
      </c>
      <c r="AI301" s="9">
        <v>210</v>
      </c>
      <c r="AJ301" s="9" t="str">
        <f>IFERROR(MID(VLOOKUP($B301,Seqs!$A:$B,2,0),AK301,1),"")</f>
        <v>W</v>
      </c>
      <c r="AK301" s="9">
        <v>225</v>
      </c>
      <c r="AL301" s="9" t="str">
        <f>IFERROR(MID(VLOOKUP($B301,Seqs!$A:$B,2,0),AM301,1),"")</f>
        <v>T</v>
      </c>
      <c r="AM301" s="9">
        <v>265</v>
      </c>
      <c r="AN301" s="9" t="str">
        <f>IFERROR(MID(VLOOKUP($B301,Seqs!$A:$B,2,0),AO301,1),"")</f>
        <v>A</v>
      </c>
      <c r="AO301" s="9">
        <v>271</v>
      </c>
      <c r="AP301" s="9" t="str">
        <f>IFERROR(MID(VLOOKUP($B301,Seqs!$A:$B,2,0),AQ301,1),"")</f>
        <v>S</v>
      </c>
      <c r="AQ301" s="9">
        <v>311</v>
      </c>
      <c r="AR301" s="9" t="str">
        <f>IFERROR(MID(VLOOKUP($B301,Seqs!$A:$B,2,0),AS301,1),"")</f>
        <v>T</v>
      </c>
      <c r="AS301" s="9">
        <v>317</v>
      </c>
      <c r="AT301" s="9" t="str">
        <f>IFERROR(MID(VLOOKUP($B301,Seqs!$A:$B,2,0),AU301,1),"")</f>
        <v>Y</v>
      </c>
      <c r="AU301" s="9">
        <v>346</v>
      </c>
      <c r="AV301" s="9" t="str">
        <f>IFERROR(MID(VLOOKUP($B301,Seqs!$A:$B,2,0),AW301,1),"")</f>
        <v>L</v>
      </c>
      <c r="AW301" s="9">
        <v>347</v>
      </c>
      <c r="AX301" s="9" t="str">
        <f>IFERROR(MID(VLOOKUP($B301,Seqs!$A:$B,2,0),AY301,1),"")</f>
        <v>S</v>
      </c>
      <c r="AY301" s="9">
        <v>369</v>
      </c>
      <c r="AZ301" s="110" t="str">
        <f>VLOOKUP(B301,Classification!A:D,2,0)</f>
        <v>A</v>
      </c>
      <c r="BA301" s="98" t="str">
        <f>VLOOKUP(B301,Classification!A:D,4,0)</f>
        <v>Prostanoid</v>
      </c>
      <c r="BB301" s="36" t="b">
        <f t="shared" ref="BB301:BB303" si="1846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109">
        <f t="shared" ref="BC301:BC303" si="1847">_xlfn.AGGREGATE(9,6,CH301:CS301)-_xlfn.AGGREGATE(9,6,BV301:CG301)+12</f>
        <v>277</v>
      </c>
      <c r="BD301" s="40" t="s">
        <v>23</v>
      </c>
      <c r="BE301" s="9" t="s">
        <v>23</v>
      </c>
      <c r="BF301" s="120" t="s">
        <v>23</v>
      </c>
      <c r="BG301" s="51" t="s">
        <v>23</v>
      </c>
      <c r="BH301" s="51" t="s">
        <v>23</v>
      </c>
      <c r="BJ301" s="111" t="s">
        <v>1287</v>
      </c>
      <c r="BK301" s="112" t="s">
        <v>1287</v>
      </c>
      <c r="BL301" s="112" t="s">
        <v>1287</v>
      </c>
      <c r="BM301" s="112" t="s">
        <v>1287</v>
      </c>
      <c r="BN301" s="112" t="s">
        <v>1287</v>
      </c>
      <c r="BO301" s="112" t="s">
        <v>1287</v>
      </c>
      <c r="BP301" s="112" t="s">
        <v>1287</v>
      </c>
      <c r="BQ301" s="112" t="s">
        <v>1287</v>
      </c>
      <c r="BR301" s="112" t="s">
        <v>1287</v>
      </c>
      <c r="BS301" s="112" t="s">
        <v>1287</v>
      </c>
      <c r="BT301" s="112" t="s">
        <v>1287</v>
      </c>
      <c r="BU301" s="112" t="s">
        <v>1287</v>
      </c>
      <c r="BV301" s="111">
        <f t="shared" ref="BV301:BV303" si="1848">E301</f>
        <v>52</v>
      </c>
      <c r="BW301" s="113" t="str">
        <f t="shared" ref="BW301:BW303" si="1849">I301</f>
        <v>-</v>
      </c>
      <c r="BX301" s="114">
        <f t="shared" ref="BX301:BX303" si="1850">M301</f>
        <v>85</v>
      </c>
      <c r="BY301" s="113">
        <f t="shared" ref="BY301:BY303" si="1851">Q301</f>
        <v>118</v>
      </c>
      <c r="BZ301" s="114">
        <f t="shared" ref="BZ301:BZ303" si="1852">U301</f>
        <v>127</v>
      </c>
      <c r="CA301" s="113">
        <f t="shared" ref="CA301:CA303" si="1853">Y301</f>
        <v>162</v>
      </c>
      <c r="CB301" s="114">
        <f t="shared" ref="CB301:CB303" si="1854">AC301</f>
        <v>170</v>
      </c>
      <c r="CC301" s="113">
        <f t="shared" ref="CC301:CC303" si="1855">AG301</f>
        <v>208</v>
      </c>
      <c r="CD301" s="114">
        <f t="shared" ref="CD301:CD303" si="1856">AK301</f>
        <v>225</v>
      </c>
      <c r="CE301" s="113">
        <f t="shared" ref="CE301:CE303" si="1857">AO301</f>
        <v>271</v>
      </c>
      <c r="CF301" s="114">
        <f t="shared" ref="CF301:CF303" si="1858">AS301</f>
        <v>317</v>
      </c>
      <c r="CG301" s="113">
        <f t="shared" ref="CG301:CG303" si="1859">AW301</f>
        <v>347</v>
      </c>
      <c r="CH301" s="111">
        <f t="shared" ref="CH301:CH303" si="1860">G301</f>
        <v>78</v>
      </c>
      <c r="CI301" s="113" t="str">
        <f t="shared" ref="CI301:CI303" si="1861">K301</f>
        <v>-</v>
      </c>
      <c r="CJ301" s="114">
        <f t="shared" ref="CJ301:CJ303" si="1862">O301</f>
        <v>117</v>
      </c>
      <c r="CK301" s="114">
        <f t="shared" ref="CK301:CK303" si="1863">S301</f>
        <v>126</v>
      </c>
      <c r="CL301" s="114">
        <f t="shared" ref="CL301:CL303" si="1864">W301</f>
        <v>161</v>
      </c>
      <c r="CM301" s="114">
        <f t="shared" ref="CM301:CM303" si="1865">AA301</f>
        <v>169</v>
      </c>
      <c r="CN301" s="114">
        <f t="shared" ref="CN301:CN303" si="1866">AE301</f>
        <v>195</v>
      </c>
      <c r="CO301" s="114">
        <f t="shared" ref="CO301:CO303" si="1867">AI301</f>
        <v>210</v>
      </c>
      <c r="CP301" s="114">
        <f t="shared" ref="CP301:CP303" si="1868">AM301</f>
        <v>265</v>
      </c>
      <c r="CQ301" s="114">
        <f t="shared" ref="CQ301:CQ303" si="1869">AQ301</f>
        <v>311</v>
      </c>
      <c r="CR301" s="114">
        <f t="shared" ref="CR301:CR303" si="1870">AU301</f>
        <v>346</v>
      </c>
      <c r="CS301" s="114">
        <f t="shared" ref="CS301:CS303" si="1871">AY301</f>
        <v>369</v>
      </c>
      <c r="CT301" s="109" t="e">
        <f t="shared" ref="CT301:CT303" si="1872">M301-K301</f>
        <v>#VALUE!</v>
      </c>
    </row>
    <row r="302" spans="1:1029" s="12" customFormat="1" x14ac:dyDescent="0.2">
      <c r="A302" s="9" t="str">
        <f t="shared" ref="A302" si="1873">CONCATENATE(B302,"_",C302)</f>
        <v>pe2r3_human_6AK3</v>
      </c>
      <c r="B302" s="9" t="s">
        <v>363</v>
      </c>
      <c r="C302" s="9" t="s">
        <v>1539</v>
      </c>
      <c r="D302" s="9" t="str">
        <f>IFERROR(MID(VLOOKUP($B302,Seqs!$A:$B,2,0),E302,1),"")</f>
        <v>V</v>
      </c>
      <c r="E302" s="9">
        <v>52</v>
      </c>
      <c r="F302" s="9" t="str">
        <f>IFERROR(MID(VLOOKUP($B302,Seqs!$A:$B,2,0),G302,1),"")</f>
        <v>Y</v>
      </c>
      <c r="G302" s="9">
        <v>77</v>
      </c>
      <c r="H302" s="9" t="str">
        <f>IFERROR(MID(VLOOKUP($B302,Seqs!$A:$B,2,0),I302,1),"")</f>
        <v/>
      </c>
      <c r="I302" s="109" t="s">
        <v>23</v>
      </c>
      <c r="J302" s="9" t="str">
        <f>IFERROR(MID(VLOOKUP($B302,Seqs!$A:$B,2,0),K302,1),"")</f>
        <v/>
      </c>
      <c r="K302" s="109" t="s">
        <v>23</v>
      </c>
      <c r="L302" s="9" t="str">
        <f>IFERROR(MID(VLOOKUP($B302,Seqs!$A:$B,2,0),M302,1),"")</f>
        <v>K</v>
      </c>
      <c r="M302" s="9">
        <v>86</v>
      </c>
      <c r="N302" s="9" t="str">
        <f>IFERROR(MID(VLOOKUP($B302,Seqs!$A:$B,2,0),O302,1),"")</f>
        <v>K</v>
      </c>
      <c r="O302" s="9">
        <v>117</v>
      </c>
      <c r="P302" s="9" t="str">
        <f>IFERROR(MID(VLOOKUP($B302,Seqs!$A:$B,2,0),Q302,1),"")</f>
        <v/>
      </c>
      <c r="Q302" s="9" t="s">
        <v>23</v>
      </c>
      <c r="R302" s="9" t="str">
        <f>IFERROR(MID(VLOOKUP($B302,Seqs!$A:$B,2,0),S302,1),"")</f>
        <v/>
      </c>
      <c r="S302" s="9" t="s">
        <v>23</v>
      </c>
      <c r="T302" s="9" t="str">
        <f>IFERROR(MID(VLOOKUP($B302,Seqs!$A:$B,2,0),U302,1),"")</f>
        <v>G</v>
      </c>
      <c r="U302" s="9">
        <v>127</v>
      </c>
      <c r="V302" s="9" t="str">
        <f>IFERROR(MID(VLOOKUP($B302,Seqs!$A:$B,2,0),W302,1),"")</f>
        <v>A</v>
      </c>
      <c r="W302" s="9">
        <v>161</v>
      </c>
      <c r="X302" s="9" t="str">
        <f>IFERROR(MID(VLOOKUP($B302,Seqs!$A:$B,2,0),Y302,1),"")</f>
        <v>P</v>
      </c>
      <c r="Y302" s="9">
        <v>162</v>
      </c>
      <c r="Z302" s="9" t="str">
        <f>IFERROR(MID(VLOOKUP($B302,Seqs!$A:$B,2,0),AA302,1),"")</f>
        <v>M</v>
      </c>
      <c r="AA302" s="9">
        <v>169</v>
      </c>
      <c r="AB302" s="9" t="str">
        <f>IFERROR(MID(VLOOKUP($B302,Seqs!$A:$B,2,0),AC302,1),"")</f>
        <v>K</v>
      </c>
      <c r="AC302" s="9">
        <v>170</v>
      </c>
      <c r="AD302" s="9" t="str">
        <f>IFERROR(MID(VLOOKUP($B302,Seqs!$A:$B,2,0),AE302,1),"")</f>
        <v>G</v>
      </c>
      <c r="AE302" s="9">
        <v>195</v>
      </c>
      <c r="AF302" s="9" t="str">
        <f>IFERROR(MID(VLOOKUP($B302,Seqs!$A:$B,2,0),AG302,1),"")</f>
        <v>C</v>
      </c>
      <c r="AG302" s="9">
        <v>208</v>
      </c>
      <c r="AH302" s="9" t="str">
        <f>IFERROR(MID(VLOOKUP($B302,Seqs!$A:$B,2,0),AI302,1),"")</f>
        <v>I</v>
      </c>
      <c r="AI302" s="9">
        <v>210</v>
      </c>
      <c r="AJ302" s="9" t="str">
        <f>IFERROR(MID(VLOOKUP($B302,Seqs!$A:$B,2,0),AK302,1),"")</f>
        <v>G</v>
      </c>
      <c r="AK302" s="9">
        <v>226</v>
      </c>
      <c r="AL302" s="9" t="str">
        <f>IFERROR(MID(VLOOKUP($B302,Seqs!$A:$B,2,0),AM302,1),"")</f>
        <v>A</v>
      </c>
      <c r="AM302" s="9">
        <v>264</v>
      </c>
      <c r="AN302" s="9" t="str">
        <f>IFERROR(MID(VLOOKUP($B302,Seqs!$A:$B,2,0),AO302,1),"")</f>
        <v>A</v>
      </c>
      <c r="AO302" s="9">
        <v>271</v>
      </c>
      <c r="AP302" s="9" t="str">
        <f>IFERROR(MID(VLOOKUP($B302,Seqs!$A:$B,2,0),AQ302,1),"")</f>
        <v>F</v>
      </c>
      <c r="AQ302" s="9">
        <v>307</v>
      </c>
      <c r="AR302" s="9" t="str">
        <f>IFERROR(MID(VLOOKUP($B302,Seqs!$A:$B,2,0),AS302,1),"")</f>
        <v>K</v>
      </c>
      <c r="AS302" s="9">
        <v>323</v>
      </c>
      <c r="AT302" s="9" t="str">
        <f>IFERROR(MID(VLOOKUP($B302,Seqs!$A:$B,2,0),AU302,1),"")</f>
        <v>Y</v>
      </c>
      <c r="AU302" s="9">
        <v>346</v>
      </c>
      <c r="AV302" s="9" t="str">
        <f>IFERROR(MID(VLOOKUP($B302,Seqs!$A:$B,2,0),AW302,1),"")</f>
        <v>L</v>
      </c>
      <c r="AW302" s="9">
        <v>347</v>
      </c>
      <c r="AX302" s="9" t="str">
        <f>IFERROR(MID(VLOOKUP($B302,Seqs!$A:$B,2,0),AY302,1),"")</f>
        <v>L</v>
      </c>
      <c r="AY302" s="9">
        <v>353</v>
      </c>
      <c r="AZ302" s="110" t="str">
        <f>VLOOKUP(B302,Classification!A:D,2,0)</f>
        <v>A</v>
      </c>
      <c r="BA302" s="98" t="str">
        <f>VLOOKUP(B302,Classification!A:D,4,0)</f>
        <v>Prostanoid</v>
      </c>
      <c r="BB302" s="36" t="b">
        <f t="shared" ref="BB302" si="1874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109">
        <f t="shared" ref="BC302" si="1875">_xlfn.AGGREGATE(9,6,CH302:CS302)-_xlfn.AGGREGATE(9,6,BV302:CG302)+12</f>
        <v>239</v>
      </c>
      <c r="BD302" s="40" t="s">
        <v>1375</v>
      </c>
      <c r="BE302" s="9" t="s">
        <v>1291</v>
      </c>
      <c r="BF302" s="120">
        <v>2.9</v>
      </c>
      <c r="BG302" s="51" t="s">
        <v>1281</v>
      </c>
      <c r="BH302" s="51" t="s">
        <v>1281</v>
      </c>
      <c r="BJ302" s="111" t="s">
        <v>1287</v>
      </c>
      <c r="BK302" s="112" t="s">
        <v>1287</v>
      </c>
      <c r="BL302" s="112" t="s">
        <v>1287</v>
      </c>
      <c r="BM302" s="112" t="s">
        <v>1287</v>
      </c>
      <c r="BN302" s="112" t="s">
        <v>1287</v>
      </c>
      <c r="BO302" s="112" t="s">
        <v>1287</v>
      </c>
      <c r="BP302" s="112" t="s">
        <v>1287</v>
      </c>
      <c r="BQ302" s="112" t="s">
        <v>1287</v>
      </c>
      <c r="BR302" s="112" t="s">
        <v>1287</v>
      </c>
      <c r="BS302" s="112" t="s">
        <v>1287</v>
      </c>
      <c r="BT302" s="112" t="s">
        <v>1287</v>
      </c>
      <c r="BU302" s="112" t="s">
        <v>1287</v>
      </c>
      <c r="BV302" s="111">
        <f t="shared" ref="BV302" si="1876">E302</f>
        <v>52</v>
      </c>
      <c r="BW302" s="113" t="str">
        <f t="shared" ref="BW302" si="1877">I302</f>
        <v>-</v>
      </c>
      <c r="BX302" s="114">
        <f t="shared" ref="BX302" si="1878">M302</f>
        <v>86</v>
      </c>
      <c r="BY302" s="113" t="str">
        <f t="shared" ref="BY302" si="1879">Q302</f>
        <v>-</v>
      </c>
      <c r="BZ302" s="114">
        <f t="shared" ref="BZ302" si="1880">U302</f>
        <v>127</v>
      </c>
      <c r="CA302" s="113">
        <f t="shared" ref="CA302" si="1881">Y302</f>
        <v>162</v>
      </c>
      <c r="CB302" s="114">
        <f t="shared" ref="CB302" si="1882">AC302</f>
        <v>170</v>
      </c>
      <c r="CC302" s="113">
        <f t="shared" ref="CC302" si="1883">AG302</f>
        <v>208</v>
      </c>
      <c r="CD302" s="114">
        <f t="shared" ref="CD302" si="1884">AK302</f>
        <v>226</v>
      </c>
      <c r="CE302" s="113">
        <f t="shared" ref="CE302" si="1885">AO302</f>
        <v>271</v>
      </c>
      <c r="CF302" s="114">
        <f t="shared" ref="CF302" si="1886">AS302</f>
        <v>323</v>
      </c>
      <c r="CG302" s="113">
        <f t="shared" ref="CG302" si="1887">AW302</f>
        <v>347</v>
      </c>
      <c r="CH302" s="111">
        <f t="shared" ref="CH302" si="1888">G302</f>
        <v>77</v>
      </c>
      <c r="CI302" s="113" t="str">
        <f t="shared" ref="CI302" si="1889">K302</f>
        <v>-</v>
      </c>
      <c r="CJ302" s="114">
        <f t="shared" ref="CJ302" si="1890">O302</f>
        <v>117</v>
      </c>
      <c r="CK302" s="114" t="str">
        <f t="shared" ref="CK302" si="1891">S302</f>
        <v>-</v>
      </c>
      <c r="CL302" s="114">
        <f t="shared" ref="CL302" si="1892">W302</f>
        <v>161</v>
      </c>
      <c r="CM302" s="114">
        <f t="shared" ref="CM302" si="1893">AA302</f>
        <v>169</v>
      </c>
      <c r="CN302" s="114">
        <f t="shared" ref="CN302" si="1894">AE302</f>
        <v>195</v>
      </c>
      <c r="CO302" s="114">
        <f t="shared" ref="CO302" si="1895">AI302</f>
        <v>210</v>
      </c>
      <c r="CP302" s="114">
        <f t="shared" ref="CP302" si="1896">AM302</f>
        <v>264</v>
      </c>
      <c r="CQ302" s="114">
        <f t="shared" ref="CQ302" si="1897">AQ302</f>
        <v>307</v>
      </c>
      <c r="CR302" s="114">
        <f t="shared" ref="CR302" si="1898">AU302</f>
        <v>346</v>
      </c>
      <c r="CS302" s="114">
        <f t="shared" ref="CS302" si="1899">AY302</f>
        <v>353</v>
      </c>
      <c r="CT302" s="109" t="e">
        <f t="shared" ref="CT302" si="1900">M302-K302</f>
        <v>#VALUE!</v>
      </c>
    </row>
    <row r="303" spans="1:1029" s="12" customFormat="1" x14ac:dyDescent="0.2">
      <c r="A303" s="9" t="str">
        <f t="shared" si="1845"/>
        <v>pe2r3_human_6M9T</v>
      </c>
      <c r="B303" s="9" t="s">
        <v>363</v>
      </c>
      <c r="C303" s="9" t="s">
        <v>1538</v>
      </c>
      <c r="D303" s="9" t="str">
        <f>IFERROR(MID(VLOOKUP($B303,Seqs!$A:$B,2,0),E303,1),"")</f>
        <v>V</v>
      </c>
      <c r="E303" s="9">
        <v>52</v>
      </c>
      <c r="F303" s="9" t="str">
        <f>IFERROR(MID(VLOOKUP($B303,Seqs!$A:$B,2,0),G303,1),"")</f>
        <v>R</v>
      </c>
      <c r="G303" s="9">
        <v>78</v>
      </c>
      <c r="H303" s="9" t="str">
        <f>IFERROR(MID(VLOOKUP($B303,Seqs!$A:$B,2,0),I303,1),"")</f>
        <v/>
      </c>
      <c r="I303" s="109" t="s">
        <v>23</v>
      </c>
      <c r="J303" s="9" t="str">
        <f>IFERROR(MID(VLOOKUP($B303,Seqs!$A:$B,2,0),K303,1),"")</f>
        <v/>
      </c>
      <c r="K303" s="109" t="s">
        <v>23</v>
      </c>
      <c r="L303" s="9" t="str">
        <f>IFERROR(MID(VLOOKUP($B303,Seqs!$A:$B,2,0),M303,1),"")</f>
        <v>K</v>
      </c>
      <c r="M303" s="9">
        <v>85</v>
      </c>
      <c r="N303" s="9" t="str">
        <f>IFERROR(MID(VLOOKUP($B303,Seqs!$A:$B,2,0),O303,1),"")</f>
        <v>K</v>
      </c>
      <c r="O303" s="9">
        <v>117</v>
      </c>
      <c r="P303" s="9" t="str">
        <f>IFERROR(MID(VLOOKUP($B303,Seqs!$A:$B,2,0),Q303,1),"")</f>
        <v>Q</v>
      </c>
      <c r="Q303" s="9">
        <v>118</v>
      </c>
      <c r="R303" s="9" t="str">
        <f>IFERROR(MID(VLOOKUP($B303,Seqs!$A:$B,2,0),S303,1),"")</f>
        <v>S</v>
      </c>
      <c r="S303" s="9">
        <v>126</v>
      </c>
      <c r="T303" s="9" t="str">
        <f>IFERROR(MID(VLOOKUP($B303,Seqs!$A:$B,2,0),U303,1),"")</f>
        <v>G</v>
      </c>
      <c r="U303" s="9">
        <v>127</v>
      </c>
      <c r="V303" s="9" t="str">
        <f>IFERROR(MID(VLOOKUP($B303,Seqs!$A:$B,2,0),W303,1),"")</f>
        <v>A</v>
      </c>
      <c r="W303" s="9">
        <v>161</v>
      </c>
      <c r="X303" s="9" t="str">
        <f>IFERROR(MID(VLOOKUP($B303,Seqs!$A:$B,2,0),Y303,1),"")</f>
        <v>P</v>
      </c>
      <c r="Y303" s="9">
        <v>162</v>
      </c>
      <c r="Z303" s="9" t="str">
        <f>IFERROR(MID(VLOOKUP($B303,Seqs!$A:$B,2,0),AA303,1),"")</f>
        <v>M</v>
      </c>
      <c r="AA303" s="9">
        <v>169</v>
      </c>
      <c r="AB303" s="9" t="str">
        <f>IFERROR(MID(VLOOKUP($B303,Seqs!$A:$B,2,0),AC303,1),"")</f>
        <v>K</v>
      </c>
      <c r="AC303" s="9">
        <v>170</v>
      </c>
      <c r="AD303" s="9" t="str">
        <f>IFERROR(MID(VLOOKUP($B303,Seqs!$A:$B,2,0),AE303,1),"")</f>
        <v>G</v>
      </c>
      <c r="AE303" s="9">
        <v>195</v>
      </c>
      <c r="AF303" s="9" t="str">
        <f>IFERROR(MID(VLOOKUP($B303,Seqs!$A:$B,2,0),AG303,1),"")</f>
        <v>C</v>
      </c>
      <c r="AG303" s="9">
        <v>208</v>
      </c>
      <c r="AH303" s="9" t="str">
        <f>IFERROR(MID(VLOOKUP($B303,Seqs!$A:$B,2,0),AI303,1),"")</f>
        <v>I</v>
      </c>
      <c r="AI303" s="9">
        <v>210</v>
      </c>
      <c r="AJ303" s="9" t="str">
        <f>IFERROR(MID(VLOOKUP($B303,Seqs!$A:$B,2,0),AK303,1),"")</f>
        <v>W</v>
      </c>
      <c r="AK303" s="9">
        <v>225</v>
      </c>
      <c r="AL303" s="9" t="str">
        <f>IFERROR(MID(VLOOKUP($B303,Seqs!$A:$B,2,0),AM303,1),"")</f>
        <v>S</v>
      </c>
      <c r="AM303" s="9">
        <v>258</v>
      </c>
      <c r="AN303" s="9" t="str">
        <f>IFERROR(MID(VLOOKUP($B303,Seqs!$A:$B,2,0),AO303,1),"")</f>
        <v>R</v>
      </c>
      <c r="AO303" s="9">
        <v>275</v>
      </c>
      <c r="AP303" s="9" t="str">
        <f>IFERROR(MID(VLOOKUP($B303,Seqs!$A:$B,2,0),AQ303,1),"")</f>
        <v>F</v>
      </c>
      <c r="AQ303" s="9">
        <v>307</v>
      </c>
      <c r="AR303" s="9" t="str">
        <f>IFERROR(MID(VLOOKUP($B303,Seqs!$A:$B,2,0),AS303,1),"")</f>
        <v>K</v>
      </c>
      <c r="AS303" s="9">
        <v>323</v>
      </c>
      <c r="AT303" s="9" t="str">
        <f>IFERROR(MID(VLOOKUP($B303,Seqs!$A:$B,2,0),AU303,1),"")</f>
        <v>Y</v>
      </c>
      <c r="AU303" s="9">
        <v>346</v>
      </c>
      <c r="AV303" s="9" t="str">
        <f>IFERROR(MID(VLOOKUP($B303,Seqs!$A:$B,2,0),AW303,1),"")</f>
        <v>L</v>
      </c>
      <c r="AW303" s="9">
        <v>347</v>
      </c>
      <c r="AX303" s="9" t="str">
        <f>IFERROR(MID(VLOOKUP($B303,Seqs!$A:$B,2,0),AY303,1),"")</f>
        <v>L</v>
      </c>
      <c r="AY303" s="9">
        <v>353</v>
      </c>
      <c r="AZ303" s="110" t="str">
        <f>VLOOKUP(B303,Classification!A:D,2,0)</f>
        <v>A</v>
      </c>
      <c r="BA303" s="98" t="str">
        <f>VLOOKUP(B303,Classification!A:D,4,0)</f>
        <v>Prostanoid</v>
      </c>
      <c r="BB303" s="36" t="b">
        <f t="shared" si="1846"/>
        <v>1</v>
      </c>
      <c r="BC303" s="109">
        <f t="shared" si="1847"/>
        <v>240</v>
      </c>
      <c r="BD303" s="40" t="s">
        <v>1429</v>
      </c>
      <c r="BE303" s="9" t="s">
        <v>1471</v>
      </c>
      <c r="BF303" s="120">
        <v>2.5</v>
      </c>
      <c r="BG303" s="51" t="s">
        <v>1</v>
      </c>
      <c r="BH303" s="51" t="s">
        <v>1</v>
      </c>
      <c r="BJ303" s="111" t="s">
        <v>1287</v>
      </c>
      <c r="BK303" s="112" t="s">
        <v>1287</v>
      </c>
      <c r="BL303" s="112" t="s">
        <v>1287</v>
      </c>
      <c r="BM303" s="112" t="s">
        <v>1287</v>
      </c>
      <c r="BN303" s="112" t="s">
        <v>1287</v>
      </c>
      <c r="BO303" s="112" t="s">
        <v>1287</v>
      </c>
      <c r="BP303" s="112" t="s">
        <v>1287</v>
      </c>
      <c r="BQ303" s="112" t="s">
        <v>1287</v>
      </c>
      <c r="BR303" s="112" t="s">
        <v>1287</v>
      </c>
      <c r="BS303" s="112" t="s">
        <v>1287</v>
      </c>
      <c r="BT303" s="112" t="s">
        <v>1287</v>
      </c>
      <c r="BU303" s="112" t="s">
        <v>1287</v>
      </c>
      <c r="BV303" s="111">
        <f t="shared" si="1848"/>
        <v>52</v>
      </c>
      <c r="BW303" s="113" t="str">
        <f t="shared" si="1849"/>
        <v>-</v>
      </c>
      <c r="BX303" s="114">
        <f t="shared" si="1850"/>
        <v>85</v>
      </c>
      <c r="BY303" s="113">
        <f t="shared" si="1851"/>
        <v>118</v>
      </c>
      <c r="BZ303" s="114">
        <f t="shared" si="1852"/>
        <v>127</v>
      </c>
      <c r="CA303" s="113">
        <f t="shared" si="1853"/>
        <v>162</v>
      </c>
      <c r="CB303" s="114">
        <f t="shared" si="1854"/>
        <v>170</v>
      </c>
      <c r="CC303" s="113">
        <f t="shared" si="1855"/>
        <v>208</v>
      </c>
      <c r="CD303" s="114">
        <f t="shared" si="1856"/>
        <v>225</v>
      </c>
      <c r="CE303" s="113">
        <f t="shared" si="1857"/>
        <v>275</v>
      </c>
      <c r="CF303" s="114">
        <f t="shared" si="1858"/>
        <v>323</v>
      </c>
      <c r="CG303" s="113">
        <f t="shared" si="1859"/>
        <v>347</v>
      </c>
      <c r="CH303" s="111">
        <f t="shared" si="1860"/>
        <v>78</v>
      </c>
      <c r="CI303" s="113" t="str">
        <f t="shared" si="1861"/>
        <v>-</v>
      </c>
      <c r="CJ303" s="114">
        <f t="shared" si="1862"/>
        <v>117</v>
      </c>
      <c r="CK303" s="114">
        <f t="shared" si="1863"/>
        <v>126</v>
      </c>
      <c r="CL303" s="114">
        <f t="shared" si="1864"/>
        <v>161</v>
      </c>
      <c r="CM303" s="114">
        <f t="shared" si="1865"/>
        <v>169</v>
      </c>
      <c r="CN303" s="114">
        <f t="shared" si="1866"/>
        <v>195</v>
      </c>
      <c r="CO303" s="114">
        <f t="shared" si="1867"/>
        <v>210</v>
      </c>
      <c r="CP303" s="114">
        <f t="shared" si="1868"/>
        <v>258</v>
      </c>
      <c r="CQ303" s="114">
        <f t="shared" si="1869"/>
        <v>307</v>
      </c>
      <c r="CR303" s="114">
        <f t="shared" si="1870"/>
        <v>346</v>
      </c>
      <c r="CS303" s="114">
        <f t="shared" si="1871"/>
        <v>353</v>
      </c>
      <c r="CT303" s="109" t="e">
        <f t="shared" si="1872"/>
        <v>#VALUE!</v>
      </c>
    </row>
    <row r="304" spans="1:1029" x14ac:dyDescent="0.2">
      <c r="A304" s="9" t="str">
        <f t="shared" ref="A304" si="1901">CONCATENATE(B304,"_",C304)</f>
        <v>pe2r4_human__wt</v>
      </c>
      <c r="B304" s="9" t="s">
        <v>364</v>
      </c>
      <c r="C304" s="9" t="s">
        <v>100</v>
      </c>
      <c r="D304" s="9" t="str">
        <f>IFERROR(MID(VLOOKUP($B304,Seqs!$A:$B,2,0),E304,1),"")</f>
        <v>N</v>
      </c>
      <c r="E304" s="9">
        <v>18</v>
      </c>
      <c r="F304" s="9" t="str">
        <f>IFERROR(MID(VLOOKUP($B304,Seqs!$A:$B,2,0),G304,1),"")</f>
        <v>C</v>
      </c>
      <c r="G304" s="9">
        <v>43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E</v>
      </c>
      <c r="M304" s="9">
        <v>51</v>
      </c>
      <c r="N304" s="9" t="str">
        <f>IFERROR(MID(VLOOKUP($B304,Seqs!$A:$B,2,0),O304,1),"")</f>
        <v>K</v>
      </c>
      <c r="O304" s="9">
        <v>82</v>
      </c>
      <c r="P304" s="9" t="str">
        <f>IFERROR(MID(VLOOKUP($B304,Seqs!$A:$B,2,0),Q304,1),"")</f>
        <v>Q</v>
      </c>
      <c r="Q304" s="9">
        <v>84</v>
      </c>
      <c r="R304" s="9" t="str">
        <f>IFERROR(MID(VLOOKUP($B304,Seqs!$A:$B,2,0),S304,1),"")</f>
        <v>G</v>
      </c>
      <c r="S304" s="9">
        <v>87</v>
      </c>
      <c r="T304" s="9" t="str">
        <f>IFERROR(MID(VLOOKUP($B304,Seqs!$A:$B,2,0),U304,1),"")</f>
        <v>G</v>
      </c>
      <c r="U304" s="9">
        <v>88</v>
      </c>
      <c r="V304" s="9" t="str">
        <f>IFERROR(MID(VLOOKUP($B304,Seqs!$A:$B,2,0),W304,1),"")</f>
        <v>H</v>
      </c>
      <c r="W304" s="9">
        <v>123</v>
      </c>
      <c r="X304" s="9" t="str">
        <f>IFERROR(MID(VLOOKUP($B304,Seqs!$A:$B,2,0),Y304,1),"")</f>
        <v>A</v>
      </c>
      <c r="Y304" s="9">
        <v>124</v>
      </c>
      <c r="Z304" s="9" t="str">
        <f>IFERROR(MID(VLOOKUP($B304,Seqs!$A:$B,2,0),AA304,1),"")</f>
        <v>V</v>
      </c>
      <c r="AA304" s="9">
        <v>131</v>
      </c>
      <c r="AB304" s="9" t="str">
        <f>IFERROR(MID(VLOOKUP($B304,Seqs!$A:$B,2,0),AC304,1),"")</f>
        <v>D</v>
      </c>
      <c r="AC304" s="9">
        <v>132</v>
      </c>
      <c r="AD304" s="9" t="str">
        <f>IFERROR(MID(VLOOKUP($B304,Seqs!$A:$B,2,0),AE304,1),"")</f>
        <v>G</v>
      </c>
      <c r="AE304" s="9">
        <v>157</v>
      </c>
      <c r="AF304" s="9" t="str">
        <f>IFERROR(MID(VLOOKUP($B304,Seqs!$A:$B,2,0),AG304,1),"")</f>
        <v>C</v>
      </c>
      <c r="AG304" s="9">
        <v>170</v>
      </c>
      <c r="AH304" s="9" t="str">
        <f>IFERROR(MID(VLOOKUP($B304,Seqs!$A:$B,2,0),AI304,1),"")</f>
        <v>I</v>
      </c>
      <c r="AI304" s="9">
        <v>172</v>
      </c>
      <c r="AJ304" s="9" t="str">
        <f>IFERROR(MID(VLOOKUP($B304,Seqs!$A:$B,2,0),AK304,1),"")</f>
        <v>V</v>
      </c>
      <c r="AK304" s="9">
        <v>178</v>
      </c>
      <c r="AL304" s="9" t="str">
        <f>IFERROR(MID(VLOOKUP($B304,Seqs!$A:$B,2,0),AM304,1),"")</f>
        <v>L</v>
      </c>
      <c r="AM304" s="9">
        <v>223</v>
      </c>
      <c r="AN304" s="9" t="str">
        <f>IFERROR(MID(VLOOKUP($B304,Seqs!$A:$B,2,0),AO304,1),"")</f>
        <v>R</v>
      </c>
      <c r="AO304" s="9">
        <v>261</v>
      </c>
      <c r="AP304" s="9" t="str">
        <f>IFERROR(MID(VLOOKUP($B304,Seqs!$A:$B,2,0),AQ304,1),"")</f>
        <v>Y</v>
      </c>
      <c r="AQ304" s="9">
        <v>298</v>
      </c>
      <c r="AR304" s="9" t="str">
        <f>IFERROR(MID(VLOOKUP($B304,Seqs!$A:$B,2,0),AS304,1),"")</f>
        <v>N</v>
      </c>
      <c r="AS304" s="9">
        <v>309</v>
      </c>
      <c r="AT304" s="9" t="str">
        <f>IFERROR(MID(VLOOKUP($B304,Seqs!$A:$B,2,0),AU304,1),"")</f>
        <v>L</v>
      </c>
      <c r="AU304" s="9">
        <v>332</v>
      </c>
      <c r="AV304" s="9" t="str">
        <f>IFERROR(MID(VLOOKUP($B304,Seqs!$A:$B,2,0),AW304,1),"")</f>
        <v>R</v>
      </c>
      <c r="AW304" s="9">
        <v>333</v>
      </c>
      <c r="AX304" s="9" t="str">
        <f>IFERROR(MID(VLOOKUP($B304,Seqs!$A:$B,2,0),AY304,1),"")</f>
        <v>C</v>
      </c>
      <c r="AY304" s="9">
        <v>346</v>
      </c>
      <c r="AZ304" s="110" t="str">
        <f>VLOOKUP(B304,Classification!A:D,2,0)</f>
        <v>A</v>
      </c>
      <c r="BA304" s="98" t="str">
        <f>VLOOKUP(B304,Classification!A:D,4,0)</f>
        <v>Prostanoid</v>
      </c>
      <c r="BB304" s="36" t="b">
        <f t="shared" ref="BB304" si="1902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1903">_xlfn.AGGREGATE(9,6,CH304:CS304)-_xlfn.AGGREGATE(9,6,BV304:CG304)+12</f>
        <v>258</v>
      </c>
      <c r="BD304" s="40" t="s">
        <v>23</v>
      </c>
      <c r="BE304" s="9" t="s">
        <v>23</v>
      </c>
      <c r="BF304" s="120" t="s">
        <v>23</v>
      </c>
      <c r="BG304" s="51" t="s">
        <v>23</v>
      </c>
      <c r="BH304" s="51" t="s">
        <v>23</v>
      </c>
      <c r="BI304" s="12"/>
      <c r="BJ304" s="111" t="s">
        <v>1287</v>
      </c>
      <c r="BK304" s="112" t="s">
        <v>1287</v>
      </c>
      <c r="BL304" s="112" t="s">
        <v>1287</v>
      </c>
      <c r="BM304" s="112" t="s">
        <v>1287</v>
      </c>
      <c r="BN304" s="112" t="s">
        <v>1287</v>
      </c>
      <c r="BO304" s="112" t="s">
        <v>1287</v>
      </c>
      <c r="BP304" s="112" t="s">
        <v>1287</v>
      </c>
      <c r="BQ304" s="112" t="s">
        <v>1287</v>
      </c>
      <c r="BR304" s="112" t="s">
        <v>1287</v>
      </c>
      <c r="BS304" s="112" t="s">
        <v>1287</v>
      </c>
      <c r="BT304" s="112" t="s">
        <v>1287</v>
      </c>
      <c r="BU304" s="112" t="s">
        <v>1287</v>
      </c>
      <c r="BV304" s="111">
        <f t="shared" ref="BV304" si="1904">E304</f>
        <v>18</v>
      </c>
      <c r="BW304" s="113" t="str">
        <f t="shared" ref="BW304" si="1905">I304</f>
        <v>-</v>
      </c>
      <c r="BX304" s="114">
        <f t="shared" ref="BX304" si="1906">M304</f>
        <v>51</v>
      </c>
      <c r="BY304" s="113">
        <f t="shared" ref="BY304" si="1907">Q304</f>
        <v>84</v>
      </c>
      <c r="BZ304" s="114">
        <f t="shared" ref="BZ304" si="1908">U304</f>
        <v>88</v>
      </c>
      <c r="CA304" s="113">
        <f t="shared" ref="CA304" si="1909">Y304</f>
        <v>124</v>
      </c>
      <c r="CB304" s="114">
        <f t="shared" ref="CB304" si="1910">AC304</f>
        <v>132</v>
      </c>
      <c r="CC304" s="113">
        <f t="shared" ref="CC304" si="1911">AG304</f>
        <v>170</v>
      </c>
      <c r="CD304" s="114">
        <f t="shared" ref="CD304" si="1912">AK304</f>
        <v>178</v>
      </c>
      <c r="CE304" s="113">
        <f t="shared" ref="CE304" si="1913">AO304</f>
        <v>261</v>
      </c>
      <c r="CF304" s="114">
        <f t="shared" ref="CF304" si="1914">AS304</f>
        <v>309</v>
      </c>
      <c r="CG304" s="113">
        <f t="shared" ref="CG304" si="1915">AW304</f>
        <v>333</v>
      </c>
      <c r="CH304" s="111">
        <f t="shared" ref="CH304" si="1916">G304</f>
        <v>43</v>
      </c>
      <c r="CI304" s="113" t="str">
        <f t="shared" ref="CI304" si="1917">K304</f>
        <v>-</v>
      </c>
      <c r="CJ304" s="114">
        <f t="shared" ref="CJ304" si="1918">O304</f>
        <v>82</v>
      </c>
      <c r="CK304" s="114">
        <f t="shared" ref="CK304" si="1919">S304</f>
        <v>87</v>
      </c>
      <c r="CL304" s="114">
        <f t="shared" ref="CL304" si="1920">W304</f>
        <v>123</v>
      </c>
      <c r="CM304" s="114">
        <f t="shared" ref="CM304" si="1921">AA304</f>
        <v>131</v>
      </c>
      <c r="CN304" s="114">
        <f t="shared" ref="CN304" si="1922">AE304</f>
        <v>157</v>
      </c>
      <c r="CO304" s="114">
        <f t="shared" ref="CO304" si="1923">AI304</f>
        <v>172</v>
      </c>
      <c r="CP304" s="114">
        <f t="shared" ref="CP304" si="1924">AM304</f>
        <v>223</v>
      </c>
      <c r="CQ304" s="114">
        <f t="shared" ref="CQ304" si="1925">AQ304</f>
        <v>298</v>
      </c>
      <c r="CR304" s="114">
        <f t="shared" ref="CR304" si="1926">AU304</f>
        <v>332</v>
      </c>
      <c r="CS304" s="114">
        <f t="shared" ref="CS304" si="1927">AY304</f>
        <v>346</v>
      </c>
      <c r="CT304" s="109" t="e">
        <f t="shared" ref="CT304" si="1928">M304-K304</f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9" t="str">
        <f>CONCATENATE(B305,"_",C305)</f>
        <v>pe2r4_human_5YWY</v>
      </c>
      <c r="B305" s="9" t="s">
        <v>364</v>
      </c>
      <c r="C305" s="9" t="s">
        <v>1536</v>
      </c>
      <c r="D305" s="9" t="str">
        <f>IFERROR(MID(VLOOKUP($B305,Seqs!$A:$B,2,0),E305,1),"")</f>
        <v>N</v>
      </c>
      <c r="E305" s="9">
        <v>18</v>
      </c>
      <c r="F305" s="9" t="str">
        <f>IFERROR(MID(VLOOKUP($B305,Seqs!$A:$B,2,0),G305,1),"")</f>
        <v>C</v>
      </c>
      <c r="G305" s="9">
        <v>43</v>
      </c>
      <c r="H305" s="9" t="str">
        <f>IFERROR(MID(VLOOKUP($B305,Seqs!$A:$B,2,0),I305,1),"")</f>
        <v/>
      </c>
      <c r="I305" s="109" t="s">
        <v>23</v>
      </c>
      <c r="J305" s="9" t="str">
        <f>IFERROR(MID(VLOOKUP($B305,Seqs!$A:$B,2,0),K305,1),"")</f>
        <v/>
      </c>
      <c r="K305" s="109" t="s">
        <v>23</v>
      </c>
      <c r="L305" s="9" t="str">
        <f>IFERROR(MID(VLOOKUP($B305,Seqs!$A:$B,2,0),M305,1),"")</f>
        <v>E</v>
      </c>
      <c r="M305" s="9">
        <v>51</v>
      </c>
      <c r="N305" s="9" t="str">
        <f>IFERROR(MID(VLOOKUP($B305,Seqs!$A:$B,2,0),O305,1),"")</f>
        <v>K</v>
      </c>
      <c r="O305" s="9">
        <v>82</v>
      </c>
      <c r="P305" s="9" t="str">
        <f>IFERROR(MID(VLOOKUP($B305,Seqs!$A:$B,2,0),Q305,1),"")</f>
        <v>Q</v>
      </c>
      <c r="Q305" s="9">
        <v>84</v>
      </c>
      <c r="R305" s="9" t="str">
        <f>IFERROR(MID(VLOOKUP($B305,Seqs!$A:$B,2,0),S305,1),"")</f>
        <v>G</v>
      </c>
      <c r="S305" s="9">
        <v>87</v>
      </c>
      <c r="T305" s="9" t="str">
        <f>IFERROR(MID(VLOOKUP($B305,Seqs!$A:$B,2,0),U305,1),"")</f>
        <v>G</v>
      </c>
      <c r="U305" s="9">
        <v>88</v>
      </c>
      <c r="V305" s="9" t="str">
        <f>IFERROR(MID(VLOOKUP($B305,Seqs!$A:$B,2,0),W305,1),"")</f>
        <v>H</v>
      </c>
      <c r="W305" s="9">
        <v>123</v>
      </c>
      <c r="X305" s="9" t="str">
        <f>IFERROR(MID(VLOOKUP($B305,Seqs!$A:$B,2,0),Y305,1),"")</f>
        <v>A</v>
      </c>
      <c r="Y305" s="9">
        <v>124</v>
      </c>
      <c r="Z305" s="9" t="str">
        <f>IFERROR(MID(VLOOKUP($B305,Seqs!$A:$B,2,0),AA305,1),"")</f>
        <v>V</v>
      </c>
      <c r="AA305" s="9">
        <v>131</v>
      </c>
      <c r="AB305" s="9" t="str">
        <f>IFERROR(MID(VLOOKUP($B305,Seqs!$A:$B,2,0),AC305,1),"")</f>
        <v>D</v>
      </c>
      <c r="AC305" s="9">
        <v>132</v>
      </c>
      <c r="AD305" s="9" t="str">
        <f>IFERROR(MID(VLOOKUP($B305,Seqs!$A:$B,2,0),AE305,1),"")</f>
        <v>G</v>
      </c>
      <c r="AE305" s="9">
        <v>157</v>
      </c>
      <c r="AF305" s="9" t="str">
        <f>IFERROR(MID(VLOOKUP($B305,Seqs!$A:$B,2,0),AG305,1),"")</f>
        <v>C</v>
      </c>
      <c r="AG305" s="9">
        <v>170</v>
      </c>
      <c r="AH305" s="9" t="str">
        <f>IFERROR(MID(VLOOKUP($B305,Seqs!$A:$B,2,0),AI305,1),"")</f>
        <v>I</v>
      </c>
      <c r="AI305" s="9">
        <v>172</v>
      </c>
      <c r="AJ305" s="9" t="str">
        <f>IFERROR(MID(VLOOKUP($B305,Seqs!$A:$B,2,0),AK305,1),"")</f>
        <v>V</v>
      </c>
      <c r="AK305" s="9">
        <v>178</v>
      </c>
      <c r="AL305" s="9" t="str">
        <f>IFERROR(MID(VLOOKUP($B305,Seqs!$A:$B,2,0),AM305,1),"")</f>
        <v>H</v>
      </c>
      <c r="AM305" s="9">
        <v>214</v>
      </c>
      <c r="AN305" s="9" t="str">
        <f>IFERROR(MID(VLOOKUP($B305,Seqs!$A:$B,2,0),AO305,1),"")</f>
        <v>A</v>
      </c>
      <c r="AO305" s="9">
        <v>266</v>
      </c>
      <c r="AP305" s="9" t="str">
        <f>IFERROR(MID(VLOOKUP($B305,Seqs!$A:$B,2,0),AQ305,1),"")</f>
        <v>Y</v>
      </c>
      <c r="AQ305" s="9">
        <v>298</v>
      </c>
      <c r="AR305" s="9" t="str">
        <f>IFERROR(MID(VLOOKUP($B305,Seqs!$A:$B,2,0),AS305,1),"")</f>
        <v>N</v>
      </c>
      <c r="AS305" s="9">
        <v>309</v>
      </c>
      <c r="AT305" s="9" t="str">
        <f>IFERROR(MID(VLOOKUP($B305,Seqs!$A:$B,2,0),AU305,1),"")</f>
        <v>L</v>
      </c>
      <c r="AU305" s="9">
        <v>332</v>
      </c>
      <c r="AV305" s="9" t="str">
        <f>IFERROR(MID(VLOOKUP($B305,Seqs!$A:$B,2,0),AW305,1),"")</f>
        <v>R</v>
      </c>
      <c r="AW305" s="9">
        <v>333</v>
      </c>
      <c r="AX305" s="9" t="str">
        <f>IFERROR(MID(VLOOKUP($B305,Seqs!$A:$B,2,0),AY305,1),"")</f>
        <v>I</v>
      </c>
      <c r="AY305" s="9">
        <v>344</v>
      </c>
      <c r="AZ305" s="110" t="str">
        <f>VLOOKUP(B305,Classification!A:D,2,0)</f>
        <v>A</v>
      </c>
      <c r="BA305" s="98" t="str">
        <f>VLOOKUP(B305,Classification!A:D,4,0)</f>
        <v>Prostanoid</v>
      </c>
      <c r="BB305" s="36" t="b">
        <f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>_xlfn.AGGREGATE(9,6,CH305:CS305)-_xlfn.AGGREGATE(9,6,BV305:CG305)+12</f>
        <v>242</v>
      </c>
      <c r="BD305" s="40" t="s">
        <v>1376</v>
      </c>
      <c r="BE305" s="9" t="s">
        <v>1374</v>
      </c>
      <c r="BF305" s="120">
        <v>3.2</v>
      </c>
      <c r="BG305" s="51" t="s">
        <v>1</v>
      </c>
      <c r="BH305" s="51" t="s">
        <v>1</v>
      </c>
      <c r="BI305" s="12"/>
      <c r="BJ305" s="111" t="s">
        <v>1287</v>
      </c>
      <c r="BK305" s="112" t="s">
        <v>1287</v>
      </c>
      <c r="BL305" s="112" t="s">
        <v>1287</v>
      </c>
      <c r="BM305" s="112" t="s">
        <v>1287</v>
      </c>
      <c r="BN305" s="112" t="s">
        <v>1287</v>
      </c>
      <c r="BO305" s="112" t="s">
        <v>1287</v>
      </c>
      <c r="BP305" s="112" t="s">
        <v>1287</v>
      </c>
      <c r="BQ305" s="112" t="s">
        <v>1287</v>
      </c>
      <c r="BR305" s="112" t="s">
        <v>1287</v>
      </c>
      <c r="BS305" s="112" t="s">
        <v>1287</v>
      </c>
      <c r="BT305" s="112" t="s">
        <v>1287</v>
      </c>
      <c r="BU305" s="112" t="s">
        <v>1287</v>
      </c>
      <c r="BV305" s="111">
        <f>E305</f>
        <v>18</v>
      </c>
      <c r="BW305" s="113" t="str">
        <f>I305</f>
        <v>-</v>
      </c>
      <c r="BX305" s="114">
        <f>M305</f>
        <v>51</v>
      </c>
      <c r="BY305" s="113">
        <f>Q305</f>
        <v>84</v>
      </c>
      <c r="BZ305" s="114">
        <f>U305</f>
        <v>88</v>
      </c>
      <c r="CA305" s="113">
        <f>Y305</f>
        <v>124</v>
      </c>
      <c r="CB305" s="114">
        <f>AC305</f>
        <v>132</v>
      </c>
      <c r="CC305" s="113">
        <f>AG305</f>
        <v>170</v>
      </c>
      <c r="CD305" s="114">
        <f>AK305</f>
        <v>178</v>
      </c>
      <c r="CE305" s="113">
        <f>AO305</f>
        <v>266</v>
      </c>
      <c r="CF305" s="114">
        <f>AS305</f>
        <v>309</v>
      </c>
      <c r="CG305" s="113">
        <f>AW305</f>
        <v>333</v>
      </c>
      <c r="CH305" s="111">
        <f>G305</f>
        <v>43</v>
      </c>
      <c r="CI305" s="113" t="str">
        <f>K305</f>
        <v>-</v>
      </c>
      <c r="CJ305" s="114">
        <f>O305</f>
        <v>82</v>
      </c>
      <c r="CK305" s="114">
        <f>S305</f>
        <v>87</v>
      </c>
      <c r="CL305" s="114">
        <f>W305</f>
        <v>123</v>
      </c>
      <c r="CM305" s="114">
        <f>AA305</f>
        <v>131</v>
      </c>
      <c r="CN305" s="114">
        <f>AE305</f>
        <v>157</v>
      </c>
      <c r="CO305" s="114">
        <f>AI305</f>
        <v>172</v>
      </c>
      <c r="CP305" s="114">
        <f>AM305</f>
        <v>214</v>
      </c>
      <c r="CQ305" s="114">
        <f>AQ305</f>
        <v>298</v>
      </c>
      <c r="CR305" s="114">
        <f>AU305</f>
        <v>332</v>
      </c>
      <c r="CS305" s="114">
        <f>AY305</f>
        <v>344</v>
      </c>
      <c r="CT305" s="109" t="e">
        <f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9" t="str">
        <f>CONCATENATE(B306,"_",C306)</f>
        <v>pe2r4_human_5YHL</v>
      </c>
      <c r="B306" s="9" t="s">
        <v>364</v>
      </c>
      <c r="C306" s="9" t="s">
        <v>1537</v>
      </c>
      <c r="D306" s="9" t="str">
        <f>IFERROR(MID(VLOOKUP($B306,Seqs!$A:$B,2,0),E306,1),"")</f>
        <v>N</v>
      </c>
      <c r="E306" s="9">
        <v>18</v>
      </c>
      <c r="F306" s="9" t="str">
        <f>IFERROR(MID(VLOOKUP($B306,Seqs!$A:$B,2,0),G306,1),"")</f>
        <v>C</v>
      </c>
      <c r="G306" s="9">
        <v>43</v>
      </c>
      <c r="H306" s="9" t="str">
        <f>IFERROR(MID(VLOOKUP($B306,Seqs!$A:$B,2,0),I306,1),"")</f>
        <v/>
      </c>
      <c r="I306" s="109" t="s">
        <v>23</v>
      </c>
      <c r="J306" s="9" t="str">
        <f>IFERROR(MID(VLOOKUP($B306,Seqs!$A:$B,2,0),K306,1),"")</f>
        <v/>
      </c>
      <c r="K306" s="109" t="s">
        <v>23</v>
      </c>
      <c r="L306" s="9" t="str">
        <f>IFERROR(MID(VLOOKUP($B306,Seqs!$A:$B,2,0),M306,1),"")</f>
        <v>E</v>
      </c>
      <c r="M306" s="9">
        <v>51</v>
      </c>
      <c r="N306" s="9" t="str">
        <f>IFERROR(MID(VLOOKUP($B306,Seqs!$A:$B,2,0),O306,1),"")</f>
        <v>K</v>
      </c>
      <c r="O306" s="9">
        <v>82</v>
      </c>
      <c r="P306" s="9" t="str">
        <f>IFERROR(MID(VLOOKUP($B306,Seqs!$A:$B,2,0),Q306,1),"")</f>
        <v>Q</v>
      </c>
      <c r="Q306" s="9">
        <v>84</v>
      </c>
      <c r="R306" s="9" t="str">
        <f>IFERROR(MID(VLOOKUP($B306,Seqs!$A:$B,2,0),S306,1),"")</f>
        <v>G</v>
      </c>
      <c r="S306" s="9">
        <v>87</v>
      </c>
      <c r="T306" s="9" t="str">
        <f>IFERROR(MID(VLOOKUP($B306,Seqs!$A:$B,2,0),U306,1),"")</f>
        <v>G</v>
      </c>
      <c r="U306" s="9">
        <v>88</v>
      </c>
      <c r="V306" s="9" t="str">
        <f>IFERROR(MID(VLOOKUP($B306,Seqs!$A:$B,2,0),W306,1),"")</f>
        <v>H</v>
      </c>
      <c r="W306" s="9">
        <v>123</v>
      </c>
      <c r="X306" s="9" t="str">
        <f>IFERROR(MID(VLOOKUP($B306,Seqs!$A:$B,2,0),Y306,1),"")</f>
        <v>A</v>
      </c>
      <c r="Y306" s="9">
        <v>124</v>
      </c>
      <c r="Z306" s="9" t="str">
        <f>IFERROR(MID(VLOOKUP($B306,Seqs!$A:$B,2,0),AA306,1),"")</f>
        <v>V</v>
      </c>
      <c r="AA306" s="9">
        <v>131</v>
      </c>
      <c r="AB306" s="9" t="str">
        <f>IFERROR(MID(VLOOKUP($B306,Seqs!$A:$B,2,0),AC306,1),"")</f>
        <v>D</v>
      </c>
      <c r="AC306" s="9">
        <v>132</v>
      </c>
      <c r="AD306" s="9" t="str">
        <f>IFERROR(MID(VLOOKUP($B306,Seqs!$A:$B,2,0),AE306,1),"")</f>
        <v>G</v>
      </c>
      <c r="AE306" s="9">
        <v>157</v>
      </c>
      <c r="AF306" s="9" t="str">
        <f>IFERROR(MID(VLOOKUP($B306,Seqs!$A:$B,2,0),AG306,1),"")</f>
        <v>C</v>
      </c>
      <c r="AG306" s="9">
        <v>170</v>
      </c>
      <c r="AH306" s="9" t="str">
        <f>IFERROR(MID(VLOOKUP($B306,Seqs!$A:$B,2,0),AI306,1),"")</f>
        <v>I</v>
      </c>
      <c r="AI306" s="9">
        <v>172</v>
      </c>
      <c r="AJ306" s="9" t="str">
        <f>IFERROR(MID(VLOOKUP($B306,Seqs!$A:$B,2,0),AK306,1),"")</f>
        <v>V</v>
      </c>
      <c r="AK306" s="9">
        <v>178</v>
      </c>
      <c r="AL306" s="9" t="str">
        <f>IFERROR(MID(VLOOKUP($B306,Seqs!$A:$B,2,0),AM306,1),"")</f>
        <v>H</v>
      </c>
      <c r="AM306" s="9">
        <v>214</v>
      </c>
      <c r="AN306" s="9" t="str">
        <f>IFERROR(MID(VLOOKUP($B306,Seqs!$A:$B,2,0),AO306,1),"")</f>
        <v>A</v>
      </c>
      <c r="AO306" s="9">
        <v>266</v>
      </c>
      <c r="AP306" s="9" t="str">
        <f>IFERROR(MID(VLOOKUP($B306,Seqs!$A:$B,2,0),AQ306,1),"")</f>
        <v>Y</v>
      </c>
      <c r="AQ306" s="9">
        <v>298</v>
      </c>
      <c r="AR306" s="9" t="str">
        <f>IFERROR(MID(VLOOKUP($B306,Seqs!$A:$B,2,0),AS306,1),"")</f>
        <v>N</v>
      </c>
      <c r="AS306" s="9">
        <v>309</v>
      </c>
      <c r="AT306" s="9" t="str">
        <f>IFERROR(MID(VLOOKUP($B306,Seqs!$A:$B,2,0),AU306,1),"")</f>
        <v>L</v>
      </c>
      <c r="AU306" s="9">
        <v>332</v>
      </c>
      <c r="AV306" s="9" t="str">
        <f>IFERROR(MID(VLOOKUP($B306,Seqs!$A:$B,2,0),AW306,1),"")</f>
        <v>R</v>
      </c>
      <c r="AW306" s="9">
        <v>333</v>
      </c>
      <c r="AX306" s="9" t="str">
        <f>IFERROR(MID(VLOOKUP($B306,Seqs!$A:$B,2,0),AY306,1),"")</f>
        <v>I</v>
      </c>
      <c r="AY306" s="9">
        <v>344</v>
      </c>
      <c r="AZ306" s="110" t="str">
        <f>VLOOKUP(B306,Classification!A:D,2,0)</f>
        <v>A</v>
      </c>
      <c r="BA306" s="98" t="str">
        <f>VLOOKUP(B306,Classification!A:D,4,0)</f>
        <v>Prostanoid</v>
      </c>
      <c r="BB306" s="36" t="b">
        <f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109">
        <f>_xlfn.AGGREGATE(9,6,CH306:CS306)-_xlfn.AGGREGATE(9,6,BV306:CG306)+12</f>
        <v>242</v>
      </c>
      <c r="BD306" s="40" t="s">
        <v>23</v>
      </c>
      <c r="BE306" s="9" t="s">
        <v>1374</v>
      </c>
      <c r="BF306" s="120">
        <v>4.2</v>
      </c>
      <c r="BG306" s="51" t="s">
        <v>1</v>
      </c>
      <c r="BH306" s="51" t="s">
        <v>1</v>
      </c>
      <c r="BI306" s="12"/>
      <c r="BJ306" s="111" t="s">
        <v>1287</v>
      </c>
      <c r="BK306" s="112" t="s">
        <v>1287</v>
      </c>
      <c r="BL306" s="112" t="s">
        <v>1287</v>
      </c>
      <c r="BM306" s="112" t="s">
        <v>1287</v>
      </c>
      <c r="BN306" s="112" t="s">
        <v>1287</v>
      </c>
      <c r="BO306" s="112" t="s">
        <v>1287</v>
      </c>
      <c r="BP306" s="112" t="s">
        <v>1287</v>
      </c>
      <c r="BQ306" s="112" t="s">
        <v>1287</v>
      </c>
      <c r="BR306" s="112" t="s">
        <v>1287</v>
      </c>
      <c r="BS306" s="112" t="s">
        <v>1287</v>
      </c>
      <c r="BT306" s="112" t="s">
        <v>1287</v>
      </c>
      <c r="BU306" s="112" t="s">
        <v>1287</v>
      </c>
      <c r="BV306" s="111">
        <f>E306</f>
        <v>18</v>
      </c>
      <c r="BW306" s="113" t="str">
        <f>I306</f>
        <v>-</v>
      </c>
      <c r="BX306" s="114">
        <f>M306</f>
        <v>51</v>
      </c>
      <c r="BY306" s="113">
        <f>Q306</f>
        <v>84</v>
      </c>
      <c r="BZ306" s="114">
        <f>U306</f>
        <v>88</v>
      </c>
      <c r="CA306" s="113">
        <f>Y306</f>
        <v>124</v>
      </c>
      <c r="CB306" s="114">
        <f>AC306</f>
        <v>132</v>
      </c>
      <c r="CC306" s="113">
        <f>AG306</f>
        <v>170</v>
      </c>
      <c r="CD306" s="114">
        <f>AK306</f>
        <v>178</v>
      </c>
      <c r="CE306" s="113">
        <f>AO306</f>
        <v>266</v>
      </c>
      <c r="CF306" s="114">
        <f>AS306</f>
        <v>309</v>
      </c>
      <c r="CG306" s="113">
        <f>AW306</f>
        <v>333</v>
      </c>
      <c r="CH306" s="111">
        <f>G306</f>
        <v>43</v>
      </c>
      <c r="CI306" s="113" t="str">
        <f>K306</f>
        <v>-</v>
      </c>
      <c r="CJ306" s="114">
        <f>O306</f>
        <v>82</v>
      </c>
      <c r="CK306" s="114">
        <f>S306</f>
        <v>87</v>
      </c>
      <c r="CL306" s="114">
        <f>W306</f>
        <v>123</v>
      </c>
      <c r="CM306" s="114">
        <f>AA306</f>
        <v>131</v>
      </c>
      <c r="CN306" s="114">
        <f>AE306</f>
        <v>157</v>
      </c>
      <c r="CO306" s="114">
        <f>AI306</f>
        <v>172</v>
      </c>
      <c r="CP306" s="114">
        <f>AM306</f>
        <v>214</v>
      </c>
      <c r="CQ306" s="114">
        <f>AQ306</f>
        <v>298</v>
      </c>
      <c r="CR306" s="114">
        <f>AU306</f>
        <v>332</v>
      </c>
      <c r="CS306" s="114">
        <f>AY306</f>
        <v>344</v>
      </c>
      <c r="CT306" s="109" t="e">
        <f>M306-K306</f>
        <v>#VALUE!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>CONCATENATE(B307,"_",C307)</f>
        <v>ptafr_human__wt</v>
      </c>
      <c r="B307" s="3" t="s">
        <v>371</v>
      </c>
      <c r="C307" s="3" t="s">
        <v>100</v>
      </c>
      <c r="D307" s="3" t="str">
        <f>IFERROR(MID(VLOOKUP($B307,Seqs!$A:$B,2,0),E307,1),"")</f>
        <v>D</v>
      </c>
      <c r="E307" s="3">
        <v>10</v>
      </c>
      <c r="F307" s="3" t="str">
        <f>IFERROR(MID(VLOOKUP($B307,Seqs!$A:$B,2,0),G307,1),"")</f>
        <v>Y</v>
      </c>
      <c r="G307" s="3">
        <v>44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F</v>
      </c>
      <c r="M307" s="3">
        <v>49</v>
      </c>
      <c r="N307" s="3" t="str">
        <f>IFERROR(MID(VLOOKUP($B307,Seqs!$A:$B,2,0),O307,1),"")</f>
        <v>Q</v>
      </c>
      <c r="O307" s="3">
        <v>80</v>
      </c>
      <c r="P307" s="3" t="str">
        <f>IFERROR(MID(VLOOKUP($B307,Seqs!$A:$B,2,0),Q307,1),"")</f>
        <v>N</v>
      </c>
      <c r="Q307" s="3">
        <v>82</v>
      </c>
      <c r="R307" s="3" t="str">
        <f>IFERROR(MID(VLOOKUP($B307,Seqs!$A:$B,2,0),S307,1),"")</f>
        <v>L</v>
      </c>
      <c r="S307" s="3">
        <v>85</v>
      </c>
      <c r="T307" s="3" t="str">
        <f>IFERROR(MID(VLOOKUP($B307,Seqs!$A:$B,2,0),U307,1),"")</f>
        <v>P</v>
      </c>
      <c r="U307" s="3">
        <v>86</v>
      </c>
      <c r="V307" s="3" t="str">
        <f>IFERROR(MID(VLOOKUP($B307,Seqs!$A:$B,2,0),W307,1),"")</f>
        <v>R</v>
      </c>
      <c r="W307" s="3">
        <v>121</v>
      </c>
      <c r="X307" s="3" t="str">
        <f>IFERROR(MID(VLOOKUP($B307,Seqs!$A:$B,2,0),Y307,1),"")</f>
        <v>P</v>
      </c>
      <c r="Y307" s="3">
        <v>122</v>
      </c>
      <c r="Z307" s="3" t="str">
        <f>IFERROR(MID(VLOOKUP($B307,Seqs!$A:$B,2,0),AA307,1),"")</f>
        <v>N</v>
      </c>
      <c r="AA307" s="3">
        <v>129</v>
      </c>
      <c r="AB307" s="3" t="str">
        <f>IFERROR(MID(VLOOKUP($B307,Seqs!$A:$B,2,0),AC307,1),"")</f>
        <v>T</v>
      </c>
      <c r="AC307" s="3">
        <v>130</v>
      </c>
      <c r="AD307" s="3" t="str">
        <f>IFERROR(MID(VLOOKUP($B307,Seqs!$A:$B,2,0),AE307,1),"")</f>
        <v>L</v>
      </c>
      <c r="AE307" s="3">
        <v>155</v>
      </c>
      <c r="AF307" s="3" t="str">
        <f>IFERROR(MID(VLOOKUP($B307,Seqs!$A:$B,2,0),AG307,1),"")</f>
        <v>C</v>
      </c>
      <c r="AG307" s="3">
        <v>173</v>
      </c>
      <c r="AH307" s="3" t="str">
        <f>IFERROR(MID(VLOOKUP($B307,Seqs!$A:$B,2,0),AI307,1),"")</f>
        <v>E</v>
      </c>
      <c r="AI307" s="3">
        <v>175</v>
      </c>
      <c r="AJ307" s="3" t="str">
        <f>IFERROR(MID(VLOOKUP($B307,Seqs!$A:$B,2,0),AK307,1),"")</f>
        <v>S</v>
      </c>
      <c r="AK307" s="3">
        <v>181</v>
      </c>
      <c r="AL307" s="3" t="str">
        <f>IFERROR(MID(VLOOKUP($B307,Seqs!$A:$B,2,0),AM307,1),"")</f>
        <v>Q</v>
      </c>
      <c r="AM307" s="3">
        <v>216</v>
      </c>
      <c r="AN307" s="3" t="str">
        <f>IFERROR(MID(VLOOKUP($B307,Seqs!$A:$B,2,0),AO307,1),"")</f>
        <v>Q</v>
      </c>
      <c r="AO307" s="3">
        <v>221</v>
      </c>
      <c r="AP307" s="3" t="str">
        <f>IFERROR(MID(VLOOKUP($B307,Seqs!$A:$B,2,0),AQ307,1),"")</f>
        <v>G</v>
      </c>
      <c r="AQ307" s="3">
        <v>261</v>
      </c>
      <c r="AR307" s="3" t="str">
        <f>IFERROR(MID(VLOOKUP($B307,Seqs!$A:$B,2,0),AS307,1),"")</f>
        <v>D</v>
      </c>
      <c r="AS307" s="3">
        <v>264</v>
      </c>
      <c r="AT307" s="3" t="str">
        <f>IFERROR(MID(VLOOKUP($B307,Seqs!$A:$B,2,0),AU307,1),"")</f>
        <v>K</v>
      </c>
      <c r="AU307" s="3">
        <v>299</v>
      </c>
      <c r="AV307" s="3" t="str">
        <f>IFERROR(MID(VLOOKUP($B307,Seqs!$A:$B,2,0),AW307,1),"")</f>
        <v>F</v>
      </c>
      <c r="AW307" s="3">
        <v>300</v>
      </c>
      <c r="AX307" s="3" t="str">
        <f>IFERROR(MID(VLOOKUP($B307,Seqs!$A:$B,2,0),AY307,1),"")</f>
        <v>S</v>
      </c>
      <c r="AY307" s="3">
        <v>313</v>
      </c>
      <c r="AZ307" s="77" t="str">
        <f>VLOOKUP(B307,Classification!A:D,2,0)</f>
        <v>A</v>
      </c>
      <c r="BA307" s="94" t="str">
        <f>VLOOKUP(B307,Classification!A:D,4,0)</f>
        <v>Platelet-activatingfactor</v>
      </c>
      <c r="BB307" s="27" t="b">
        <f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23">
        <f>_xlfn.AGGREGATE(9,6,CH307:CS307)-_xlfn.AGGREGATE(9,6,BV307:CG307)+12</f>
        <v>272</v>
      </c>
      <c r="BD307" s="2" t="s">
        <v>23</v>
      </c>
      <c r="BE307" s="3" t="s">
        <v>23</v>
      </c>
      <c r="BF307" s="119" t="s">
        <v>23</v>
      </c>
      <c r="BG307" s="49" t="s">
        <v>1377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>E307</f>
        <v>10</v>
      </c>
      <c r="BW307" s="71" t="str">
        <f>I307</f>
        <v>-</v>
      </c>
      <c r="BX307" s="72">
        <f>M307</f>
        <v>49</v>
      </c>
      <c r="BY307" s="71">
        <f>Q307</f>
        <v>82</v>
      </c>
      <c r="BZ307" s="72">
        <f>U307</f>
        <v>86</v>
      </c>
      <c r="CA307" s="71">
        <f>Y307</f>
        <v>122</v>
      </c>
      <c r="CB307" s="72">
        <f>AC307</f>
        <v>130</v>
      </c>
      <c r="CC307" s="71">
        <f>AG307</f>
        <v>173</v>
      </c>
      <c r="CD307" s="72">
        <f>AK307</f>
        <v>181</v>
      </c>
      <c r="CE307" s="71">
        <f>AO307</f>
        <v>221</v>
      </c>
      <c r="CF307" s="72">
        <f>AS307</f>
        <v>264</v>
      </c>
      <c r="CG307" s="71">
        <f>AW307</f>
        <v>300</v>
      </c>
      <c r="CH307" s="70">
        <f>G307</f>
        <v>44</v>
      </c>
      <c r="CI307" s="71" t="str">
        <f>K307</f>
        <v>-</v>
      </c>
      <c r="CJ307" s="72">
        <f>O307</f>
        <v>80</v>
      </c>
      <c r="CK307" s="72">
        <f>S307</f>
        <v>85</v>
      </c>
      <c r="CL307" s="72">
        <f>W307</f>
        <v>121</v>
      </c>
      <c r="CM307" s="72">
        <f>AA307</f>
        <v>129</v>
      </c>
      <c r="CN307" s="72">
        <f>AE307</f>
        <v>155</v>
      </c>
      <c r="CO307" s="72">
        <f>AI307</f>
        <v>175</v>
      </c>
      <c r="CP307" s="72">
        <f>AM307</f>
        <v>216</v>
      </c>
      <c r="CQ307" s="72">
        <f>AQ307</f>
        <v>261</v>
      </c>
      <c r="CR307" s="72">
        <f>AU307</f>
        <v>299</v>
      </c>
      <c r="CS307" s="72">
        <f>AY307</f>
        <v>313</v>
      </c>
      <c r="CT307" s="23" t="e">
        <f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>CONCATENATE(B308,"_",C308)</f>
        <v>ptafr_human_5ZKP</v>
      </c>
      <c r="B308" s="3" t="s">
        <v>371</v>
      </c>
      <c r="C308" s="3" t="s">
        <v>1505</v>
      </c>
      <c r="D308" s="3" t="str">
        <f>IFERROR(MID(VLOOKUP($B308,Seqs!$A:$B,2,0),E308,1),"")</f>
        <v>S</v>
      </c>
      <c r="E308" s="3">
        <v>11</v>
      </c>
      <c r="F308" s="3" t="str">
        <f>IFERROR(MID(VLOOKUP($B308,Seqs!$A:$B,2,0),G308,1),"")</f>
        <v>Y</v>
      </c>
      <c r="G308" s="3">
        <v>44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F</v>
      </c>
      <c r="M308" s="3">
        <v>49</v>
      </c>
      <c r="N308" s="3" t="str">
        <f>IFERROR(MID(VLOOKUP($B308,Seqs!$A:$B,2,0),O308,1),"")</f>
        <v>Q</v>
      </c>
      <c r="O308" s="3">
        <v>80</v>
      </c>
      <c r="P308" s="3" t="str">
        <f>IFERROR(MID(VLOOKUP($B308,Seqs!$A:$B,2,0),Q308,1),"")</f>
        <v>N</v>
      </c>
      <c r="Q308" s="3">
        <v>82</v>
      </c>
      <c r="R308" s="3" t="str">
        <f>IFERROR(MID(VLOOKUP($B308,Seqs!$A:$B,2,0),S308,1),"")</f>
        <v>L</v>
      </c>
      <c r="S308" s="3">
        <v>85</v>
      </c>
      <c r="T308" s="3" t="str">
        <f>IFERROR(MID(VLOOKUP($B308,Seqs!$A:$B,2,0),U308,1),"")</f>
        <v>P</v>
      </c>
      <c r="U308" s="3">
        <v>86</v>
      </c>
      <c r="V308" s="3" t="str">
        <f>IFERROR(MID(VLOOKUP($B308,Seqs!$A:$B,2,0),W308,1),"")</f>
        <v>T</v>
      </c>
      <c r="W308" s="3">
        <v>120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I</v>
      </c>
      <c r="AC308" s="3">
        <v>141</v>
      </c>
      <c r="AD308" s="3" t="str">
        <f>IFERROR(MID(VLOOKUP($B308,Seqs!$A:$B,2,0),AE308,1),"")</f>
        <v>L</v>
      </c>
      <c r="AE308" s="3">
        <v>155</v>
      </c>
      <c r="AF308" s="3" t="str">
        <f>IFERROR(MID(VLOOKUP($B308,Seqs!$A:$B,2,0),AG308,1),"")</f>
        <v>C</v>
      </c>
      <c r="AG308" s="3">
        <v>173</v>
      </c>
      <c r="AH308" s="3" t="str">
        <f>IFERROR(MID(VLOOKUP($B308,Seqs!$A:$B,2,0),AI308,1),"")</f>
        <v>E</v>
      </c>
      <c r="AI308" s="3">
        <v>175</v>
      </c>
      <c r="AJ308" s="3" t="str">
        <f>IFERROR(MID(VLOOKUP($B308,Seqs!$A:$B,2,0),AK308,1),"")</f>
        <v>P</v>
      </c>
      <c r="AK308" s="3">
        <v>183</v>
      </c>
      <c r="AL308" s="3" t="str">
        <f>IFERROR(MID(VLOOKUP($B308,Seqs!$A:$B,2,0),AM308,1),"")</f>
        <v>L</v>
      </c>
      <c r="AM308" s="3">
        <v>214</v>
      </c>
      <c r="AN308" s="3" t="str">
        <f>IFERROR(MID(VLOOKUP($B308,Seqs!$A:$B,2,0),AO308,1),"")</f>
        <v>A</v>
      </c>
      <c r="AO308" s="3">
        <v>224</v>
      </c>
      <c r="AP308" s="3" t="str">
        <f>IFERROR(MID(VLOOKUP($B308,Seqs!$A:$B,2,0),AQ308,1),"")</f>
        <v>G</v>
      </c>
      <c r="AQ308" s="3">
        <v>261</v>
      </c>
      <c r="AR308" s="3" t="str">
        <f>IFERROR(MID(VLOOKUP($B308,Seqs!$A:$B,2,0),AS308,1),"")</f>
        <v>D</v>
      </c>
      <c r="AS308" s="3">
        <v>264</v>
      </c>
      <c r="AT308" s="3" t="str">
        <f>IFERROR(MID(VLOOKUP($B308,Seqs!$A:$B,2,0),AU308,1),"")</f>
        <v>K</v>
      </c>
      <c r="AU308" s="3">
        <v>299</v>
      </c>
      <c r="AV308" s="3" t="str">
        <f>IFERROR(MID(VLOOKUP($B308,Seqs!$A:$B,2,0),AW308,1),"")</f>
        <v>F</v>
      </c>
      <c r="AW308" s="3">
        <v>300</v>
      </c>
      <c r="AX308" s="3" t="str">
        <f>IFERROR(MID(VLOOKUP($B308,Seqs!$A:$B,2,0),AY308,1),"")</f>
        <v>S</v>
      </c>
      <c r="AY308" s="3">
        <v>313</v>
      </c>
      <c r="AZ308" s="77" t="str">
        <f>VLOOKUP(B308,Classification!A:D,2,0)</f>
        <v>A</v>
      </c>
      <c r="BA308" s="94" t="str">
        <f>VLOOKUP(B308,Classification!A:D,4,0)</f>
        <v>Platelet-activatingfactor</v>
      </c>
      <c r="BB308" s="27" t="b">
        <f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>_xlfn.AGGREGATE(9,6,CH308:CS308)-_xlfn.AGGREGATE(9,6,BV308:CG308)+12</f>
        <v>245</v>
      </c>
      <c r="BD308" s="2" t="s">
        <v>1375</v>
      </c>
      <c r="BE308" s="3" t="s">
        <v>1291</v>
      </c>
      <c r="BF308" s="119">
        <v>2.81</v>
      </c>
      <c r="BG308" s="49" t="s">
        <v>1</v>
      </c>
      <c r="BH308" s="49" t="s">
        <v>1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>E308</f>
        <v>11</v>
      </c>
      <c r="BW308" s="71" t="str">
        <f>I308</f>
        <v>-</v>
      </c>
      <c r="BX308" s="72">
        <f>M308</f>
        <v>49</v>
      </c>
      <c r="BY308" s="71">
        <f>Q308</f>
        <v>82</v>
      </c>
      <c r="BZ308" s="72">
        <f>U308</f>
        <v>86</v>
      </c>
      <c r="CA308" s="71" t="str">
        <f>Y308</f>
        <v>-</v>
      </c>
      <c r="CB308" s="72">
        <f>AC308</f>
        <v>141</v>
      </c>
      <c r="CC308" s="71">
        <f>AG308</f>
        <v>173</v>
      </c>
      <c r="CD308" s="72">
        <f>AK308</f>
        <v>183</v>
      </c>
      <c r="CE308" s="71">
        <f>AO308</f>
        <v>224</v>
      </c>
      <c r="CF308" s="72">
        <f>AS308</f>
        <v>264</v>
      </c>
      <c r="CG308" s="71">
        <f>AW308</f>
        <v>300</v>
      </c>
      <c r="CH308" s="70">
        <f>G308</f>
        <v>44</v>
      </c>
      <c r="CI308" s="71" t="str">
        <f>K308</f>
        <v>-</v>
      </c>
      <c r="CJ308" s="72">
        <f>O308</f>
        <v>80</v>
      </c>
      <c r="CK308" s="72">
        <f>S308</f>
        <v>85</v>
      </c>
      <c r="CL308" s="72">
        <f>W308</f>
        <v>120</v>
      </c>
      <c r="CM308" s="72" t="str">
        <f>AA308</f>
        <v>-</v>
      </c>
      <c r="CN308" s="72">
        <f>AE308</f>
        <v>155</v>
      </c>
      <c r="CO308" s="72">
        <f>AI308</f>
        <v>175</v>
      </c>
      <c r="CP308" s="72">
        <f>AM308</f>
        <v>214</v>
      </c>
      <c r="CQ308" s="72">
        <f>AQ308</f>
        <v>261</v>
      </c>
      <c r="CR308" s="72">
        <f>AU308</f>
        <v>299</v>
      </c>
      <c r="CS308" s="72">
        <f>AY308</f>
        <v>313</v>
      </c>
      <c r="CT308" s="23" t="e">
        <f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>CONCATENATE(B309,"_",C309)</f>
        <v>ptafr_human_5ZKQ</v>
      </c>
      <c r="B309" s="3" t="s">
        <v>371</v>
      </c>
      <c r="C309" s="3" t="s">
        <v>1506</v>
      </c>
      <c r="D309" s="3" t="str">
        <f>IFERROR(MID(VLOOKUP($B309,Seqs!$A:$B,2,0),E309,1),"")</f>
        <v>D</v>
      </c>
      <c r="E309" s="3">
        <v>10</v>
      </c>
      <c r="F309" s="3" t="str">
        <f>IFERROR(MID(VLOOKUP($B309,Seqs!$A:$B,2,0),G309,1),"")</f>
        <v>L</v>
      </c>
      <c r="G309" s="3">
        <v>43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F</v>
      </c>
      <c r="M309" s="3">
        <v>49</v>
      </c>
      <c r="N309" s="3" t="str">
        <f>IFERROR(MID(VLOOKUP($B309,Seqs!$A:$B,2,0),O309,1),"")</f>
        <v>Q</v>
      </c>
      <c r="O309" s="3">
        <v>80</v>
      </c>
      <c r="P309" s="3" t="str">
        <f>IFERROR(MID(VLOOKUP($B309,Seqs!$A:$B,2,0),Q309,1),"")</f>
        <v>N</v>
      </c>
      <c r="Q309" s="3">
        <v>82</v>
      </c>
      <c r="R309" s="3" t="str">
        <f>IFERROR(MID(VLOOKUP($B309,Seqs!$A:$B,2,0),S309,1),"")</f>
        <v>L</v>
      </c>
      <c r="S309" s="3">
        <v>85</v>
      </c>
      <c r="T309" s="3" t="str">
        <f>IFERROR(MID(VLOOKUP($B309,Seqs!$A:$B,2,0),U309,1),"")</f>
        <v>P</v>
      </c>
      <c r="U309" s="3">
        <v>86</v>
      </c>
      <c r="V309" s="3" t="str">
        <f>IFERROR(MID(VLOOKUP($B309,Seqs!$A:$B,2,0),W309,1),"")</f>
        <v>R</v>
      </c>
      <c r="W309" s="3">
        <v>121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T</v>
      </c>
      <c r="AC309" s="3">
        <v>130</v>
      </c>
      <c r="AD309" s="3" t="str">
        <f>IFERROR(MID(VLOOKUP($B309,Seqs!$A:$B,2,0),AE309,1),"")</f>
        <v>I</v>
      </c>
      <c r="AE309" s="3">
        <v>154</v>
      </c>
      <c r="AF309" s="3" t="str">
        <f>IFERROR(MID(VLOOKUP($B309,Seqs!$A:$B,2,0),AG309,1),"")</f>
        <v>C</v>
      </c>
      <c r="AG309" s="3">
        <v>173</v>
      </c>
      <c r="AH309" s="3" t="str">
        <f>IFERROR(MID(VLOOKUP($B309,Seqs!$A:$B,2,0),AI309,1),"")</f>
        <v>E</v>
      </c>
      <c r="AI309" s="3">
        <v>175</v>
      </c>
      <c r="AJ309" s="3" t="str">
        <f>IFERROR(MID(VLOOKUP($B309,Seqs!$A:$B,2,0),AK309,1),"")</f>
        <v>S</v>
      </c>
      <c r="AK309" s="3">
        <v>181</v>
      </c>
      <c r="AL309" s="3" t="str">
        <f>IFERROR(MID(VLOOKUP($B309,Seqs!$A:$B,2,0),AM309,1),"")</f>
        <v>M</v>
      </c>
      <c r="AM309" s="3">
        <v>215</v>
      </c>
      <c r="AN309" s="3" t="str">
        <f>IFERROR(MID(VLOOKUP($B309,Seqs!$A:$B,2,0),AO309,1),"")</f>
        <v>K</v>
      </c>
      <c r="AO309" s="3">
        <v>227</v>
      </c>
      <c r="AP309" s="3" t="str">
        <f>IFERROR(MID(VLOOKUP($B309,Seqs!$A:$B,2,0),AQ309,1),"")</f>
        <v>G</v>
      </c>
      <c r="AQ309" s="3">
        <v>261</v>
      </c>
      <c r="AR309" s="3" t="str">
        <f>IFERROR(MID(VLOOKUP($B309,Seqs!$A:$B,2,0),AS309,1),"")</f>
        <v>D</v>
      </c>
      <c r="AS309" s="3">
        <v>264</v>
      </c>
      <c r="AT309" s="3" t="str">
        <f>IFERROR(MID(VLOOKUP($B309,Seqs!$A:$B,2,0),AU309,1),"")</f>
        <v>T</v>
      </c>
      <c r="AU309" s="3">
        <v>297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Platelet-activatingfactor</v>
      </c>
      <c r="BB309" s="27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>_xlfn.AGGREGATE(9,6,CH309:CS309)-_xlfn.AGGREGATE(9,6,BV309:CG309)+12</f>
        <v>241</v>
      </c>
      <c r="BD309" s="2" t="s">
        <v>1429</v>
      </c>
      <c r="BE309" s="3" t="s">
        <v>1428</v>
      </c>
      <c r="BF309" s="119">
        <v>2.9</v>
      </c>
      <c r="BG309" s="49" t="s">
        <v>1281</v>
      </c>
      <c r="BH309" s="49" t="s">
        <v>1281</v>
      </c>
      <c r="BI309" s="1"/>
      <c r="BJ309" s="70" t="s">
        <v>1287</v>
      </c>
      <c r="BK309" s="57" t="s">
        <v>1287</v>
      </c>
      <c r="BL309" s="57" t="s">
        <v>1287</v>
      </c>
      <c r="BM309" s="57" t="s">
        <v>1287</v>
      </c>
      <c r="BN309" s="57" t="s">
        <v>1287</v>
      </c>
      <c r="BO309" s="57" t="s">
        <v>1287</v>
      </c>
      <c r="BP309" s="57" t="s">
        <v>1287</v>
      </c>
      <c r="BQ309" s="57" t="s">
        <v>1287</v>
      </c>
      <c r="BR309" s="57" t="s">
        <v>1287</v>
      </c>
      <c r="BS309" s="57" t="s">
        <v>1287</v>
      </c>
      <c r="BT309" s="57" t="s">
        <v>1287</v>
      </c>
      <c r="BU309" s="57" t="s">
        <v>1287</v>
      </c>
      <c r="BV309" s="70">
        <f>E309</f>
        <v>10</v>
      </c>
      <c r="BW309" s="71" t="str">
        <f>I309</f>
        <v>-</v>
      </c>
      <c r="BX309" s="72">
        <f>M309</f>
        <v>49</v>
      </c>
      <c r="BY309" s="71">
        <f>Q309</f>
        <v>82</v>
      </c>
      <c r="BZ309" s="72">
        <f>U309</f>
        <v>86</v>
      </c>
      <c r="CA309" s="71" t="str">
        <f>Y309</f>
        <v>-</v>
      </c>
      <c r="CB309" s="72">
        <f>AC309</f>
        <v>130</v>
      </c>
      <c r="CC309" s="71">
        <f>AG309</f>
        <v>173</v>
      </c>
      <c r="CD309" s="72">
        <f>AK309</f>
        <v>181</v>
      </c>
      <c r="CE309" s="71">
        <f>AO309</f>
        <v>227</v>
      </c>
      <c r="CF309" s="72">
        <f>AS309</f>
        <v>264</v>
      </c>
      <c r="CG309" s="71" t="str">
        <f>AW309</f>
        <v>-</v>
      </c>
      <c r="CH309" s="70">
        <f>G309</f>
        <v>43</v>
      </c>
      <c r="CI309" s="71" t="str">
        <f>K309</f>
        <v>-</v>
      </c>
      <c r="CJ309" s="72">
        <f>O309</f>
        <v>80</v>
      </c>
      <c r="CK309" s="72">
        <f>S309</f>
        <v>85</v>
      </c>
      <c r="CL309" s="72">
        <f>W309</f>
        <v>121</v>
      </c>
      <c r="CM309" s="72" t="str">
        <f>AA309</f>
        <v>-</v>
      </c>
      <c r="CN309" s="72">
        <f>AE309</f>
        <v>154</v>
      </c>
      <c r="CO309" s="72">
        <f>AI309</f>
        <v>175</v>
      </c>
      <c r="CP309" s="72">
        <f>AM309</f>
        <v>215</v>
      </c>
      <c r="CQ309" s="72">
        <f>AQ309</f>
        <v>261</v>
      </c>
      <c r="CR309" s="72">
        <f>AU309</f>
        <v>297</v>
      </c>
      <c r="CS309" s="72" t="str">
        <f>AY309</f>
        <v>-</v>
      </c>
      <c r="CT309" s="23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733"/>
        <v>q08bg4_danre__wt</v>
      </c>
      <c r="B310" s="3" t="s">
        <v>1440</v>
      </c>
      <c r="C310" s="3" t="s">
        <v>100</v>
      </c>
      <c r="D310" s="3" t="str">
        <f>IFERROR(MID(VLOOKUP($B310,Seqs!$A:$B,2,0),E310,1),"")</f>
        <v>K</v>
      </c>
      <c r="E310" s="3">
        <v>26</v>
      </c>
      <c r="F310" s="3" t="str">
        <f>IFERROR(MID(VLOOKUP($B310,Seqs!$A:$B,2,0),G310,1),"")</f>
        <v>S</v>
      </c>
      <c r="G310" s="3">
        <v>55</v>
      </c>
      <c r="H310" s="3" t="str">
        <f>IFERROR(MID(VLOOKUP($B310,Seqs!$A:$B,2,0),I310,1),"")</f>
        <v>L</v>
      </c>
      <c r="I310" s="23">
        <v>56</v>
      </c>
      <c r="J310" s="3" t="str">
        <f>IFERROR(MID(VLOOKUP($B310,Seqs!$A:$B,2,0),K310,1),"")</f>
        <v>R</v>
      </c>
      <c r="K310" s="23">
        <v>59</v>
      </c>
      <c r="L310" s="3" t="str">
        <f>IFERROR(MID(VLOOKUP($B310,Seqs!$A:$B,2,0),M310,1),"")</f>
        <v>N</v>
      </c>
      <c r="M310" s="3">
        <v>60</v>
      </c>
      <c r="N310" s="3" t="str">
        <f>IFERROR(MID(VLOOKUP($B310,Seqs!$A:$B,2,0),O310,1),"")</f>
        <v>Q</v>
      </c>
      <c r="O310" s="3">
        <v>89</v>
      </c>
      <c r="P310" s="3" t="str">
        <f>IFERROR(MID(VLOOKUP($B310,Seqs!$A:$B,2,0),Q310,1),"")</f>
        <v>N</v>
      </c>
      <c r="Q310" s="3">
        <v>91</v>
      </c>
      <c r="R310" s="3" t="str">
        <f>IFERROR(MID(VLOOKUP($B310,Seqs!$A:$B,2,0),S310,1),"")</f>
        <v>F</v>
      </c>
      <c r="S310" s="3">
        <v>94</v>
      </c>
      <c r="T310" s="3" t="str">
        <f>IFERROR(MID(VLOOKUP($B310,Seqs!$A:$B,2,0),U310,1),"")</f>
        <v>G</v>
      </c>
      <c r="U310" s="3">
        <v>95</v>
      </c>
      <c r="V310" s="3" t="str">
        <f>IFERROR(MID(VLOOKUP($B310,Seqs!$A:$B,2,0),W310,1),"")</f>
        <v>Y</v>
      </c>
      <c r="W310" s="3">
        <v>130</v>
      </c>
      <c r="X310" s="3" t="str">
        <f>IFERROR(MID(VLOOKUP($B310,Seqs!$A:$B,2,0),Y310,1),"")</f>
        <v>P</v>
      </c>
      <c r="Y310" s="3">
        <v>131</v>
      </c>
      <c r="Z310" s="3" t="str">
        <f>IFERROR(MID(VLOOKUP($B310,Seqs!$A:$B,2,0),AA310,1),"")</f>
        <v>R</v>
      </c>
      <c r="AA310" s="3">
        <v>138</v>
      </c>
      <c r="AB310" s="3" t="str">
        <f>IFERROR(MID(VLOOKUP($B310,Seqs!$A:$B,2,0),AC310,1),"")</f>
        <v>T</v>
      </c>
      <c r="AC310" s="3">
        <v>139</v>
      </c>
      <c r="AD310" s="3" t="str">
        <f>IFERROR(MID(VLOOKUP($B310,Seqs!$A:$B,2,0),AE310,1),"")</f>
        <v>N</v>
      </c>
      <c r="AE310" s="3">
        <v>166</v>
      </c>
      <c r="AF310" s="3" t="str">
        <f>IFERROR(MID(VLOOKUP($B310,Seqs!$A:$B,2,0),AG310,1),"")</f>
        <v>C</v>
      </c>
      <c r="AG310" s="3">
        <v>178</v>
      </c>
      <c r="AH310" s="3" t="str">
        <f>IFERROR(MID(VLOOKUP($B310,Seqs!$A:$B,2,0),AI310,1),"")</f>
        <v>E</v>
      </c>
      <c r="AI310" s="3">
        <v>180</v>
      </c>
      <c r="AJ310" s="3" t="str">
        <f>IFERROR(MID(VLOOKUP($B310,Seqs!$A:$B,2,0),AK310,1),"")</f>
        <v>W</v>
      </c>
      <c r="AK310" s="3">
        <v>187</v>
      </c>
      <c r="AL310" s="3" t="str">
        <f>IFERROR(MID(VLOOKUP($B310,Seqs!$A:$B,2,0),AM310,1),"")</f>
        <v>P</v>
      </c>
      <c r="AM310" s="3">
        <v>224</v>
      </c>
      <c r="AN310" s="3" t="str">
        <f>IFERROR(MID(VLOOKUP($B310,Seqs!$A:$B,2,0),AO310,1),"")</f>
        <v>R</v>
      </c>
      <c r="AO310" s="3">
        <v>229</v>
      </c>
      <c r="AP310" s="3" t="str">
        <f>IFERROR(MID(VLOOKUP($B310,Seqs!$A:$B,2,0),AQ310,1),"")</f>
        <v>N</v>
      </c>
      <c r="AQ310" s="3">
        <v>269</v>
      </c>
      <c r="AR310" s="3" t="str">
        <f>IFERROR(MID(VLOOKUP($B310,Seqs!$A:$B,2,0),AS310,1),"")</f>
        <v>G</v>
      </c>
      <c r="AS310" s="3">
        <v>273</v>
      </c>
      <c r="AT310" s="3" t="str">
        <f>IFERROR(MID(VLOOKUP($B310,Seqs!$A:$B,2,0),AU310,1),"")</f>
        <v>T</v>
      </c>
      <c r="AU310" s="3">
        <v>305</v>
      </c>
      <c r="AV310" s="3" t="str">
        <f>IFERROR(MID(VLOOKUP($B310,Seqs!$A:$B,2,0),AW310,1),"")</f>
        <v>S</v>
      </c>
      <c r="AW310" s="3">
        <v>306</v>
      </c>
      <c r="AX310" s="3" t="str">
        <f>IFERROR(MID(VLOOKUP($B310,Seqs!$A:$B,2,0),AY310,1),"")</f>
        <v>G</v>
      </c>
      <c r="AY310" s="3">
        <v>320</v>
      </c>
      <c r="AZ310" s="77" t="str">
        <f>VLOOKUP(B310,Classification!A:D,2,0)</f>
        <v>A</v>
      </c>
      <c r="BA310" s="94" t="str">
        <f>VLOOKUP(B310,Classification!A:D,4,0)</f>
        <v>Lysophospholipid(LPA)</v>
      </c>
      <c r="BB310" s="27" t="b">
        <f t="shared" si="1734"/>
        <v>1</v>
      </c>
      <c r="BC310" s="23">
        <f t="shared" si="1735"/>
        <v>270</v>
      </c>
      <c r="BD310" s="2" t="s">
        <v>23</v>
      </c>
      <c r="BE310" s="3" t="s">
        <v>23</v>
      </c>
      <c r="BF310" s="119" t="s">
        <v>23</v>
      </c>
      <c r="BG310" s="49" t="s">
        <v>1</v>
      </c>
      <c r="BH310" s="49" t="s">
        <v>1377</v>
      </c>
      <c r="BI310" s="1"/>
      <c r="BJ310" s="70" t="s">
        <v>1287</v>
      </c>
      <c r="BK310" s="57" t="s">
        <v>1287</v>
      </c>
      <c r="BL310" s="57" t="s">
        <v>1287</v>
      </c>
      <c r="BM310" s="57" t="s">
        <v>1287</v>
      </c>
      <c r="BN310" s="57" t="s">
        <v>1287</v>
      </c>
      <c r="BO310" s="57" t="s">
        <v>1287</v>
      </c>
      <c r="BP310" s="57" t="s">
        <v>1287</v>
      </c>
      <c r="BQ310" s="57" t="s">
        <v>1287</v>
      </c>
      <c r="BR310" s="57" t="s">
        <v>1287</v>
      </c>
      <c r="BS310" s="57" t="s">
        <v>1287</v>
      </c>
      <c r="BT310" s="57" t="s">
        <v>1287</v>
      </c>
      <c r="BU310" s="57" t="s">
        <v>1287</v>
      </c>
      <c r="BV310" s="70">
        <f t="shared" si="1736"/>
        <v>26</v>
      </c>
      <c r="BW310" s="71">
        <f t="shared" si="1737"/>
        <v>56</v>
      </c>
      <c r="BX310" s="72">
        <f t="shared" si="1738"/>
        <v>60</v>
      </c>
      <c r="BY310" s="71">
        <f t="shared" si="1739"/>
        <v>91</v>
      </c>
      <c r="BZ310" s="72">
        <f t="shared" si="1740"/>
        <v>95</v>
      </c>
      <c r="CA310" s="71">
        <f t="shared" si="1741"/>
        <v>131</v>
      </c>
      <c r="CB310" s="72">
        <f t="shared" si="1742"/>
        <v>139</v>
      </c>
      <c r="CC310" s="71">
        <f t="shared" si="1743"/>
        <v>178</v>
      </c>
      <c r="CD310" s="72">
        <f t="shared" si="1744"/>
        <v>187</v>
      </c>
      <c r="CE310" s="71">
        <f t="shared" si="1745"/>
        <v>229</v>
      </c>
      <c r="CF310" s="72">
        <f t="shared" si="1746"/>
        <v>273</v>
      </c>
      <c r="CG310" s="71">
        <f t="shared" si="1747"/>
        <v>306</v>
      </c>
      <c r="CH310" s="70">
        <f t="shared" si="1748"/>
        <v>55</v>
      </c>
      <c r="CI310" s="71">
        <f t="shared" si="1749"/>
        <v>59</v>
      </c>
      <c r="CJ310" s="72">
        <f t="shared" si="1750"/>
        <v>89</v>
      </c>
      <c r="CK310" s="72">
        <f t="shared" si="1751"/>
        <v>94</v>
      </c>
      <c r="CL310" s="72">
        <f t="shared" si="1752"/>
        <v>130</v>
      </c>
      <c r="CM310" s="72">
        <f t="shared" si="1753"/>
        <v>138</v>
      </c>
      <c r="CN310" s="72">
        <f t="shared" si="1754"/>
        <v>166</v>
      </c>
      <c r="CO310" s="72">
        <f t="shared" si="1755"/>
        <v>180</v>
      </c>
      <c r="CP310" s="72">
        <f t="shared" si="1756"/>
        <v>224</v>
      </c>
      <c r="CQ310" s="72">
        <f t="shared" si="1757"/>
        <v>269</v>
      </c>
      <c r="CR310" s="72">
        <f t="shared" si="1758"/>
        <v>305</v>
      </c>
      <c r="CS310" s="72">
        <f t="shared" si="1759"/>
        <v>320</v>
      </c>
      <c r="CT310" s="23">
        <f t="shared" si="1760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1733"/>
        <v>q08bg4_danre_5XSZ</v>
      </c>
      <c r="B311" s="3" t="s">
        <v>1440</v>
      </c>
      <c r="C311" s="3" t="s">
        <v>1442</v>
      </c>
      <c r="D311" s="3" t="str">
        <f>IFERROR(MID(VLOOKUP($B311,Seqs!$A:$B,2,0),E311,1),"")</f>
        <v>K</v>
      </c>
      <c r="E311" s="3">
        <v>26</v>
      </c>
      <c r="F311" s="3" t="str">
        <f>IFERROR(MID(VLOOKUP($B311,Seqs!$A:$B,2,0),G311,1),"")</f>
        <v>S</v>
      </c>
      <c r="G311" s="3">
        <v>55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N</v>
      </c>
      <c r="M311" s="3">
        <v>60</v>
      </c>
      <c r="N311" s="3" t="str">
        <f>IFERROR(MID(VLOOKUP($B311,Seqs!$A:$B,2,0),O311,1),"")</f>
        <v>Q</v>
      </c>
      <c r="O311" s="3">
        <v>89</v>
      </c>
      <c r="P311" s="3" t="str">
        <f>IFERROR(MID(VLOOKUP($B311,Seqs!$A:$B,2,0),Q311,1),"")</f>
        <v>N</v>
      </c>
      <c r="Q311" s="3">
        <v>91</v>
      </c>
      <c r="R311" s="3" t="str">
        <f>IFERROR(MID(VLOOKUP($B311,Seqs!$A:$B,2,0),S311,1),"")</f>
        <v>F</v>
      </c>
      <c r="S311" s="3">
        <v>94</v>
      </c>
      <c r="T311" s="3" t="str">
        <f>IFERROR(MID(VLOOKUP($B311,Seqs!$A:$B,2,0),U311,1),"")</f>
        <v>G</v>
      </c>
      <c r="U311" s="3">
        <v>95</v>
      </c>
      <c r="V311" s="3" t="str">
        <f>IFERROR(MID(VLOOKUP($B311,Seqs!$A:$B,2,0),W311,1),"")</f>
        <v>Y</v>
      </c>
      <c r="W311" s="3">
        <v>130</v>
      </c>
      <c r="X311" s="3" t="str">
        <f>IFERROR(MID(VLOOKUP($B311,Seqs!$A:$B,2,0),Y311,1),"")</f>
        <v>P</v>
      </c>
      <c r="Y311" s="3">
        <v>131</v>
      </c>
      <c r="Z311" s="3" t="str">
        <f>IFERROR(MID(VLOOKUP($B311,Seqs!$A:$B,2,0),AA311,1),"")</f>
        <v>R</v>
      </c>
      <c r="AA311" s="3">
        <v>138</v>
      </c>
      <c r="AB311" s="3" t="str">
        <f>IFERROR(MID(VLOOKUP($B311,Seqs!$A:$B,2,0),AC311,1),"")</f>
        <v>T</v>
      </c>
      <c r="AC311" s="3">
        <v>139</v>
      </c>
      <c r="AD311" s="3" t="str">
        <f>IFERROR(MID(VLOOKUP($B311,Seqs!$A:$B,2,0),AE311,1),"")</f>
        <v>N</v>
      </c>
      <c r="AE311" s="3">
        <v>166</v>
      </c>
      <c r="AF311" s="3" t="str">
        <f>IFERROR(MID(VLOOKUP($B311,Seqs!$A:$B,2,0),AG311,1),"")</f>
        <v>C</v>
      </c>
      <c r="AG311" s="3">
        <v>178</v>
      </c>
      <c r="AH311" s="3" t="str">
        <f>IFERROR(MID(VLOOKUP($B311,Seqs!$A:$B,2,0),AI311,1),"")</f>
        <v>F</v>
      </c>
      <c r="AI311" s="3">
        <v>179</v>
      </c>
      <c r="AJ311" s="3" t="str">
        <f>IFERROR(MID(VLOOKUP($B311,Seqs!$A:$B,2,0),AK311,1),"")</f>
        <v>W</v>
      </c>
      <c r="AK311" s="3">
        <v>187</v>
      </c>
      <c r="AL311" s="3" t="str">
        <f>IFERROR(MID(VLOOKUP($B311,Seqs!$A:$B,2,0),AM311,1),"")</f>
        <v>R</v>
      </c>
      <c r="AM311" s="3">
        <v>223</v>
      </c>
      <c r="AN311" s="3" t="str">
        <f>IFERROR(MID(VLOOKUP($B311,Seqs!$A:$B,2,0),AO311,1),"")</f>
        <v>N</v>
      </c>
      <c r="AO311" s="3">
        <v>234</v>
      </c>
      <c r="AP311" s="3" t="str">
        <f>IFERROR(MID(VLOOKUP($B311,Seqs!$A:$B,2,0),AQ311,1),"")</f>
        <v>N</v>
      </c>
      <c r="AQ311" s="3">
        <v>269</v>
      </c>
      <c r="AR311" s="3" t="str">
        <f>IFERROR(MID(VLOOKUP($B311,Seqs!$A:$B,2,0),AS311,1),"")</f>
        <v>G</v>
      </c>
      <c r="AS311" s="3">
        <v>273</v>
      </c>
      <c r="AT311" s="3" t="str">
        <f>IFERROR(MID(VLOOKUP($B311,Seqs!$A:$B,2,0),AU311,1),"")</f>
        <v>T</v>
      </c>
      <c r="AU311" s="3">
        <v>308</v>
      </c>
      <c r="AV311" s="3" t="str">
        <f>IFERROR(MID(VLOOKUP($B311,Seqs!$A:$B,2,0),AW311,1),"")</f>
        <v/>
      </c>
      <c r="AW311" s="3" t="s">
        <v>23</v>
      </c>
      <c r="AX311" s="3" t="str">
        <f>IFERROR(MID(VLOOKUP($B311,Seqs!$A:$B,2,0),AY311,1),"")</f>
        <v/>
      </c>
      <c r="AY311" s="3" t="s">
        <v>23</v>
      </c>
      <c r="AZ311" s="77" t="str">
        <f>VLOOKUP(B311,Classification!A:D,2,0)</f>
        <v>A</v>
      </c>
      <c r="BA311" s="94" t="str">
        <f>VLOOKUP(B311,Classification!A:D,4,0)</f>
        <v>Lysophospholipid(LPA)</v>
      </c>
      <c r="BB311" s="27" t="b">
        <f t="shared" si="1734"/>
        <v>1</v>
      </c>
      <c r="BC311" s="23">
        <f t="shared" si="1735"/>
        <v>249</v>
      </c>
      <c r="BD311" s="2" t="s">
        <v>1375</v>
      </c>
      <c r="BE311" s="3" t="s">
        <v>1291</v>
      </c>
      <c r="BF311" s="119">
        <v>3.2</v>
      </c>
      <c r="BG311" s="49" t="s">
        <v>1</v>
      </c>
      <c r="BH311" s="49" t="s">
        <v>1377</v>
      </c>
      <c r="BI311" s="1"/>
      <c r="BJ311" s="70" t="s">
        <v>1287</v>
      </c>
      <c r="BK311" s="57" t="s">
        <v>1287</v>
      </c>
      <c r="BL311" s="57" t="s">
        <v>1287</v>
      </c>
      <c r="BM311" s="57" t="s">
        <v>1287</v>
      </c>
      <c r="BN311" s="57" t="s">
        <v>1287</v>
      </c>
      <c r="BO311" s="57" t="s">
        <v>1287</v>
      </c>
      <c r="BP311" s="57" t="s">
        <v>1287</v>
      </c>
      <c r="BQ311" s="57" t="s">
        <v>1287</v>
      </c>
      <c r="BR311" s="57" t="s">
        <v>1287</v>
      </c>
      <c r="BS311" s="57" t="s">
        <v>1287</v>
      </c>
      <c r="BT311" s="57" t="s">
        <v>1287</v>
      </c>
      <c r="BU311" s="57" t="s">
        <v>1287</v>
      </c>
      <c r="BV311" s="70">
        <f t="shared" si="1736"/>
        <v>26</v>
      </c>
      <c r="BW311" s="71" t="str">
        <f t="shared" si="1737"/>
        <v>-</v>
      </c>
      <c r="BX311" s="72">
        <f t="shared" si="1738"/>
        <v>60</v>
      </c>
      <c r="BY311" s="71">
        <f t="shared" si="1739"/>
        <v>91</v>
      </c>
      <c r="BZ311" s="72">
        <f t="shared" si="1740"/>
        <v>95</v>
      </c>
      <c r="CA311" s="71">
        <f t="shared" si="1741"/>
        <v>131</v>
      </c>
      <c r="CB311" s="72">
        <f t="shared" si="1742"/>
        <v>139</v>
      </c>
      <c r="CC311" s="71">
        <f t="shared" si="1743"/>
        <v>178</v>
      </c>
      <c r="CD311" s="72">
        <f t="shared" si="1744"/>
        <v>187</v>
      </c>
      <c r="CE311" s="71">
        <f t="shared" si="1745"/>
        <v>234</v>
      </c>
      <c r="CF311" s="72">
        <f t="shared" si="1746"/>
        <v>273</v>
      </c>
      <c r="CG311" s="71" t="str">
        <f t="shared" si="1747"/>
        <v>-</v>
      </c>
      <c r="CH311" s="70">
        <f t="shared" si="1748"/>
        <v>55</v>
      </c>
      <c r="CI311" s="71" t="str">
        <f t="shared" si="1749"/>
        <v>-</v>
      </c>
      <c r="CJ311" s="72">
        <f t="shared" si="1750"/>
        <v>89</v>
      </c>
      <c r="CK311" s="72">
        <f t="shared" si="1751"/>
        <v>94</v>
      </c>
      <c r="CL311" s="72">
        <f t="shared" si="1752"/>
        <v>130</v>
      </c>
      <c r="CM311" s="72">
        <f t="shared" si="1753"/>
        <v>138</v>
      </c>
      <c r="CN311" s="72">
        <f t="shared" si="1754"/>
        <v>166</v>
      </c>
      <c r="CO311" s="72">
        <f t="shared" si="1755"/>
        <v>179</v>
      </c>
      <c r="CP311" s="72">
        <f t="shared" si="1756"/>
        <v>223</v>
      </c>
      <c r="CQ311" s="72">
        <f t="shared" si="1757"/>
        <v>269</v>
      </c>
      <c r="CR311" s="72">
        <f t="shared" si="1758"/>
        <v>308</v>
      </c>
      <c r="CS311" s="72" t="str">
        <f t="shared" si="1759"/>
        <v>-</v>
      </c>
      <c r="CT311" s="23" t="e">
        <f t="shared" si="1760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1733"/>
        <v>q9wtk1_cavpo__wt</v>
      </c>
      <c r="B312" s="3" t="s">
        <v>1451</v>
      </c>
      <c r="C312" s="3" t="s">
        <v>100</v>
      </c>
      <c r="D312" s="3" t="str">
        <f>IFERROR(MID(VLOOKUP($B312,Seqs!$A:$B,2,0),E312,1),"")</f>
        <v>T</v>
      </c>
      <c r="E312" s="3">
        <v>17</v>
      </c>
      <c r="F312" s="3" t="str">
        <f>IFERROR(MID(VLOOKUP($B312,Seqs!$A:$B,2,0),G312,1),"")</f>
        <v>R</v>
      </c>
      <c r="G312" s="3">
        <v>48</v>
      </c>
      <c r="H312" s="3" t="str">
        <f>IFERROR(MID(VLOOKUP($B312,Seqs!$A:$B,2,0),I312,1),"")</f>
        <v>M</v>
      </c>
      <c r="I312" s="23">
        <v>49</v>
      </c>
      <c r="J312" s="3" t="str">
        <f>IFERROR(MID(VLOOKUP($B312,Seqs!$A:$B,2,0),K312,1),"")</f>
        <v>R</v>
      </c>
      <c r="K312" s="23">
        <v>52</v>
      </c>
      <c r="L312" s="3" t="str">
        <f>IFERROR(MID(VLOOKUP($B312,Seqs!$A:$B,2,0),M312,1),"")</f>
        <v>S</v>
      </c>
      <c r="M312" s="3">
        <v>53</v>
      </c>
      <c r="N312" s="3" t="str">
        <f>IFERROR(MID(VLOOKUP($B312,Seqs!$A:$B,2,0),O312,1),"")</f>
        <v>H</v>
      </c>
      <c r="O312" s="3">
        <v>83</v>
      </c>
      <c r="P312" s="3" t="str">
        <f>IFERROR(MID(VLOOKUP($B312,Seqs!$A:$B,2,0),Q312,1),"")</f>
        <v>T</v>
      </c>
      <c r="Q312" s="3">
        <v>84</v>
      </c>
      <c r="R312" s="3" t="str">
        <f>IFERROR(MID(VLOOKUP($B312,Seqs!$A:$B,2,0),S312,1),"")</f>
        <v>F</v>
      </c>
      <c r="S312" s="3">
        <v>87</v>
      </c>
      <c r="T312" s="3" t="str">
        <f>IFERROR(MID(VLOOKUP($B312,Seqs!$A:$B,2,0),U312,1),"")</f>
        <v>K</v>
      </c>
      <c r="U312" s="3">
        <v>88</v>
      </c>
      <c r="V312" s="3" t="str">
        <f>IFERROR(MID(VLOOKUP($B312,Seqs!$A:$B,2,0),W312,1),"")</f>
        <v>S</v>
      </c>
      <c r="W312" s="3">
        <v>123</v>
      </c>
      <c r="X312" s="3" t="str">
        <f>IFERROR(MID(VLOOKUP($B312,Seqs!$A:$B,2,0),Y312,1),"")</f>
        <v>P</v>
      </c>
      <c r="Y312" s="3">
        <v>124</v>
      </c>
      <c r="Z312" s="3" t="str">
        <f>IFERROR(MID(VLOOKUP($B312,Seqs!$A:$B,2,0),AA312,1),"")</f>
        <v>R</v>
      </c>
      <c r="AA312" s="3">
        <v>131</v>
      </c>
      <c r="AB312" s="3" t="str">
        <f>IFERROR(MID(VLOOKUP($B312,Seqs!$A:$B,2,0),AC312,1),"")</f>
        <v>T</v>
      </c>
      <c r="AC312" s="3">
        <v>132</v>
      </c>
      <c r="AD312" s="3" t="str">
        <f>IFERROR(MID(VLOOKUP($B312,Seqs!$A:$B,2,0),AE312,1),"")</f>
        <v>R</v>
      </c>
      <c r="AE312" s="3">
        <v>158</v>
      </c>
      <c r="AF312" s="3" t="str">
        <f>IFERROR(MID(VLOOKUP($B312,Seqs!$A:$B,2,0),AG312,1),"")</f>
        <v>C</v>
      </c>
      <c r="AG312" s="3">
        <v>170</v>
      </c>
      <c r="AH312" s="3" t="str">
        <f>IFERROR(MID(VLOOKUP($B312,Seqs!$A:$B,2,0),AI312,1),"")</f>
        <v>A</v>
      </c>
      <c r="AI312" s="3">
        <v>172</v>
      </c>
      <c r="AJ312" s="3" t="str">
        <f>IFERROR(MID(VLOOKUP($B312,Seqs!$A:$B,2,0),AK312,1),"")</f>
        <v>S</v>
      </c>
      <c r="AK312" s="3">
        <v>176</v>
      </c>
      <c r="AL312" s="3" t="str">
        <f>IFERROR(MID(VLOOKUP($B312,Seqs!$A:$B,2,0),AM312,1),"")</f>
        <v>R</v>
      </c>
      <c r="AM312" s="3">
        <v>213</v>
      </c>
      <c r="AN312" s="3" t="str">
        <f>IFERROR(MID(VLOOKUP($B312,Seqs!$A:$B,2,0),AO312,1),"")</f>
        <v>R</v>
      </c>
      <c r="AO312" s="3">
        <v>218</v>
      </c>
      <c r="AP312" s="3" t="str">
        <f>IFERROR(MID(VLOOKUP($B312,Seqs!$A:$B,2,0),AQ312,1),"")</f>
        <v>A</v>
      </c>
      <c r="AQ312" s="3">
        <v>252</v>
      </c>
      <c r="AR312" s="3" t="str">
        <f>IFERROR(MID(VLOOKUP($B312,Seqs!$A:$B,2,0),AS312,1),"")</f>
        <v>L</v>
      </c>
      <c r="AS312" s="3">
        <v>255</v>
      </c>
      <c r="AT312" s="3" t="str">
        <f>IFERROR(MID(VLOOKUP($B312,Seqs!$A:$B,2,0),AU312,1),"")</f>
        <v>A</v>
      </c>
      <c r="AU312" s="3">
        <v>287</v>
      </c>
      <c r="AV312" s="3" t="str">
        <f>IFERROR(MID(VLOOKUP($B312,Seqs!$A:$B,2,0),AW312,1),"")</f>
        <v>G</v>
      </c>
      <c r="AW312" s="3">
        <v>288</v>
      </c>
      <c r="AX312" s="3" t="str">
        <f>IFERROR(MID(VLOOKUP($B312,Seqs!$A:$B,2,0),AY312,1),"")</f>
        <v>K</v>
      </c>
      <c r="AY312" s="3">
        <v>302</v>
      </c>
      <c r="AZ312" s="77" t="str">
        <f>VLOOKUP(B312,Classification!A:D,2,0)</f>
        <v>A</v>
      </c>
      <c r="BA312" s="94" t="str">
        <f>VLOOKUP(B312,Classification!A:D,4,0)</f>
        <v>Leukotriene</v>
      </c>
      <c r="BB312" s="27" t="b">
        <f t="shared" si="1734"/>
        <v>1</v>
      </c>
      <c r="BC312" s="23">
        <f t="shared" si="1735"/>
        <v>266</v>
      </c>
      <c r="BD312" s="2" t="s">
        <v>23</v>
      </c>
      <c r="BE312" s="3" t="s">
        <v>23</v>
      </c>
      <c r="BF312" s="119" t="s">
        <v>23</v>
      </c>
      <c r="BG312" s="49" t="s">
        <v>1</v>
      </c>
      <c r="BH312" s="49" t="s">
        <v>1</v>
      </c>
      <c r="BI312" s="1"/>
      <c r="BJ312" s="70" t="s">
        <v>1287</v>
      </c>
      <c r="BK312" s="57" t="s">
        <v>1287</v>
      </c>
      <c r="BL312" s="57" t="s">
        <v>1287</v>
      </c>
      <c r="BM312" s="57" t="s">
        <v>1287</v>
      </c>
      <c r="BN312" s="57" t="s">
        <v>1287</v>
      </c>
      <c r="BO312" s="57" t="s">
        <v>1287</v>
      </c>
      <c r="BP312" s="57" t="s">
        <v>1287</v>
      </c>
      <c r="BQ312" s="57" t="s">
        <v>1287</v>
      </c>
      <c r="BR312" s="57" t="s">
        <v>1287</v>
      </c>
      <c r="BS312" s="57" t="s">
        <v>1287</v>
      </c>
      <c r="BT312" s="57" t="s">
        <v>1287</v>
      </c>
      <c r="BU312" s="57" t="s">
        <v>1287</v>
      </c>
      <c r="BV312" s="70">
        <f t="shared" si="1736"/>
        <v>17</v>
      </c>
      <c r="BW312" s="71">
        <f t="shared" si="1737"/>
        <v>49</v>
      </c>
      <c r="BX312" s="72">
        <f t="shared" si="1738"/>
        <v>53</v>
      </c>
      <c r="BY312" s="71">
        <f t="shared" si="1739"/>
        <v>84</v>
      </c>
      <c r="BZ312" s="72">
        <f t="shared" si="1740"/>
        <v>88</v>
      </c>
      <c r="CA312" s="71">
        <f t="shared" si="1741"/>
        <v>124</v>
      </c>
      <c r="CB312" s="72">
        <f t="shared" si="1742"/>
        <v>132</v>
      </c>
      <c r="CC312" s="71">
        <f t="shared" si="1743"/>
        <v>170</v>
      </c>
      <c r="CD312" s="72">
        <f t="shared" si="1744"/>
        <v>176</v>
      </c>
      <c r="CE312" s="71">
        <f t="shared" si="1745"/>
        <v>218</v>
      </c>
      <c r="CF312" s="72">
        <f t="shared" si="1746"/>
        <v>255</v>
      </c>
      <c r="CG312" s="71">
        <f t="shared" si="1747"/>
        <v>288</v>
      </c>
      <c r="CH312" s="70">
        <f t="shared" si="1748"/>
        <v>48</v>
      </c>
      <c r="CI312" s="71">
        <f t="shared" si="1749"/>
        <v>52</v>
      </c>
      <c r="CJ312" s="72">
        <f t="shared" si="1750"/>
        <v>83</v>
      </c>
      <c r="CK312" s="72">
        <f t="shared" si="1751"/>
        <v>87</v>
      </c>
      <c r="CL312" s="72">
        <f t="shared" si="1752"/>
        <v>123</v>
      </c>
      <c r="CM312" s="72">
        <f t="shared" si="1753"/>
        <v>131</v>
      </c>
      <c r="CN312" s="72">
        <f t="shared" si="1754"/>
        <v>158</v>
      </c>
      <c r="CO312" s="72">
        <f t="shared" si="1755"/>
        <v>172</v>
      </c>
      <c r="CP312" s="72">
        <f t="shared" si="1756"/>
        <v>213</v>
      </c>
      <c r="CQ312" s="72">
        <f t="shared" si="1757"/>
        <v>252</v>
      </c>
      <c r="CR312" s="72">
        <f t="shared" si="1758"/>
        <v>287</v>
      </c>
      <c r="CS312" s="72">
        <f t="shared" si="1759"/>
        <v>302</v>
      </c>
      <c r="CT312" s="23">
        <f t="shared" si="1760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1733"/>
        <v>q9wtk1_cavpo_5X33</v>
      </c>
      <c r="B313" s="3" t="s">
        <v>1451</v>
      </c>
      <c r="C313" s="3" t="s">
        <v>1452</v>
      </c>
      <c r="D313" s="3" t="str">
        <f>IFERROR(MID(VLOOKUP($B313,Seqs!$A:$B,2,0),E313,1),"")</f>
        <v>T</v>
      </c>
      <c r="E313" s="3">
        <v>17</v>
      </c>
      <c r="F313" s="3" t="str">
        <f>IFERROR(MID(VLOOKUP($B313,Seqs!$A:$B,2,0),G313,1),"")</f>
        <v>R</v>
      </c>
      <c r="G313" s="3">
        <v>48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S</v>
      </c>
      <c r="M313" s="3">
        <v>53</v>
      </c>
      <c r="N313" s="3" t="str">
        <f>IFERROR(MID(VLOOKUP($B313,Seqs!$A:$B,2,0),O313,1),"")</f>
        <v>H</v>
      </c>
      <c r="O313" s="3">
        <v>83</v>
      </c>
      <c r="P313" s="3" t="str">
        <f>IFERROR(MID(VLOOKUP($B313,Seqs!$A:$B,2,0),Q313,1),"")</f>
        <v>T</v>
      </c>
      <c r="Q313" s="3">
        <v>84</v>
      </c>
      <c r="R313" s="3" t="str">
        <f>IFERROR(MID(VLOOKUP($B313,Seqs!$A:$B,2,0),S313,1),"")</f>
        <v>F</v>
      </c>
      <c r="S313" s="3">
        <v>87</v>
      </c>
      <c r="T313" s="3" t="str">
        <f>IFERROR(MID(VLOOKUP($B313,Seqs!$A:$B,2,0),U313,1),"")</f>
        <v>K</v>
      </c>
      <c r="U313" s="3">
        <v>88</v>
      </c>
      <c r="V313" s="3" t="str">
        <f>IFERROR(MID(VLOOKUP($B313,Seqs!$A:$B,2,0),W313,1),"")</f>
        <v>S</v>
      </c>
      <c r="W313" s="3">
        <v>123</v>
      </c>
      <c r="X313" s="3" t="str">
        <f>IFERROR(MID(VLOOKUP($B313,Seqs!$A:$B,2,0),Y313,1),"")</f>
        <v>P</v>
      </c>
      <c r="Y313" s="3">
        <v>124</v>
      </c>
      <c r="Z313" s="3" t="str">
        <f>IFERROR(MID(VLOOKUP($B313,Seqs!$A:$B,2,0),AA313,1),"")</f>
        <v>R</v>
      </c>
      <c r="AA313" s="3">
        <v>131</v>
      </c>
      <c r="AB313" s="3" t="str">
        <f>IFERROR(MID(VLOOKUP($B313,Seqs!$A:$B,2,0),AC313,1),"")</f>
        <v>T</v>
      </c>
      <c r="AC313" s="3">
        <v>132</v>
      </c>
      <c r="AD313" s="3" t="str">
        <f>IFERROR(MID(VLOOKUP($B313,Seqs!$A:$B,2,0),AE313,1),"")</f>
        <v>R</v>
      </c>
      <c r="AE313" s="3">
        <v>158</v>
      </c>
      <c r="AF313" s="3" t="str">
        <f>IFERROR(MID(VLOOKUP($B313,Seqs!$A:$B,2,0),AG313,1),"")</f>
        <v>C</v>
      </c>
      <c r="AG313" s="3">
        <v>170</v>
      </c>
      <c r="AH313" s="3" t="str">
        <f>IFERROR(MID(VLOOKUP($B313,Seqs!$A:$B,2,0),AI313,1),"")</f>
        <v>A</v>
      </c>
      <c r="AI313" s="3">
        <v>172</v>
      </c>
      <c r="AJ313" s="3" t="str">
        <f>IFERROR(MID(VLOOKUP($B313,Seqs!$A:$B,2,0),AK313,1),"")</f>
        <v>S</v>
      </c>
      <c r="AK313" s="3">
        <v>176</v>
      </c>
      <c r="AL313" s="3" t="str">
        <f>IFERROR(MID(VLOOKUP($B313,Seqs!$A:$B,2,0),AM313,1),"")</f>
        <v>R</v>
      </c>
      <c r="AM313" s="3">
        <v>213</v>
      </c>
      <c r="AN313" s="3" t="str">
        <f>IFERROR(MID(VLOOKUP($B313,Seqs!$A:$B,2,0),AO313,1),"")</f>
        <v>I</v>
      </c>
      <c r="AO313" s="3">
        <v>227</v>
      </c>
      <c r="AP313" s="3" t="str">
        <f>IFERROR(MID(VLOOKUP($B313,Seqs!$A:$B,2,0),AQ313,1),"")</f>
        <v>R</v>
      </c>
      <c r="AQ313" s="3">
        <v>249</v>
      </c>
      <c r="AR313" s="3" t="str">
        <f>IFERROR(MID(VLOOKUP($B313,Seqs!$A:$B,2,0),AS313,1),"")</f>
        <v>Q</v>
      </c>
      <c r="AS313" s="3">
        <v>261</v>
      </c>
      <c r="AT313" s="3" t="str">
        <f>IFERROR(MID(VLOOKUP($B313,Seqs!$A:$B,2,0),AU313,1),"")</f>
        <v>S</v>
      </c>
      <c r="AU313" s="3">
        <v>278</v>
      </c>
      <c r="AV313" s="3" t="str">
        <f>IFERROR(MID(VLOOKUP($B313,Seqs!$A:$B,2,0),AW313,1),"")</f>
        <v/>
      </c>
      <c r="AW313" s="3" t="s">
        <v>23</v>
      </c>
      <c r="AX313" s="3" t="str">
        <f>IFERROR(MID(VLOOKUP($B313,Seqs!$A:$B,2,0),AY313,1),"")</f>
        <v/>
      </c>
      <c r="AY313" s="3" t="s">
        <v>23</v>
      </c>
      <c r="AZ313" s="77" t="str">
        <f>VLOOKUP(B313,Classification!A:D,2,0)</f>
        <v>A</v>
      </c>
      <c r="BA313" s="94" t="str">
        <f>VLOOKUP(B313,Classification!A:D,4,0)</f>
        <v>Leukotriene</v>
      </c>
      <c r="BB313" s="27" t="b">
        <f t="shared" si="1734"/>
        <v>1</v>
      </c>
      <c r="BC313" s="23">
        <f t="shared" si="1735"/>
        <v>222</v>
      </c>
      <c r="BD313" s="2" t="s">
        <v>1376</v>
      </c>
      <c r="BE313" s="3" t="s">
        <v>1374</v>
      </c>
      <c r="BF313" s="119">
        <v>3.7</v>
      </c>
      <c r="BG313" s="49" t="s">
        <v>1</v>
      </c>
      <c r="BH313" s="49" t="s">
        <v>1377</v>
      </c>
      <c r="BI313" s="1"/>
      <c r="BJ313" s="70" t="s">
        <v>1287</v>
      </c>
      <c r="BK313" s="57" t="s">
        <v>1287</v>
      </c>
      <c r="BL313" s="57" t="s">
        <v>1287</v>
      </c>
      <c r="BM313" s="57" t="s">
        <v>1287</v>
      </c>
      <c r="BN313" s="57" t="s">
        <v>1287</v>
      </c>
      <c r="BO313" s="57" t="s">
        <v>1287</v>
      </c>
      <c r="BP313" s="57" t="s">
        <v>1287</v>
      </c>
      <c r="BQ313" s="57" t="s">
        <v>1287</v>
      </c>
      <c r="BR313" s="57" t="s">
        <v>1287</v>
      </c>
      <c r="BS313" s="57" t="s">
        <v>1287</v>
      </c>
      <c r="BT313" s="57" t="s">
        <v>1287</v>
      </c>
      <c r="BU313" s="57" t="s">
        <v>1287</v>
      </c>
      <c r="BV313" s="70">
        <f t="shared" si="1736"/>
        <v>17</v>
      </c>
      <c r="BW313" s="71" t="str">
        <f t="shared" si="1737"/>
        <v>-</v>
      </c>
      <c r="BX313" s="72">
        <f t="shared" si="1738"/>
        <v>53</v>
      </c>
      <c r="BY313" s="71">
        <f t="shared" si="1739"/>
        <v>84</v>
      </c>
      <c r="BZ313" s="72">
        <f t="shared" si="1740"/>
        <v>88</v>
      </c>
      <c r="CA313" s="71">
        <f t="shared" si="1741"/>
        <v>124</v>
      </c>
      <c r="CB313" s="72">
        <f t="shared" si="1742"/>
        <v>132</v>
      </c>
      <c r="CC313" s="71">
        <f t="shared" si="1743"/>
        <v>170</v>
      </c>
      <c r="CD313" s="72">
        <f t="shared" si="1744"/>
        <v>176</v>
      </c>
      <c r="CE313" s="71">
        <f t="shared" si="1745"/>
        <v>227</v>
      </c>
      <c r="CF313" s="72">
        <f t="shared" si="1746"/>
        <v>261</v>
      </c>
      <c r="CG313" s="71" t="str">
        <f t="shared" si="1747"/>
        <v>-</v>
      </c>
      <c r="CH313" s="70">
        <f t="shared" si="1748"/>
        <v>48</v>
      </c>
      <c r="CI313" s="71" t="str">
        <f t="shared" si="1749"/>
        <v>-</v>
      </c>
      <c r="CJ313" s="72">
        <f t="shared" si="1750"/>
        <v>83</v>
      </c>
      <c r="CK313" s="72">
        <f t="shared" si="1751"/>
        <v>87</v>
      </c>
      <c r="CL313" s="72">
        <f t="shared" si="1752"/>
        <v>123</v>
      </c>
      <c r="CM313" s="72">
        <f t="shared" si="1753"/>
        <v>131</v>
      </c>
      <c r="CN313" s="72">
        <f t="shared" si="1754"/>
        <v>158</v>
      </c>
      <c r="CO313" s="72">
        <f t="shared" si="1755"/>
        <v>172</v>
      </c>
      <c r="CP313" s="72">
        <f t="shared" si="1756"/>
        <v>213</v>
      </c>
      <c r="CQ313" s="72">
        <f t="shared" si="1757"/>
        <v>249</v>
      </c>
      <c r="CR313" s="72">
        <f t="shared" si="1758"/>
        <v>278</v>
      </c>
      <c r="CS313" s="72" t="str">
        <f t="shared" si="1759"/>
        <v>-</v>
      </c>
      <c r="CT313" s="23" t="e">
        <f t="shared" si="1760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1591"/>
        <v>s1pr1_human__wt</v>
      </c>
      <c r="B314" s="3" t="s">
        <v>104</v>
      </c>
      <c r="C314" s="3" t="s">
        <v>100</v>
      </c>
      <c r="D314" s="3" t="str">
        <f>IFERROR(MID(VLOOKUP($B314,Seqs!$A:$B,2,0),E314,1),"")</f>
        <v>E</v>
      </c>
      <c r="E314" s="3">
        <v>42</v>
      </c>
      <c r="F314" s="3" t="str">
        <f>IFERROR(MID(VLOOKUP($B314,Seqs!$A:$B,2,0),G314,1),"")</f>
        <v>T</v>
      </c>
      <c r="G314" s="3">
        <v>73</v>
      </c>
      <c r="H314" s="3" t="str">
        <f>IFERROR(MID(VLOOKUP($B314,Seqs!$A:$B,2,0),I314,1),"")</f>
        <v>K</v>
      </c>
      <c r="I314" s="23">
        <v>74</v>
      </c>
      <c r="J314" s="3" t="str">
        <f>IFERROR(MID(VLOOKUP($B314,Seqs!$A:$B,2,0),K314,1),"")</f>
        <v>H</v>
      </c>
      <c r="K314" s="23">
        <v>77</v>
      </c>
      <c r="L314" s="3" t="str">
        <f>IFERROR(MID(VLOOKUP($B314,Seqs!$A:$B,2,0),M314,1),"")</f>
        <v>R</v>
      </c>
      <c r="M314" s="3">
        <v>78</v>
      </c>
      <c r="N314" s="3" t="str">
        <f>IFERROR(MID(VLOOKUP($B314,Seqs!$A:$B,2,0),O314,1),"")</f>
        <v>L</v>
      </c>
      <c r="O314" s="3">
        <v>104</v>
      </c>
      <c r="P314" s="3" t="str">
        <f>IFERROR(MID(VLOOKUP($B314,Seqs!$A:$B,2,0),Q314,1),"")</f>
        <v>G</v>
      </c>
      <c r="Q314" s="3">
        <v>106</v>
      </c>
      <c r="R314" s="3" t="str">
        <f>IFERROR(MID(VLOOKUP($B314,Seqs!$A:$B,2,0),S314,1),"")</f>
        <v>L</v>
      </c>
      <c r="S314" s="3">
        <v>112</v>
      </c>
      <c r="T314" s="3" t="str">
        <f>IFERROR(MID(VLOOKUP($B314,Seqs!$A:$B,2,0),U314,1),"")</f>
        <v>T</v>
      </c>
      <c r="U314" s="3">
        <v>113</v>
      </c>
      <c r="V314" s="3" t="str">
        <f>IFERROR(MID(VLOOKUP($B314,Seqs!$A:$B,2,0),W314,1),"")</f>
        <v>K</v>
      </c>
      <c r="W314" s="105">
        <v>148</v>
      </c>
      <c r="X314" s="3" t="str">
        <f>IFERROR(MID(VLOOKUP($B314,Seqs!$A:$B,2,0),Y314,1),"")</f>
        <v>M</v>
      </c>
      <c r="Y314" s="105">
        <v>149</v>
      </c>
      <c r="Z314" s="3" t="str">
        <f>IFERROR(MID(VLOOKUP($B314,Seqs!$A:$B,2,0),AA314,1),"")</f>
        <v>S</v>
      </c>
      <c r="AA314" s="105">
        <v>155</v>
      </c>
      <c r="AB314" s="3" t="str">
        <f>IFERROR(MID(VLOOKUP($B314,Seqs!$A:$B,2,0),AC314,1),"")</f>
        <v>N</v>
      </c>
      <c r="AC314" s="105">
        <v>156</v>
      </c>
      <c r="AD314" s="3" t="str">
        <f>IFERROR(MID(VLOOKUP($B314,Seqs!$A:$B,2,0),AE314,1),"")</f>
        <v>G</v>
      </c>
      <c r="AE314" s="3">
        <v>181</v>
      </c>
      <c r="AF314" s="3" t="str">
        <f>IFERROR(MID(VLOOKUP($B314,Seqs!$A:$B,2,0),AG314,1),"")</f>
        <v/>
      </c>
      <c r="AG314" s="3" t="s">
        <v>23</v>
      </c>
      <c r="AH314" s="3" t="str">
        <f>IFERROR(MID(VLOOKUP($B314,Seqs!$A:$B,2,0),AI314,1),"")</f>
        <v/>
      </c>
      <c r="AI314" s="3" t="s">
        <v>23</v>
      </c>
      <c r="AJ314" s="3" t="str">
        <f>IFERROR(MID(VLOOKUP($B314,Seqs!$A:$B,2,0),AK314,1),"")</f>
        <v>H</v>
      </c>
      <c r="AK314" s="3">
        <v>199</v>
      </c>
      <c r="AL314" s="3" t="str">
        <f>IFERROR(MID(VLOOKUP($B314,Seqs!$A:$B,2,0),AM314,1),"")</f>
        <v>T</v>
      </c>
      <c r="AM314" s="3">
        <v>236</v>
      </c>
      <c r="AN314" s="3" t="str">
        <f>IFERROR(MID(VLOOKUP($B314,Seqs!$A:$B,2,0),AO314,1),"")</f>
        <v>S</v>
      </c>
      <c r="AO314" s="3">
        <v>245</v>
      </c>
      <c r="AP314" s="3" t="str">
        <f>IFERROR(MID(VLOOKUP($B314,Seqs!$A:$B,2,0),AQ314,1),"")</f>
        <v>C</v>
      </c>
      <c r="AQ314" s="3">
        <v>282</v>
      </c>
      <c r="AR314" s="3" t="str">
        <f>IFERROR(MID(VLOOKUP($B314,Seqs!$A:$B,2,0),AS314,1),"")</f>
        <v>D</v>
      </c>
      <c r="AS314" s="3">
        <v>288</v>
      </c>
      <c r="AT314" s="3" t="str">
        <f>IFERROR(MID(VLOOKUP($B314,Seqs!$A:$B,2,0),AU314,1),"")</f>
        <v>T</v>
      </c>
      <c r="AU314" s="3">
        <v>314</v>
      </c>
      <c r="AV314" s="3" t="str">
        <f>IFERROR(MID(VLOOKUP($B314,Seqs!$A:$B,2,0),AW314,1),"")</f>
        <v>N</v>
      </c>
      <c r="AW314" s="3">
        <v>315</v>
      </c>
      <c r="AX314" s="3" t="str">
        <f>IFERROR(MID(VLOOKUP($B314,Seqs!$A:$B,2,0),AY314,1),"")</f>
        <v>S</v>
      </c>
      <c r="AY314" s="3">
        <v>327</v>
      </c>
      <c r="AZ314" s="77" t="str">
        <f>VLOOKUP(B314,Classification!A:D,2,0)</f>
        <v>A</v>
      </c>
      <c r="BA314" s="94" t="str">
        <f>VLOOKUP(B314,Classification!A:D,4,0)</f>
        <v>Lysophospholipid(S1P)</v>
      </c>
      <c r="BB314" s="27" t="b">
        <f t="shared" si="1592"/>
        <v>1</v>
      </c>
      <c r="BC314" s="23">
        <f t="shared" si="1565"/>
        <v>256</v>
      </c>
      <c r="BD314" s="56" t="s">
        <v>23</v>
      </c>
      <c r="BE314" s="3" t="s">
        <v>23</v>
      </c>
      <c r="BF314" s="119" t="s">
        <v>23</v>
      </c>
      <c r="BG314" s="49" t="s">
        <v>1372</v>
      </c>
      <c r="BH314" s="49" t="s">
        <v>1377</v>
      </c>
      <c r="BI314" s="1"/>
      <c r="BJ314" s="70" t="s">
        <v>1287</v>
      </c>
      <c r="BK314" s="57" t="s">
        <v>1287</v>
      </c>
      <c r="BL314" s="57" t="s">
        <v>1287</v>
      </c>
      <c r="BM314" s="57" t="s">
        <v>1287</v>
      </c>
      <c r="BN314" s="57" t="s">
        <v>1287</v>
      </c>
      <c r="BO314" s="57" t="s">
        <v>1287</v>
      </c>
      <c r="BP314" s="57" t="s">
        <v>1287</v>
      </c>
      <c r="BQ314" s="57" t="s">
        <v>1287</v>
      </c>
      <c r="BR314" s="57" t="s">
        <v>1287</v>
      </c>
      <c r="BS314" s="57" t="s">
        <v>1287</v>
      </c>
      <c r="BT314" s="57" t="s">
        <v>1287</v>
      </c>
      <c r="BU314" s="57" t="s">
        <v>1287</v>
      </c>
      <c r="BV314" s="70">
        <f t="shared" si="1566"/>
        <v>42</v>
      </c>
      <c r="BW314" s="71">
        <f t="shared" si="1567"/>
        <v>74</v>
      </c>
      <c r="BX314" s="72">
        <f t="shared" si="1568"/>
        <v>78</v>
      </c>
      <c r="BY314" s="71">
        <f t="shared" si="1569"/>
        <v>106</v>
      </c>
      <c r="BZ314" s="72">
        <f t="shared" si="1570"/>
        <v>113</v>
      </c>
      <c r="CA314" s="71">
        <f t="shared" si="1571"/>
        <v>149</v>
      </c>
      <c r="CB314" s="72">
        <f t="shared" si="1572"/>
        <v>156</v>
      </c>
      <c r="CC314" s="71" t="str">
        <f t="shared" si="1573"/>
        <v>-</v>
      </c>
      <c r="CD314" s="72">
        <f t="shared" si="1574"/>
        <v>199</v>
      </c>
      <c r="CE314" s="71">
        <f t="shared" si="1575"/>
        <v>245</v>
      </c>
      <c r="CF314" s="72">
        <f t="shared" si="1576"/>
        <v>288</v>
      </c>
      <c r="CG314" s="71">
        <f t="shared" si="1577"/>
        <v>315</v>
      </c>
      <c r="CH314" s="70">
        <f t="shared" si="1578"/>
        <v>73</v>
      </c>
      <c r="CI314" s="71">
        <f t="shared" si="1579"/>
        <v>77</v>
      </c>
      <c r="CJ314" s="72">
        <f t="shared" si="1580"/>
        <v>104</v>
      </c>
      <c r="CK314" s="72">
        <f t="shared" si="1581"/>
        <v>112</v>
      </c>
      <c r="CL314" s="72">
        <f t="shared" si="1582"/>
        <v>148</v>
      </c>
      <c r="CM314" s="72">
        <f t="shared" si="1583"/>
        <v>155</v>
      </c>
      <c r="CN314" s="72">
        <f t="shared" si="1584"/>
        <v>181</v>
      </c>
      <c r="CO314" s="72" t="str">
        <f t="shared" si="1585"/>
        <v>-</v>
      </c>
      <c r="CP314" s="72">
        <f t="shared" si="1586"/>
        <v>236</v>
      </c>
      <c r="CQ314" s="72">
        <f t="shared" si="1587"/>
        <v>282</v>
      </c>
      <c r="CR314" s="72">
        <f t="shared" si="1588"/>
        <v>314</v>
      </c>
      <c r="CS314" s="72">
        <f t="shared" si="1589"/>
        <v>327</v>
      </c>
      <c r="CT314" s="23">
        <f t="shared" si="1590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1591"/>
        <v>s1pr1_human_3V2Y</v>
      </c>
      <c r="B315" s="3" t="s">
        <v>104</v>
      </c>
      <c r="C315" s="3" t="s">
        <v>94</v>
      </c>
      <c r="D315" s="3" t="str">
        <f>IFERROR(MID(VLOOKUP($B315,Seqs!$A:$B,2,0),E315,1),"")</f>
        <v>E</v>
      </c>
      <c r="E315" s="3">
        <v>42</v>
      </c>
      <c r="F315" s="3" t="str">
        <f>IFERROR(MID(VLOOKUP($B315,Seqs!$A:$B,2,0),G315,1),"")</f>
        <v>T</v>
      </c>
      <c r="G315" s="3">
        <v>73</v>
      </c>
      <c r="H315" s="3" t="str">
        <f>IFERROR(MID(VLOOKUP($B315,Seqs!$A:$B,2,0),I315,1),"")</f>
        <v>K</v>
      </c>
      <c r="I315" s="23">
        <v>74</v>
      </c>
      <c r="J315" s="3" t="str">
        <f>IFERROR(MID(VLOOKUP($B315,Seqs!$A:$B,2,0),K315,1),"")</f>
        <v>H</v>
      </c>
      <c r="K315" s="23">
        <v>77</v>
      </c>
      <c r="L315" s="3" t="str">
        <f>IFERROR(MID(VLOOKUP($B315,Seqs!$A:$B,2,0),M315,1),"")</f>
        <v>R</v>
      </c>
      <c r="M315" s="3">
        <v>78</v>
      </c>
      <c r="N315" s="3" t="str">
        <f>IFERROR(MID(VLOOKUP($B315,Seqs!$A:$B,2,0),O315,1),"")</f>
        <v>L</v>
      </c>
      <c r="O315" s="3">
        <v>104</v>
      </c>
      <c r="P315" s="3" t="str">
        <f>IFERROR(MID(VLOOKUP($B315,Seqs!$A:$B,2,0),Q315,1),"")</f>
        <v>G</v>
      </c>
      <c r="Q315" s="3">
        <v>106</v>
      </c>
      <c r="R315" s="3" t="str">
        <f>IFERROR(MID(VLOOKUP($B315,Seqs!$A:$B,2,0),S315,1),"")</f>
        <v>L</v>
      </c>
      <c r="S315" s="3">
        <v>112</v>
      </c>
      <c r="T315" s="3" t="str">
        <f>IFERROR(MID(VLOOKUP($B315,Seqs!$A:$B,2,0),U315,1),"")</f>
        <v>T</v>
      </c>
      <c r="U315" s="3">
        <v>113</v>
      </c>
      <c r="V315" s="3" t="str">
        <f>IFERROR(MID(VLOOKUP($B315,Seqs!$A:$B,2,0),W315,1),"")</f>
        <v>T</v>
      </c>
      <c r="W315" s="105">
        <v>145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N</v>
      </c>
      <c r="AC315" s="105">
        <v>156</v>
      </c>
      <c r="AD315" s="3" t="str">
        <f>IFERROR(MID(VLOOKUP($B315,Seqs!$A:$B,2,0),AE315,1),"")</f>
        <v>G</v>
      </c>
      <c r="AE315" s="3">
        <v>181</v>
      </c>
      <c r="AF315" s="3" t="str">
        <f>IFERROR(MID(VLOOKUP($B315,Seqs!$A:$B,2,0),AG315,1),"")</f>
        <v/>
      </c>
      <c r="AG315" s="3" t="s">
        <v>23</v>
      </c>
      <c r="AH315" s="3" t="str">
        <f>IFERROR(MID(VLOOKUP($B315,Seqs!$A:$B,2,0),AI315,1),"")</f>
        <v/>
      </c>
      <c r="AI315" s="3" t="s">
        <v>23</v>
      </c>
      <c r="AJ315" s="3" t="str">
        <f>IFERROR(MID(VLOOKUP($B315,Seqs!$A:$B,2,0),AK315,1),"")</f>
        <v>H</v>
      </c>
      <c r="AK315" s="3">
        <v>199</v>
      </c>
      <c r="AL315" s="3" t="str">
        <f>IFERROR(MID(VLOOKUP($B315,Seqs!$A:$B,2,0),AM315,1),"")</f>
        <v>R</v>
      </c>
      <c r="AM315" s="3">
        <v>231</v>
      </c>
      <c r="AN315" s="3" t="str">
        <f>IFERROR(MID(VLOOKUP($B315,Seqs!$A:$B,2,0),AO315,1),"")</f>
        <v>S</v>
      </c>
      <c r="AO315" s="3">
        <v>251</v>
      </c>
      <c r="AP315" s="3" t="str">
        <f>IFERROR(MID(VLOOKUP($B315,Seqs!$A:$B,2,0),AQ315,1),"")</f>
        <v>C</v>
      </c>
      <c r="AQ315" s="3">
        <v>282</v>
      </c>
      <c r="AR315" s="3" t="str">
        <f>IFERROR(MID(VLOOKUP($B315,Seqs!$A:$B,2,0),AS315,1),"")</f>
        <v>D</v>
      </c>
      <c r="AS315" s="3">
        <v>288</v>
      </c>
      <c r="AT315" s="3" t="str">
        <f>IFERROR(MID(VLOOKUP($B315,Seqs!$A:$B,2,0),AU315,1),"")</f>
        <v>T</v>
      </c>
      <c r="AU315" s="3">
        <v>314</v>
      </c>
      <c r="AV315" s="3" t="str">
        <f>IFERROR(MID(VLOOKUP($B315,Seqs!$A:$B,2,0),AW315,1),"")</f>
        <v>N</v>
      </c>
      <c r="AW315" s="3">
        <v>315</v>
      </c>
      <c r="AX315" s="3" t="str">
        <f>IFERROR(MID(VLOOKUP($B315,Seqs!$A:$B,2,0),AY315,1),"")</f>
        <v>I</v>
      </c>
      <c r="AY315" s="3">
        <v>323</v>
      </c>
      <c r="AZ315" s="77" t="str">
        <f>VLOOKUP(B315,Classification!A:D,2,0)</f>
        <v>A</v>
      </c>
      <c r="BA315" s="94" t="str">
        <f>VLOOKUP(B315,Classification!A:D,4,0)</f>
        <v>Lysophospholipid(S1P)</v>
      </c>
      <c r="BB315" s="27" t="b">
        <f t="shared" si="1592"/>
        <v>1</v>
      </c>
      <c r="BC315" s="23">
        <f t="shared" si="1565"/>
        <v>232</v>
      </c>
      <c r="BD315" s="2" t="s">
        <v>1376</v>
      </c>
      <c r="BE315" s="3" t="s">
        <v>1374</v>
      </c>
      <c r="BF315" s="119">
        <v>2.8</v>
      </c>
      <c r="BG315" s="49" t="s">
        <v>1377</v>
      </c>
      <c r="BH315" s="49" t="s">
        <v>1377</v>
      </c>
      <c r="BI315" s="1"/>
      <c r="BJ315" s="70" t="s">
        <v>1287</v>
      </c>
      <c r="BK315" s="57" t="s">
        <v>1287</v>
      </c>
      <c r="BL315" s="57" t="s">
        <v>1287</v>
      </c>
      <c r="BM315" s="57" t="s">
        <v>1287</v>
      </c>
      <c r="BN315" s="57" t="s">
        <v>1287</v>
      </c>
      <c r="BO315" s="57" t="s">
        <v>1287</v>
      </c>
      <c r="BP315" s="57" t="s">
        <v>1287</v>
      </c>
      <c r="BQ315" s="57" t="s">
        <v>1287</v>
      </c>
      <c r="BR315" s="57" t="s">
        <v>1287</v>
      </c>
      <c r="BS315" s="57" t="s">
        <v>1287</v>
      </c>
      <c r="BT315" s="57" t="s">
        <v>1287</v>
      </c>
      <c r="BU315" s="57" t="s">
        <v>1287</v>
      </c>
      <c r="BV315" s="70">
        <f t="shared" si="1566"/>
        <v>42</v>
      </c>
      <c r="BW315" s="71">
        <f t="shared" si="1567"/>
        <v>74</v>
      </c>
      <c r="BX315" s="72">
        <f t="shared" si="1568"/>
        <v>78</v>
      </c>
      <c r="BY315" s="71">
        <f t="shared" si="1569"/>
        <v>106</v>
      </c>
      <c r="BZ315" s="72">
        <f t="shared" si="1570"/>
        <v>113</v>
      </c>
      <c r="CA315" s="71" t="str">
        <f t="shared" si="1571"/>
        <v>-</v>
      </c>
      <c r="CB315" s="72">
        <f t="shared" si="1572"/>
        <v>156</v>
      </c>
      <c r="CC315" s="71" t="str">
        <f t="shared" si="1573"/>
        <v>-</v>
      </c>
      <c r="CD315" s="72">
        <f t="shared" si="1574"/>
        <v>199</v>
      </c>
      <c r="CE315" s="71">
        <f t="shared" si="1575"/>
        <v>251</v>
      </c>
      <c r="CF315" s="72">
        <f t="shared" si="1576"/>
        <v>288</v>
      </c>
      <c r="CG315" s="71">
        <f t="shared" si="1577"/>
        <v>315</v>
      </c>
      <c r="CH315" s="70">
        <f t="shared" si="1578"/>
        <v>73</v>
      </c>
      <c r="CI315" s="71">
        <f t="shared" si="1579"/>
        <v>77</v>
      </c>
      <c r="CJ315" s="72">
        <f t="shared" si="1580"/>
        <v>104</v>
      </c>
      <c r="CK315" s="72">
        <f t="shared" si="1581"/>
        <v>112</v>
      </c>
      <c r="CL315" s="72">
        <f t="shared" si="1582"/>
        <v>145</v>
      </c>
      <c r="CM315" s="72" t="str">
        <f t="shared" si="1583"/>
        <v>-</v>
      </c>
      <c r="CN315" s="72">
        <f t="shared" si="1584"/>
        <v>181</v>
      </c>
      <c r="CO315" s="72" t="str">
        <f t="shared" si="1585"/>
        <v>-</v>
      </c>
      <c r="CP315" s="72">
        <f t="shared" si="1586"/>
        <v>231</v>
      </c>
      <c r="CQ315" s="72">
        <f t="shared" si="1587"/>
        <v>282</v>
      </c>
      <c r="CR315" s="72">
        <f t="shared" si="1588"/>
        <v>314</v>
      </c>
      <c r="CS315" s="72">
        <f t="shared" si="1589"/>
        <v>323</v>
      </c>
      <c r="CT315" s="23">
        <f t="shared" si="1590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1591"/>
        <v>us28_hcmva__wt</v>
      </c>
      <c r="B316" s="3" t="s">
        <v>923</v>
      </c>
      <c r="C316" s="3" t="s">
        <v>100</v>
      </c>
      <c r="D316" s="3" t="str">
        <f>IFERROR(MID(VLOOKUP($B316,Seqs!$A:$B,2,0),E316,1),"")</f>
        <v>F</v>
      </c>
      <c r="E316" s="105">
        <v>25</v>
      </c>
      <c r="F316" s="3" t="str">
        <f>IFERROR(MID(VLOOKUP($B316,Seqs!$A:$B,2,0),G316,1),"")</f>
        <v>R</v>
      </c>
      <c r="G316" s="3">
        <v>61</v>
      </c>
      <c r="H316" s="3" t="str">
        <f>IFERROR(MID(VLOOKUP($B316,Seqs!$A:$B,2,0),I316,1),"")</f>
        <v>R</v>
      </c>
      <c r="I316" s="23">
        <v>62</v>
      </c>
      <c r="J316" s="3" t="str">
        <f>IFERROR(MID(VLOOKUP($B316,Seqs!$A:$B,2,0),K316,1),"")</f>
        <v>Q</v>
      </c>
      <c r="K316" s="23">
        <v>65</v>
      </c>
      <c r="L316" s="3" t="str">
        <f>IFERROR(MID(VLOOKUP($B316,Seqs!$A:$B,2,0),M316,1),"")</f>
        <v>C</v>
      </c>
      <c r="M316" s="3">
        <v>66</v>
      </c>
      <c r="N316" s="3" t="str">
        <f>IFERROR(MID(VLOOKUP($B316,Seqs!$A:$B,2,0),O316,1),"")</f>
        <v>D</v>
      </c>
      <c r="O316" s="3">
        <v>95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A</v>
      </c>
      <c r="U316" s="105">
        <v>100</v>
      </c>
      <c r="V316" s="3" t="str">
        <f>IFERROR(MID(VLOOKUP($B316,Seqs!$A:$B,2,0),W316,1),"")</f>
        <v>V</v>
      </c>
      <c r="W316" s="105">
        <v>134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P</v>
      </c>
      <c r="AC316" s="9">
        <v>140</v>
      </c>
      <c r="AD316" s="3" t="str">
        <f>IFERROR(MID(VLOOKUP($B316,Seqs!$A:$B,2,0),AE316,1),"")</f>
        <v>M</v>
      </c>
      <c r="AE316" s="105">
        <v>164</v>
      </c>
      <c r="AF316" s="3" t="str">
        <f>IFERROR(MID(VLOOKUP($B316,Seqs!$A:$B,2,0),AG316,1),"")</f>
        <v>C</v>
      </c>
      <c r="AG316" s="3">
        <v>173</v>
      </c>
      <c r="AH316" s="3" t="str">
        <f>IFERROR(MID(VLOOKUP($B316,Seqs!$A:$B,2,0),AI316,1),"")</f>
        <v>T</v>
      </c>
      <c r="AI316" s="3">
        <v>175</v>
      </c>
      <c r="AJ316" s="3" t="str">
        <f>IFERROR(MID(VLOOKUP($B316,Seqs!$A:$B,2,0),AK316,1),"")</f>
        <v>S</v>
      </c>
      <c r="AK316" s="105">
        <v>183</v>
      </c>
      <c r="AL316" s="3" t="str">
        <f>IFERROR(MID(VLOOKUP($B316,Seqs!$A:$B,2,0),AM316,1),"")</f>
        <v>S</v>
      </c>
      <c r="AM316" s="3">
        <v>218</v>
      </c>
      <c r="AN316" s="3" t="str">
        <f>IFERROR(MID(VLOOKUP($B316,Seqs!$A:$B,2,0),AO316,1),"")</f>
        <v>H</v>
      </c>
      <c r="AO316" s="3">
        <v>222</v>
      </c>
      <c r="AP316" s="3" t="str">
        <f>IFERROR(MID(VLOOKUP($B316,Seqs!$A:$B,2,0),AQ316,1),"")</f>
        <v>K</v>
      </c>
      <c r="AQ316" s="3">
        <v>257</v>
      </c>
      <c r="AR316" s="3" t="str">
        <f>IFERROR(MID(VLOOKUP($B316,Seqs!$A:$B,2,0),AS316,1),"")</f>
        <v>S</v>
      </c>
      <c r="AS316" s="3">
        <v>262</v>
      </c>
      <c r="AT316" s="3" t="str">
        <f>IFERROR(MID(VLOOKUP($B316,Seqs!$A:$B,2,0),AU316,1),"")</f>
        <v>V</v>
      </c>
      <c r="AU316" s="3">
        <v>294</v>
      </c>
      <c r="AV316" s="3" t="str">
        <f>IFERROR(MID(VLOOKUP($B316,Seqs!$A:$B,2,0),AW316,1),"")</f>
        <v>G</v>
      </c>
      <c r="AW316" s="3">
        <v>295</v>
      </c>
      <c r="AX316" s="3" t="str">
        <f>IFERROR(MID(VLOOKUP($B316,Seqs!$A:$B,2,0),AY316,1),"")</f>
        <v>R</v>
      </c>
      <c r="AY316" s="3">
        <v>310</v>
      </c>
      <c r="AZ316" s="77" t="str">
        <f>VLOOKUP(B316,Classification!A:D,2,0)</f>
        <v>A</v>
      </c>
      <c r="BA316" s="94" t="str">
        <f>VLOOKUP(B316,Classification!A:D,4,0)</f>
        <v>Chemokine</v>
      </c>
      <c r="BB316" s="27" t="b">
        <f t="shared" si="1592"/>
        <v>1</v>
      </c>
      <c r="BC316" s="23">
        <f t="shared" si="1565"/>
        <v>257</v>
      </c>
      <c r="BD316" s="56" t="s">
        <v>23</v>
      </c>
      <c r="BE316" s="3" t="s">
        <v>23</v>
      </c>
      <c r="BF316" s="119" t="s">
        <v>23</v>
      </c>
      <c r="BG316" s="49" t="s">
        <v>1372</v>
      </c>
      <c r="BH316" s="49" t="s">
        <v>1377</v>
      </c>
      <c r="BI316" s="1"/>
      <c r="BJ316" s="70" t="s">
        <v>1287</v>
      </c>
      <c r="BK316" s="57" t="s">
        <v>1287</v>
      </c>
      <c r="BL316" s="57" t="s">
        <v>1287</v>
      </c>
      <c r="BM316" s="57" t="s">
        <v>1287</v>
      </c>
      <c r="BN316" s="57" t="s">
        <v>1287</v>
      </c>
      <c r="BO316" s="57" t="s">
        <v>1287</v>
      </c>
      <c r="BP316" s="57" t="s">
        <v>1287</v>
      </c>
      <c r="BQ316" s="57" t="s">
        <v>1287</v>
      </c>
      <c r="BR316" s="57" t="s">
        <v>1287</v>
      </c>
      <c r="BS316" s="57" t="s">
        <v>1287</v>
      </c>
      <c r="BT316" s="57" t="s">
        <v>1287</v>
      </c>
      <c r="BU316" s="57" t="s">
        <v>1287</v>
      </c>
      <c r="BV316" s="70">
        <f t="shared" si="1566"/>
        <v>25</v>
      </c>
      <c r="BW316" s="71">
        <f t="shared" si="1567"/>
        <v>62</v>
      </c>
      <c r="BX316" s="72">
        <f t="shared" si="1568"/>
        <v>66</v>
      </c>
      <c r="BY316" s="71" t="str">
        <f t="shared" si="1569"/>
        <v>-</v>
      </c>
      <c r="BZ316" s="72">
        <f t="shared" si="1570"/>
        <v>100</v>
      </c>
      <c r="CA316" s="71" t="str">
        <f t="shared" si="1571"/>
        <v>-</v>
      </c>
      <c r="CB316" s="72">
        <f t="shared" si="1572"/>
        <v>140</v>
      </c>
      <c r="CC316" s="71">
        <f t="shared" si="1573"/>
        <v>173</v>
      </c>
      <c r="CD316" s="72">
        <f t="shared" si="1574"/>
        <v>183</v>
      </c>
      <c r="CE316" s="71">
        <f t="shared" si="1575"/>
        <v>222</v>
      </c>
      <c r="CF316" s="72">
        <f t="shared" si="1576"/>
        <v>262</v>
      </c>
      <c r="CG316" s="71">
        <f t="shared" si="1577"/>
        <v>295</v>
      </c>
      <c r="CH316" s="70">
        <f t="shared" si="1578"/>
        <v>61</v>
      </c>
      <c r="CI316" s="71">
        <f t="shared" si="1579"/>
        <v>65</v>
      </c>
      <c r="CJ316" s="72">
        <f t="shared" si="1580"/>
        <v>95</v>
      </c>
      <c r="CK316" s="72" t="str">
        <f t="shared" si="1581"/>
        <v>-</v>
      </c>
      <c r="CL316" s="72">
        <f t="shared" si="1582"/>
        <v>134</v>
      </c>
      <c r="CM316" s="72" t="str">
        <f t="shared" si="1583"/>
        <v>-</v>
      </c>
      <c r="CN316" s="72">
        <f t="shared" si="1584"/>
        <v>164</v>
      </c>
      <c r="CO316" s="72">
        <f t="shared" si="1585"/>
        <v>175</v>
      </c>
      <c r="CP316" s="72">
        <f t="shared" si="1586"/>
        <v>218</v>
      </c>
      <c r="CQ316" s="72">
        <f t="shared" si="1587"/>
        <v>257</v>
      </c>
      <c r="CR316" s="72">
        <f t="shared" si="1588"/>
        <v>294</v>
      </c>
      <c r="CS316" s="72">
        <f t="shared" si="1589"/>
        <v>310</v>
      </c>
      <c r="CT316" s="23">
        <f t="shared" si="1590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1591"/>
        <v>us28_hcmva_4XT1</v>
      </c>
      <c r="B317" s="3" t="s">
        <v>923</v>
      </c>
      <c r="C317" s="3" t="s">
        <v>1123</v>
      </c>
      <c r="D317" s="3" t="str">
        <f>IFERROR(MID(VLOOKUP($B317,Seqs!$A:$B,2,0),E317,1),"")</f>
        <v>F</v>
      </c>
      <c r="E317" s="105">
        <v>25</v>
      </c>
      <c r="F317" s="3" t="str">
        <f>IFERROR(MID(VLOOKUP($B317,Seqs!$A:$B,2,0),G317,1),"")</f>
        <v>R</v>
      </c>
      <c r="G317" s="3">
        <v>61</v>
      </c>
      <c r="H317" s="3" t="str">
        <f>IFERROR(MID(VLOOKUP($B317,Seqs!$A:$B,2,0),I317,1),"")</f>
        <v/>
      </c>
      <c r="I317" s="23" t="s">
        <v>23</v>
      </c>
      <c r="J317" s="3" t="str">
        <f>IFERROR(MID(VLOOKUP($B317,Seqs!$A:$B,2,0),K317,1),"")</f>
        <v/>
      </c>
      <c r="K317" s="23" t="s">
        <v>23</v>
      </c>
      <c r="L317" s="3" t="str">
        <f>IFERROR(MID(VLOOKUP($B317,Seqs!$A:$B,2,0),M317,1),"")</f>
        <v>C</v>
      </c>
      <c r="M317" s="3">
        <v>66</v>
      </c>
      <c r="N317" s="3" t="str">
        <f>IFERROR(MID(VLOOKUP($B317,Seqs!$A:$B,2,0),O317,1),"")</f>
        <v>D</v>
      </c>
      <c r="O317" s="3">
        <v>95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P</v>
      </c>
      <c r="U317" s="3">
        <v>103</v>
      </c>
      <c r="V317" s="3" t="str">
        <f>IFERROR(MID(VLOOKUP($B317,Seqs!$A:$B,2,0),W317,1),"")</f>
        <v>V</v>
      </c>
      <c r="W317" s="105">
        <v>134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P</v>
      </c>
      <c r="AC317" s="9">
        <v>140</v>
      </c>
      <c r="AD317" s="3" t="str">
        <f>IFERROR(MID(VLOOKUP($B317,Seqs!$A:$B,2,0),AE317,1),"")</f>
        <v>M</v>
      </c>
      <c r="AE317" s="105">
        <v>164</v>
      </c>
      <c r="AF317" s="3" t="str">
        <f>IFERROR(MID(VLOOKUP($B317,Seqs!$A:$B,2,0),AG317,1),"")</f>
        <v>C</v>
      </c>
      <c r="AG317" s="3">
        <v>173</v>
      </c>
      <c r="AH317" s="3" t="str">
        <f>IFERROR(MID(VLOOKUP($B317,Seqs!$A:$B,2,0),AI317,1),"")</f>
        <v>T</v>
      </c>
      <c r="AI317" s="3">
        <v>175</v>
      </c>
      <c r="AJ317" s="3" t="str">
        <f>IFERROR(MID(VLOOKUP($B317,Seqs!$A:$B,2,0),AK317,1),"")</f>
        <v>S</v>
      </c>
      <c r="AK317" s="105">
        <v>183</v>
      </c>
      <c r="AL317" s="3" t="str">
        <f>IFERROR(MID(VLOOKUP($B317,Seqs!$A:$B,2,0),AM317,1),"")</f>
        <v>S</v>
      </c>
      <c r="AM317" s="3">
        <v>218</v>
      </c>
      <c r="AN317" s="3" t="str">
        <f>IFERROR(MID(VLOOKUP($B317,Seqs!$A:$B,2,0),AO317,1),"")</f>
        <v>H</v>
      </c>
      <c r="AO317" s="3">
        <v>222</v>
      </c>
      <c r="AP317" s="3" t="str">
        <f>IFERROR(MID(VLOOKUP($B317,Seqs!$A:$B,2,0),AQ317,1),"")</f>
        <v>K</v>
      </c>
      <c r="AQ317" s="3">
        <v>257</v>
      </c>
      <c r="AR317" s="3" t="str">
        <f>IFERROR(MID(VLOOKUP($B317,Seqs!$A:$B,2,0),AS317,1),"")</f>
        <v>C</v>
      </c>
      <c r="AS317" s="3">
        <v>263</v>
      </c>
      <c r="AT317" s="3" t="str">
        <f>IFERROR(MID(VLOOKUP($B317,Seqs!$A:$B,2,0),AU317,1),"")</f>
        <v>V</v>
      </c>
      <c r="AU317" s="3">
        <v>294</v>
      </c>
      <c r="AV317" s="3" t="str">
        <f>IFERROR(MID(VLOOKUP($B317,Seqs!$A:$B,2,0),AW317,1),"")</f>
        <v>G</v>
      </c>
      <c r="AW317" s="3">
        <v>295</v>
      </c>
      <c r="AX317" s="3" t="str">
        <f>IFERROR(MID(VLOOKUP($B317,Seqs!$A:$B,2,0),AY317,1),"")</f>
        <v>R</v>
      </c>
      <c r="AY317" s="3">
        <v>310</v>
      </c>
      <c r="AZ317" s="77" t="str">
        <f>VLOOKUP(B317,Classification!A:D,2,0)</f>
        <v>A</v>
      </c>
      <c r="BA317" s="94" t="str">
        <f>VLOOKUP(B317,Classification!A:D,4,0)</f>
        <v>Chemokine</v>
      </c>
      <c r="BB317" s="27" t="b">
        <f t="shared" si="1592"/>
        <v>1</v>
      </c>
      <c r="BC317" s="23">
        <f t="shared" si="1565"/>
        <v>250</v>
      </c>
      <c r="BD317" s="4" t="s">
        <v>1375</v>
      </c>
      <c r="BE317" s="3" t="s">
        <v>1291</v>
      </c>
      <c r="BF317" s="119">
        <v>2.89</v>
      </c>
      <c r="BG317" s="49" t="s">
        <v>1377</v>
      </c>
      <c r="BH317" s="49" t="s">
        <v>1377</v>
      </c>
      <c r="BI317" s="1"/>
      <c r="BJ317" s="70" t="s">
        <v>1287</v>
      </c>
      <c r="BK317" s="57" t="s">
        <v>1287</v>
      </c>
      <c r="BL317" s="57" t="s">
        <v>1287</v>
      </c>
      <c r="BM317" s="57" t="s">
        <v>1287</v>
      </c>
      <c r="BN317" s="57" t="s">
        <v>1287</v>
      </c>
      <c r="BO317" s="57" t="s">
        <v>1287</v>
      </c>
      <c r="BP317" s="57" t="s">
        <v>1287</v>
      </c>
      <c r="BQ317" s="57" t="s">
        <v>1287</v>
      </c>
      <c r="BR317" s="57" t="s">
        <v>1287</v>
      </c>
      <c r="BS317" s="57" t="s">
        <v>1287</v>
      </c>
      <c r="BT317" s="57" t="s">
        <v>1287</v>
      </c>
      <c r="BU317" s="57" t="s">
        <v>1287</v>
      </c>
      <c r="BV317" s="70">
        <f t="shared" si="1566"/>
        <v>25</v>
      </c>
      <c r="BW317" s="71" t="str">
        <f t="shared" si="1567"/>
        <v>-</v>
      </c>
      <c r="BX317" s="72">
        <f t="shared" si="1568"/>
        <v>66</v>
      </c>
      <c r="BY317" s="71" t="str">
        <f t="shared" si="1569"/>
        <v>-</v>
      </c>
      <c r="BZ317" s="72">
        <f t="shared" si="1570"/>
        <v>103</v>
      </c>
      <c r="CA317" s="71" t="str">
        <f t="shared" si="1571"/>
        <v>-</v>
      </c>
      <c r="CB317" s="72">
        <f t="shared" si="1572"/>
        <v>140</v>
      </c>
      <c r="CC317" s="71">
        <f t="shared" si="1573"/>
        <v>173</v>
      </c>
      <c r="CD317" s="72">
        <f t="shared" si="1574"/>
        <v>183</v>
      </c>
      <c r="CE317" s="71">
        <f t="shared" si="1575"/>
        <v>222</v>
      </c>
      <c r="CF317" s="72">
        <f t="shared" si="1576"/>
        <v>263</v>
      </c>
      <c r="CG317" s="71">
        <f t="shared" si="1577"/>
        <v>295</v>
      </c>
      <c r="CH317" s="70">
        <f t="shared" si="1578"/>
        <v>61</v>
      </c>
      <c r="CI317" s="71" t="str">
        <f t="shared" si="1579"/>
        <v>-</v>
      </c>
      <c r="CJ317" s="72">
        <f t="shared" si="1580"/>
        <v>95</v>
      </c>
      <c r="CK317" s="72" t="str">
        <f t="shared" si="1581"/>
        <v>-</v>
      </c>
      <c r="CL317" s="72">
        <f t="shared" si="1582"/>
        <v>134</v>
      </c>
      <c r="CM317" s="72" t="str">
        <f t="shared" si="1583"/>
        <v>-</v>
      </c>
      <c r="CN317" s="72">
        <f t="shared" si="1584"/>
        <v>164</v>
      </c>
      <c r="CO317" s="72">
        <f t="shared" si="1585"/>
        <v>175</v>
      </c>
      <c r="CP317" s="72">
        <f t="shared" si="1586"/>
        <v>218</v>
      </c>
      <c r="CQ317" s="72">
        <f t="shared" si="1587"/>
        <v>257</v>
      </c>
      <c r="CR317" s="72">
        <f t="shared" si="1588"/>
        <v>294</v>
      </c>
      <c r="CS317" s="72">
        <f t="shared" si="1589"/>
        <v>310</v>
      </c>
      <c r="CT317" s="23" t="e">
        <f t="shared" si="1590"/>
        <v>#VALUE!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1591"/>
        <v>us28_hcmva_4XT3</v>
      </c>
      <c r="B318" s="2" t="s">
        <v>923</v>
      </c>
      <c r="C318" s="3" t="s">
        <v>1371</v>
      </c>
      <c r="D318" s="3" t="str">
        <f>IFERROR(MID(VLOOKUP($B318,Seqs!$A:$B,2,0),E318,1),"")</f>
        <v>F</v>
      </c>
      <c r="E318" s="105">
        <v>25</v>
      </c>
      <c r="F318" s="3" t="str">
        <f>IFERROR(MID(VLOOKUP($B318,Seqs!$A:$B,2,0),G318,1),"")</f>
        <v>R</v>
      </c>
      <c r="G318" s="105">
        <v>62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C</v>
      </c>
      <c r="M318" s="3">
        <v>66</v>
      </c>
      <c r="N318" s="3" t="str">
        <f>IFERROR(MID(VLOOKUP($B318,Seqs!$A:$B,2,0),O318,1),"")</f>
        <v>D</v>
      </c>
      <c r="O318" s="3">
        <v>95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P</v>
      </c>
      <c r="U318" s="3">
        <v>103</v>
      </c>
      <c r="V318" s="3" t="str">
        <f>IFERROR(MID(VLOOKUP($B318,Seqs!$A:$B,2,0),W318,1),"")</f>
        <v>V</v>
      </c>
      <c r="W318" s="105">
        <v>134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P</v>
      </c>
      <c r="AC318" s="9">
        <v>140</v>
      </c>
      <c r="AD318" s="3" t="str">
        <f>IFERROR(MID(VLOOKUP($B318,Seqs!$A:$B,2,0),AE318,1),"")</f>
        <v>M</v>
      </c>
      <c r="AE318" s="105">
        <v>164</v>
      </c>
      <c r="AF318" s="3" t="str">
        <f>IFERROR(MID(VLOOKUP($B318,Seqs!$A:$B,2,0),AG318,1),"")</f>
        <v>C</v>
      </c>
      <c r="AG318" s="3">
        <v>173</v>
      </c>
      <c r="AH318" s="3" t="str">
        <f>IFERROR(MID(VLOOKUP($B318,Seqs!$A:$B,2,0),AI318,1),"")</f>
        <v>T</v>
      </c>
      <c r="AI318" s="3">
        <v>175</v>
      </c>
      <c r="AJ318" s="3" t="str">
        <f>IFERROR(MID(VLOOKUP($B318,Seqs!$A:$B,2,0),AK318,1),"")</f>
        <v>S</v>
      </c>
      <c r="AK318" s="105">
        <v>183</v>
      </c>
      <c r="AL318" s="3" t="str">
        <f>IFERROR(MID(VLOOKUP($B318,Seqs!$A:$B,2,0),AM318,1),"")</f>
        <v>S</v>
      </c>
      <c r="AM318" s="3">
        <v>218</v>
      </c>
      <c r="AN318" s="3" t="str">
        <f>IFERROR(MID(VLOOKUP($B318,Seqs!$A:$B,2,0),AO318,1),"")</f>
        <v>H</v>
      </c>
      <c r="AO318" s="3">
        <v>222</v>
      </c>
      <c r="AP318" s="3" t="str">
        <f>IFERROR(MID(VLOOKUP($B318,Seqs!$A:$B,2,0),AQ318,1),"")</f>
        <v>K</v>
      </c>
      <c r="AQ318" s="3">
        <v>257</v>
      </c>
      <c r="AR318" s="3" t="str">
        <f>IFERROR(MID(VLOOKUP($B318,Seqs!$A:$B,2,0),AS318,1),"")</f>
        <v>C</v>
      </c>
      <c r="AS318" s="3">
        <v>263</v>
      </c>
      <c r="AT318" s="3" t="str">
        <f>IFERROR(MID(VLOOKUP($B318,Seqs!$A:$B,2,0),AU318,1),"")</f>
        <v>V</v>
      </c>
      <c r="AU318" s="3">
        <v>294</v>
      </c>
      <c r="AV318" s="3" t="str">
        <f>IFERROR(MID(VLOOKUP($B318,Seqs!$A:$B,2,0),AW318,1),"")</f>
        <v/>
      </c>
      <c r="AW318" s="3" t="s">
        <v>23</v>
      </c>
      <c r="AX318" s="3" t="str">
        <f>IFERROR(MID(VLOOKUP($B318,Seqs!$A:$B,2,0),AY318,1),"")</f>
        <v/>
      </c>
      <c r="AY318" s="3" t="s">
        <v>23</v>
      </c>
      <c r="AZ318" s="77" t="str">
        <f>VLOOKUP(B318,Classification!A:D,2,0)</f>
        <v>A</v>
      </c>
      <c r="BA318" s="94" t="str">
        <f>VLOOKUP(B318,Classification!A:D,4,0)</f>
        <v>Chemokine</v>
      </c>
      <c r="BB318" s="27" t="b">
        <f t="shared" ref="BB318:BB326" si="1929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:BC326" si="1930">_xlfn.AGGREGATE(9,6,CH318:CS318)-_xlfn.AGGREGATE(9,6,BV318:CG318)+12</f>
        <v>236</v>
      </c>
      <c r="BD318" s="4" t="s">
        <v>23</v>
      </c>
      <c r="BE318" s="3" t="s">
        <v>1291</v>
      </c>
      <c r="BF318" s="119">
        <v>3.8</v>
      </c>
      <c r="BG318" s="49" t="s">
        <v>1377</v>
      </c>
      <c r="BH318" s="49" t="s">
        <v>1377</v>
      </c>
      <c r="BI318" s="1"/>
      <c r="BJ318" s="70" t="s">
        <v>1287</v>
      </c>
      <c r="BK318" s="57" t="s">
        <v>1287</v>
      </c>
      <c r="BL318" s="57" t="s">
        <v>1287</v>
      </c>
      <c r="BM318" s="57" t="s">
        <v>1287</v>
      </c>
      <c r="BN318" s="57" t="s">
        <v>1287</v>
      </c>
      <c r="BO318" s="57" t="s">
        <v>1287</v>
      </c>
      <c r="BP318" s="57" t="s">
        <v>1287</v>
      </c>
      <c r="BQ318" s="57" t="s">
        <v>1287</v>
      </c>
      <c r="BR318" s="57" t="s">
        <v>1287</v>
      </c>
      <c r="BS318" s="57" t="s">
        <v>1287</v>
      </c>
      <c r="BT318" s="57" t="s">
        <v>1287</v>
      </c>
      <c r="BU318" s="57" t="s">
        <v>1287</v>
      </c>
      <c r="BV318" s="70">
        <f t="shared" ref="BV318:BV326" si="1931">E318</f>
        <v>25</v>
      </c>
      <c r="BW318" s="71" t="str">
        <f t="shared" ref="BW318:BW326" si="1932">I318</f>
        <v>-</v>
      </c>
      <c r="BX318" s="72">
        <f t="shared" ref="BX318:BX326" si="1933">M318</f>
        <v>66</v>
      </c>
      <c r="BY318" s="71" t="str">
        <f t="shared" ref="BY318:BY326" si="1934">Q318</f>
        <v>-</v>
      </c>
      <c r="BZ318" s="72">
        <f t="shared" ref="BZ318:BZ326" si="1935">U318</f>
        <v>103</v>
      </c>
      <c r="CA318" s="71" t="str">
        <f t="shared" ref="CA318:CA326" si="1936">Y318</f>
        <v>-</v>
      </c>
      <c r="CB318" s="72">
        <f t="shared" ref="CB318:CB326" si="1937">AC318</f>
        <v>140</v>
      </c>
      <c r="CC318" s="71">
        <f t="shared" ref="CC318:CC326" si="1938">AG318</f>
        <v>173</v>
      </c>
      <c r="CD318" s="72">
        <f t="shared" ref="CD318:CD326" si="1939">AK318</f>
        <v>183</v>
      </c>
      <c r="CE318" s="71">
        <f t="shared" ref="CE318:CE326" si="1940">AO318</f>
        <v>222</v>
      </c>
      <c r="CF318" s="72">
        <f t="shared" ref="CF318:CF326" si="1941">AS318</f>
        <v>263</v>
      </c>
      <c r="CG318" s="71" t="str">
        <f t="shared" ref="CG318:CG326" si="1942">AW318</f>
        <v>-</v>
      </c>
      <c r="CH318" s="70">
        <f t="shared" ref="CH318:CH326" si="1943">G318</f>
        <v>62</v>
      </c>
      <c r="CI318" s="71" t="str">
        <f t="shared" ref="CI318:CI326" si="1944">K318</f>
        <v>-</v>
      </c>
      <c r="CJ318" s="72">
        <f t="shared" ref="CJ318:CJ326" si="1945">O318</f>
        <v>95</v>
      </c>
      <c r="CK318" s="72" t="str">
        <f t="shared" ref="CK318:CK326" si="1946">S318</f>
        <v>-</v>
      </c>
      <c r="CL318" s="72">
        <f t="shared" ref="CL318:CL326" si="1947">W318</f>
        <v>134</v>
      </c>
      <c r="CM318" s="72" t="str">
        <f t="shared" ref="CM318:CM326" si="1948">AA318</f>
        <v>-</v>
      </c>
      <c r="CN318" s="72">
        <f t="shared" ref="CN318:CN326" si="1949">AE318</f>
        <v>164</v>
      </c>
      <c r="CO318" s="72">
        <f t="shared" ref="CO318:CO326" si="1950">AI318</f>
        <v>175</v>
      </c>
      <c r="CP318" s="72">
        <f t="shared" ref="CP318:CP326" si="1951">AM318</f>
        <v>218</v>
      </c>
      <c r="CQ318" s="72">
        <f t="shared" ref="CQ318:CQ326" si="1952">AQ318</f>
        <v>257</v>
      </c>
      <c r="CR318" s="72">
        <f t="shared" ref="CR318:CR326" si="1953">AU318</f>
        <v>294</v>
      </c>
      <c r="CS318" s="72" t="str">
        <f t="shared" ref="CS318:CS326" si="1954">AY318</f>
        <v>-</v>
      </c>
      <c r="CT318" s="23" t="e">
        <f t="shared" ref="CT318:CT326" si="1955">M318-K318</f>
        <v>#VALUE!</v>
      </c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</row>
    <row r="319" spans="1:1030" x14ac:dyDescent="0.2">
      <c r="A319" s="9" t="str">
        <f t="shared" ref="A319:A329" si="1956">CONCATENATE(B319,"_",C319)</f>
        <v>q80km9_hcmv__wt</v>
      </c>
      <c r="B319" s="40" t="s">
        <v>1507</v>
      </c>
      <c r="C319" s="9" t="s">
        <v>100</v>
      </c>
      <c r="D319" s="9" t="str">
        <f>IFERROR(MID(VLOOKUP($B319,Seqs!$A:$B,2,0),E319,1),"")</f>
        <v>F</v>
      </c>
      <c r="E319" s="9">
        <v>25</v>
      </c>
      <c r="F319" s="9" t="str">
        <f>IFERROR(MID(VLOOKUP($B319,Seqs!$A:$B,2,0),G319,1),"")</f>
        <v>R</v>
      </c>
      <c r="G319" s="9">
        <v>61</v>
      </c>
      <c r="H319" s="9" t="str">
        <f>IFERROR(MID(VLOOKUP($B319,Seqs!$A:$B,2,0),I319,1),"")</f>
        <v>R</v>
      </c>
      <c r="I319" s="109">
        <v>62</v>
      </c>
      <c r="J319" s="9" t="str">
        <f>IFERROR(MID(VLOOKUP($B319,Seqs!$A:$B,2,0),K319,1),"")</f>
        <v>Q</v>
      </c>
      <c r="K319" s="109">
        <v>65</v>
      </c>
      <c r="L319" s="9" t="str">
        <f>IFERROR(MID(VLOOKUP($B319,Seqs!$A:$B,2,0),M319,1),"")</f>
        <v>C</v>
      </c>
      <c r="M319" s="9">
        <v>66</v>
      </c>
      <c r="N319" s="9" t="str">
        <f>IFERROR(MID(VLOOKUP($B319,Seqs!$A:$B,2,0),O319,1),"")</f>
        <v>D</v>
      </c>
      <c r="O319" s="9">
        <v>95</v>
      </c>
      <c r="P319" s="9" t="str">
        <f>IFERROR(MID(VLOOKUP($B319,Seqs!$A:$B,2,0),Q319,1),"")</f>
        <v/>
      </c>
      <c r="Q319" s="9" t="s">
        <v>23</v>
      </c>
      <c r="R319" s="9" t="str">
        <f>IFERROR(MID(VLOOKUP($B319,Seqs!$A:$B,2,0),S319,1),"")</f>
        <v/>
      </c>
      <c r="S319" s="9" t="s">
        <v>23</v>
      </c>
      <c r="T319" s="9" t="str">
        <f>IFERROR(MID(VLOOKUP($B319,Seqs!$A:$B,2,0),U319,1),"")</f>
        <v>A</v>
      </c>
      <c r="U319" s="9">
        <v>100</v>
      </c>
      <c r="V319" s="9" t="str">
        <f>IFERROR(MID(VLOOKUP($B319,Seqs!$A:$B,2,0),W319,1),"")</f>
        <v>V</v>
      </c>
      <c r="W319" s="9">
        <v>134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P</v>
      </c>
      <c r="AC319" s="9">
        <v>140</v>
      </c>
      <c r="AD319" s="9" t="str">
        <f>IFERROR(MID(VLOOKUP($B319,Seqs!$A:$B,2,0),AE319,1),"")</f>
        <v>M</v>
      </c>
      <c r="AE319" s="9">
        <v>164</v>
      </c>
      <c r="AF319" s="9" t="str">
        <f>IFERROR(MID(VLOOKUP($B319,Seqs!$A:$B,2,0),AG319,1),"")</f>
        <v>C</v>
      </c>
      <c r="AG319" s="9">
        <v>173</v>
      </c>
      <c r="AH319" s="9" t="str">
        <f>IFERROR(MID(VLOOKUP($B319,Seqs!$A:$B,2,0),AI319,1),"")</f>
        <v>T</v>
      </c>
      <c r="AI319" s="9">
        <v>175</v>
      </c>
      <c r="AJ319" s="9" t="str">
        <f>IFERROR(MID(VLOOKUP($B319,Seqs!$A:$B,2,0),AK319,1),"")</f>
        <v>S</v>
      </c>
      <c r="AK319" s="9">
        <v>183</v>
      </c>
      <c r="AL319" s="9" t="str">
        <f>IFERROR(MID(VLOOKUP($B319,Seqs!$A:$B,2,0),AM319,1),"")</f>
        <v>S</v>
      </c>
      <c r="AM319" s="9">
        <v>218</v>
      </c>
      <c r="AN319" s="9" t="str">
        <f>IFERROR(MID(VLOOKUP($B319,Seqs!$A:$B,2,0),AO319,1),"")</f>
        <v>H</v>
      </c>
      <c r="AO319" s="9">
        <v>222</v>
      </c>
      <c r="AP319" s="9" t="str">
        <f>IFERROR(MID(VLOOKUP($B319,Seqs!$A:$B,2,0),AQ319,1),"")</f>
        <v>K</v>
      </c>
      <c r="AQ319" s="9">
        <v>257</v>
      </c>
      <c r="AR319" s="9" t="str">
        <f>IFERROR(MID(VLOOKUP($B319,Seqs!$A:$B,2,0),AS319,1),"")</f>
        <v>S</v>
      </c>
      <c r="AS319" s="9">
        <v>262</v>
      </c>
      <c r="AT319" s="9" t="str">
        <f>IFERROR(MID(VLOOKUP($B319,Seqs!$A:$B,2,0),AU319,1),"")</f>
        <v>V</v>
      </c>
      <c r="AU319" s="9">
        <v>294</v>
      </c>
      <c r="AV319" s="9" t="str">
        <f>IFERROR(MID(VLOOKUP($B319,Seqs!$A:$B,2,0),AW319,1),"")</f>
        <v>G</v>
      </c>
      <c r="AW319" s="9">
        <v>295</v>
      </c>
      <c r="AX319" s="9" t="str">
        <f>IFERROR(MID(VLOOKUP($B319,Seqs!$A:$B,2,0),AY319,1),"")</f>
        <v>R</v>
      </c>
      <c r="AY319" s="9">
        <v>310</v>
      </c>
      <c r="AZ319" s="110" t="str">
        <f>VLOOKUP(B319,Classification!A:D,2,0)</f>
        <v>A</v>
      </c>
      <c r="BA319" s="98" t="str">
        <f>VLOOKUP(B319,Classification!A:D,4,0)</f>
        <v>Chemokine</v>
      </c>
      <c r="BB319" s="36" t="b">
        <f t="shared" si="1929"/>
        <v>1</v>
      </c>
      <c r="BC319" s="109">
        <f t="shared" si="1930"/>
        <v>257</v>
      </c>
      <c r="BD319" s="11" t="s">
        <v>23</v>
      </c>
      <c r="BE319" s="9" t="s">
        <v>23</v>
      </c>
      <c r="BF319" s="120" t="s">
        <v>23</v>
      </c>
      <c r="BG319" s="51" t="s">
        <v>1377</v>
      </c>
      <c r="BH319" s="51" t="s">
        <v>1377</v>
      </c>
      <c r="BI319" s="12"/>
      <c r="BJ319" s="111" t="s">
        <v>1287</v>
      </c>
      <c r="BK319" s="112" t="s">
        <v>1287</v>
      </c>
      <c r="BL319" s="112" t="s">
        <v>1287</v>
      </c>
      <c r="BM319" s="112" t="s">
        <v>1287</v>
      </c>
      <c r="BN319" s="112" t="s">
        <v>1287</v>
      </c>
      <c r="BO319" s="112" t="s">
        <v>1287</v>
      </c>
      <c r="BP319" s="112" t="s">
        <v>1287</v>
      </c>
      <c r="BQ319" s="112" t="s">
        <v>1287</v>
      </c>
      <c r="BR319" s="112" t="s">
        <v>1287</v>
      </c>
      <c r="BS319" s="112" t="s">
        <v>1287</v>
      </c>
      <c r="BT319" s="112" t="s">
        <v>1287</v>
      </c>
      <c r="BU319" s="112" t="s">
        <v>1287</v>
      </c>
      <c r="BV319" s="111">
        <f t="shared" si="1931"/>
        <v>25</v>
      </c>
      <c r="BW319" s="113">
        <f t="shared" si="1932"/>
        <v>62</v>
      </c>
      <c r="BX319" s="114">
        <f t="shared" si="1933"/>
        <v>66</v>
      </c>
      <c r="BY319" s="113" t="str">
        <f t="shared" si="1934"/>
        <v>-</v>
      </c>
      <c r="BZ319" s="114">
        <f t="shared" si="1935"/>
        <v>100</v>
      </c>
      <c r="CA319" s="113" t="str">
        <f t="shared" si="1936"/>
        <v>-</v>
      </c>
      <c r="CB319" s="114">
        <f t="shared" si="1937"/>
        <v>140</v>
      </c>
      <c r="CC319" s="113">
        <f t="shared" si="1938"/>
        <v>173</v>
      </c>
      <c r="CD319" s="114">
        <f t="shared" si="1939"/>
        <v>183</v>
      </c>
      <c r="CE319" s="113">
        <f t="shared" si="1940"/>
        <v>222</v>
      </c>
      <c r="CF319" s="114">
        <f t="shared" si="1941"/>
        <v>262</v>
      </c>
      <c r="CG319" s="113">
        <f t="shared" si="1942"/>
        <v>295</v>
      </c>
      <c r="CH319" s="111">
        <f t="shared" si="1943"/>
        <v>61</v>
      </c>
      <c r="CI319" s="113">
        <f t="shared" si="1944"/>
        <v>65</v>
      </c>
      <c r="CJ319" s="114">
        <f t="shared" si="1945"/>
        <v>95</v>
      </c>
      <c r="CK319" s="114" t="str">
        <f t="shared" si="1946"/>
        <v>-</v>
      </c>
      <c r="CL319" s="114">
        <f t="shared" si="1947"/>
        <v>134</v>
      </c>
      <c r="CM319" s="114" t="str">
        <f t="shared" si="1948"/>
        <v>-</v>
      </c>
      <c r="CN319" s="114">
        <f t="shared" si="1949"/>
        <v>164</v>
      </c>
      <c r="CO319" s="114">
        <f t="shared" si="1950"/>
        <v>175</v>
      </c>
      <c r="CP319" s="114">
        <f t="shared" si="1951"/>
        <v>218</v>
      </c>
      <c r="CQ319" s="114">
        <f t="shared" si="1952"/>
        <v>257</v>
      </c>
      <c r="CR319" s="114">
        <f t="shared" si="1953"/>
        <v>294</v>
      </c>
      <c r="CS319" s="114">
        <f t="shared" si="1954"/>
        <v>310</v>
      </c>
      <c r="CT319" s="109">
        <f t="shared" si="1955"/>
        <v>1</v>
      </c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6"/>
      <c r="ACQ319" s="6"/>
      <c r="ACR319" s="6"/>
      <c r="ACS319" s="6"/>
      <c r="ACT319" s="6"/>
      <c r="ACU319" s="6"/>
      <c r="ACV319" s="6"/>
      <c r="ACW319" s="6"/>
      <c r="ACX319" s="6"/>
      <c r="ACY319" s="6"/>
      <c r="ACZ319" s="6"/>
      <c r="ADA319" s="6"/>
      <c r="ADB319" s="6"/>
      <c r="ADC319" s="6"/>
      <c r="ADD319" s="6"/>
      <c r="ADE319" s="6"/>
      <c r="ADF319" s="6"/>
      <c r="ADG319" s="6"/>
      <c r="ADH319" s="6"/>
      <c r="ADI319" s="6"/>
      <c r="ADJ319" s="6"/>
      <c r="ADK319" s="6"/>
      <c r="ADL319" s="6"/>
      <c r="ADM319" s="6"/>
      <c r="ADN319" s="6"/>
      <c r="ADO319" s="6"/>
      <c r="ADP319" s="6"/>
      <c r="ADQ319" s="6"/>
      <c r="ADR319" s="6"/>
      <c r="ADS319" s="6"/>
      <c r="ADT319" s="6"/>
      <c r="ADU319" s="6"/>
      <c r="ADV319" s="6"/>
      <c r="ADW319" s="6"/>
      <c r="ADX319" s="6"/>
      <c r="ADY319" s="6"/>
      <c r="ADZ319" s="6"/>
      <c r="AEA319" s="6"/>
      <c r="AEB319" s="6"/>
      <c r="AEC319" s="6"/>
      <c r="AED319" s="6"/>
      <c r="AEE319" s="6"/>
      <c r="AEF319" s="6"/>
      <c r="AEG319" s="6"/>
      <c r="AEH319" s="6"/>
      <c r="AEI319" s="6"/>
      <c r="AEJ319" s="6"/>
      <c r="AEK319" s="6"/>
      <c r="AEL319" s="6"/>
      <c r="AEM319" s="6"/>
      <c r="AEN319" s="6"/>
      <c r="AEO319" s="6"/>
      <c r="AEP319" s="6"/>
      <c r="AEQ319" s="6"/>
      <c r="AER319" s="6"/>
      <c r="AES319" s="6"/>
      <c r="AET319" s="6"/>
      <c r="AEU319" s="6"/>
      <c r="AEV319" s="6"/>
      <c r="AEW319" s="6"/>
      <c r="AEX319" s="6"/>
      <c r="AEY319" s="6"/>
      <c r="AEZ319" s="6"/>
      <c r="AFA319" s="6"/>
      <c r="AFB319" s="6"/>
      <c r="AFC319" s="6"/>
      <c r="AFD319" s="6"/>
      <c r="AFE319" s="6"/>
      <c r="AFF319" s="6"/>
      <c r="AFG319" s="6"/>
      <c r="AFH319" s="6"/>
      <c r="AFI319" s="6"/>
      <c r="AFJ319" s="6"/>
      <c r="AFK319" s="6"/>
      <c r="AFL319" s="6"/>
      <c r="AFM319" s="6"/>
      <c r="AFN319" s="6"/>
      <c r="AFO319" s="6"/>
      <c r="AFP319" s="6"/>
      <c r="AFQ319" s="6"/>
      <c r="AFR319" s="6"/>
      <c r="AFS319" s="6"/>
      <c r="AFT319" s="6"/>
      <c r="AFU319" s="6"/>
      <c r="AFV319" s="6"/>
      <c r="AFW319" s="6"/>
      <c r="AFX319" s="6"/>
      <c r="AFY319" s="6"/>
      <c r="AFZ319" s="6"/>
      <c r="AGA319" s="6"/>
      <c r="AGB319" s="6"/>
      <c r="AGC319" s="6"/>
      <c r="AGD319" s="6"/>
      <c r="AGE319" s="6"/>
      <c r="AGF319" s="6"/>
      <c r="AGG319" s="6"/>
      <c r="AGH319" s="6"/>
      <c r="AGI319" s="6"/>
      <c r="AGJ319" s="6"/>
      <c r="AGK319" s="6"/>
      <c r="AGL319" s="6"/>
      <c r="AGM319" s="6"/>
      <c r="AGN319" s="6"/>
      <c r="AGO319" s="6"/>
      <c r="AGP319" s="6"/>
      <c r="AGQ319" s="6"/>
      <c r="AGR319" s="6"/>
      <c r="AGS319" s="6"/>
      <c r="AGT319" s="6"/>
      <c r="AGU319" s="6"/>
      <c r="AGV319" s="6"/>
      <c r="AGW319" s="6"/>
      <c r="AGX319" s="6"/>
      <c r="AGY319" s="6"/>
      <c r="AGZ319" s="6"/>
      <c r="AHA319" s="6"/>
      <c r="AHB319" s="6"/>
      <c r="AHC319" s="6"/>
      <c r="AHD319" s="6"/>
      <c r="AHE319" s="6"/>
      <c r="AHF319" s="6"/>
      <c r="AHG319" s="6"/>
      <c r="AHH319" s="6"/>
      <c r="AHI319" s="6"/>
      <c r="AHJ319" s="6"/>
      <c r="AHK319" s="6"/>
      <c r="AHL319" s="6"/>
      <c r="AHM319" s="6"/>
      <c r="AHN319" s="6"/>
      <c r="AHO319" s="6"/>
      <c r="AHP319" s="6"/>
      <c r="AHQ319" s="6"/>
      <c r="AHR319" s="6"/>
      <c r="AHS319" s="6"/>
      <c r="AHT319" s="6"/>
      <c r="AHU319" s="6"/>
      <c r="AHV319" s="6"/>
      <c r="AHW319" s="6"/>
      <c r="AHX319" s="6"/>
      <c r="AHY319" s="6"/>
      <c r="AHZ319" s="6"/>
      <c r="AIA319" s="6"/>
      <c r="AIB319" s="6"/>
      <c r="AIC319" s="6"/>
      <c r="AID319" s="6"/>
      <c r="AIE319" s="6"/>
      <c r="AIF319" s="6"/>
      <c r="AIG319" s="6"/>
      <c r="AIH319" s="6"/>
      <c r="AII319" s="6"/>
      <c r="AIJ319" s="6"/>
      <c r="AIK319" s="6"/>
      <c r="AIL319" s="6"/>
      <c r="AIM319" s="6"/>
      <c r="AIN319" s="6"/>
      <c r="AIO319" s="6"/>
      <c r="AIP319" s="6"/>
      <c r="AIQ319" s="6"/>
      <c r="AIR319" s="6"/>
      <c r="AIS319" s="6"/>
      <c r="AIT319" s="6"/>
      <c r="AIU319" s="6"/>
      <c r="AIV319" s="6"/>
      <c r="AIW319" s="6"/>
      <c r="AIX319" s="6"/>
      <c r="AIY319" s="6"/>
      <c r="AIZ319" s="6"/>
      <c r="AJA319" s="6"/>
      <c r="AJB319" s="6"/>
      <c r="AJC319" s="6"/>
      <c r="AJD319" s="6"/>
      <c r="AJE319" s="6"/>
      <c r="AJF319" s="6"/>
      <c r="AJG319" s="6"/>
      <c r="AJH319" s="6"/>
      <c r="AJI319" s="6"/>
      <c r="AJJ319" s="6"/>
      <c r="AJK319" s="6"/>
      <c r="AJL319" s="6"/>
      <c r="AJM319" s="6"/>
      <c r="AJN319" s="6"/>
      <c r="AJO319" s="6"/>
      <c r="AJP319" s="6"/>
      <c r="AJQ319" s="6"/>
      <c r="AJR319" s="6"/>
      <c r="AJS319" s="6"/>
      <c r="AJT319" s="6"/>
      <c r="AJU319" s="6"/>
      <c r="AJV319" s="6"/>
      <c r="AJW319" s="6"/>
      <c r="AJX319" s="6"/>
      <c r="AJY319" s="6"/>
      <c r="AJZ319" s="6"/>
      <c r="AKA319" s="6"/>
      <c r="AKB319" s="6"/>
      <c r="AKC319" s="6"/>
      <c r="AKD319" s="6"/>
      <c r="AKE319" s="6"/>
      <c r="AKF319" s="6"/>
      <c r="AKG319" s="6"/>
      <c r="AKH319" s="6"/>
      <c r="AKI319" s="6"/>
      <c r="AKJ319" s="6"/>
      <c r="AKK319" s="6"/>
      <c r="AKL319" s="6"/>
      <c r="AKM319" s="6"/>
      <c r="AKN319" s="6"/>
      <c r="AKO319" s="6"/>
      <c r="AKP319" s="6"/>
      <c r="AKQ319" s="6"/>
      <c r="AKR319" s="6"/>
      <c r="AKS319" s="6"/>
      <c r="AKT319" s="6"/>
      <c r="AKU319" s="6"/>
      <c r="AKV319" s="6"/>
      <c r="AKW319" s="6"/>
      <c r="AKX319" s="6"/>
      <c r="AKY319" s="6"/>
      <c r="AKZ319" s="6"/>
      <c r="ALA319" s="6"/>
      <c r="ALB319" s="6"/>
      <c r="ALC319" s="6"/>
      <c r="ALD319" s="6"/>
      <c r="ALE319" s="6"/>
      <c r="ALF319" s="6"/>
      <c r="ALG319" s="6"/>
      <c r="ALH319" s="6"/>
      <c r="ALI319" s="6"/>
      <c r="ALJ319" s="6"/>
      <c r="ALK319" s="6"/>
      <c r="ALL319" s="6"/>
      <c r="ALM319" s="6"/>
      <c r="ALN319" s="6"/>
      <c r="ALO319" s="6"/>
      <c r="ALP319" s="6"/>
      <c r="ALQ319" s="6"/>
      <c r="ALR319" s="6"/>
      <c r="ALS319" s="6"/>
      <c r="ALT319" s="6"/>
      <c r="ALU319" s="6"/>
      <c r="ALV319" s="6"/>
      <c r="ALW319" s="6"/>
      <c r="ALX319" s="6"/>
      <c r="ALY319" s="6"/>
      <c r="ALZ319" s="6"/>
      <c r="AMA319" s="6"/>
      <c r="AMB319" s="6"/>
      <c r="AMC319" s="6"/>
      <c r="AMD319" s="6"/>
      <c r="AME319" s="6"/>
      <c r="AMF319" s="6"/>
      <c r="AMG319" s="6"/>
      <c r="AMH319" s="6"/>
      <c r="AMI319" s="6"/>
      <c r="AMJ319" s="6"/>
      <c r="AMK319" s="6"/>
      <c r="AML319" s="6"/>
      <c r="AMM319" s="6"/>
      <c r="AMN319" s="6"/>
      <c r="AMO319" s="6"/>
      <c r="AMP319" s="6"/>
    </row>
    <row r="320" spans="1:1030" x14ac:dyDescent="0.2">
      <c r="A320" s="9" t="str">
        <f t="shared" si="1956"/>
        <v>q80km9_hcmv_5WB1</v>
      </c>
      <c r="B320" s="40" t="s">
        <v>1507</v>
      </c>
      <c r="C320" s="9" t="s">
        <v>1509</v>
      </c>
      <c r="D320" s="9" t="str">
        <f>IFERROR(MID(VLOOKUP($B320,Seqs!$A:$B,2,0),E320,1),"")</f>
        <v>F</v>
      </c>
      <c r="E320" s="9">
        <v>25</v>
      </c>
      <c r="F320" s="9" t="str">
        <f>IFERROR(MID(VLOOKUP($B320,Seqs!$A:$B,2,0),G320,1),"")</f>
        <v>W</v>
      </c>
      <c r="G320" s="9">
        <v>60</v>
      </c>
      <c r="H320" s="9" t="str">
        <f>IFERROR(MID(VLOOKUP($B320,Seqs!$A:$B,2,0),I320,1),"")</f>
        <v/>
      </c>
      <c r="I320" s="109" t="s">
        <v>23</v>
      </c>
      <c r="J320" s="9" t="str">
        <f>IFERROR(MID(VLOOKUP($B320,Seqs!$A:$B,2,0),K320,1),"")</f>
        <v/>
      </c>
      <c r="K320" s="109" t="s">
        <v>23</v>
      </c>
      <c r="L320" s="9" t="str">
        <f>IFERROR(MID(VLOOKUP($B320,Seqs!$A:$B,2,0),M320,1),"")</f>
        <v>C</v>
      </c>
      <c r="M320" s="9">
        <v>66</v>
      </c>
      <c r="N320" s="9" t="str">
        <f>IFERROR(MID(VLOOKUP($B320,Seqs!$A:$B,2,0),O320,1),"")</f>
        <v>D</v>
      </c>
      <c r="O320" s="9">
        <v>95</v>
      </c>
      <c r="P320" s="9" t="str">
        <f>IFERROR(MID(VLOOKUP($B320,Seqs!$A:$B,2,0),Q320,1),"")</f>
        <v/>
      </c>
      <c r="Q320" s="9" t="s">
        <v>23</v>
      </c>
      <c r="R320" s="9" t="str">
        <f>IFERROR(MID(VLOOKUP($B320,Seqs!$A:$B,2,0),S320,1),"")</f>
        <v/>
      </c>
      <c r="S320" s="9" t="s">
        <v>23</v>
      </c>
      <c r="T320" s="9" t="str">
        <f>IFERROR(MID(VLOOKUP($B320,Seqs!$A:$B,2,0),U320,1),"")</f>
        <v>A</v>
      </c>
      <c r="U320" s="9">
        <v>100</v>
      </c>
      <c r="V320" s="9" t="str">
        <f>IFERROR(MID(VLOOKUP($B320,Seqs!$A:$B,2,0),W320,1),"")</f>
        <v>V</v>
      </c>
      <c r="W320" s="9">
        <v>134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P</v>
      </c>
      <c r="AC320" s="9">
        <v>140</v>
      </c>
      <c r="AD320" s="9" t="str">
        <f>IFERROR(MID(VLOOKUP($B320,Seqs!$A:$B,2,0),AE320,1),"")</f>
        <v>M</v>
      </c>
      <c r="AE320" s="9">
        <v>164</v>
      </c>
      <c r="AF320" s="9" t="str">
        <f>IFERROR(MID(VLOOKUP($B320,Seqs!$A:$B,2,0),AG320,1),"")</f>
        <v>C</v>
      </c>
      <c r="AG320" s="9">
        <v>173</v>
      </c>
      <c r="AH320" s="9" t="str">
        <f>IFERROR(MID(VLOOKUP($B320,Seqs!$A:$B,2,0),AI320,1),"")</f>
        <v>T</v>
      </c>
      <c r="AI320" s="9">
        <v>175</v>
      </c>
      <c r="AJ320" s="9" t="str">
        <f>IFERROR(MID(VLOOKUP($B320,Seqs!$A:$B,2,0),AK320,1),"")</f>
        <v>S</v>
      </c>
      <c r="AK320" s="9">
        <v>183</v>
      </c>
      <c r="AL320" s="9" t="str">
        <f>IFERROR(MID(VLOOKUP($B320,Seqs!$A:$B,2,0),AM320,1),"")</f>
        <v>S</v>
      </c>
      <c r="AM320" s="9">
        <v>218</v>
      </c>
      <c r="AN320" s="9" t="str">
        <f>IFERROR(MID(VLOOKUP($B320,Seqs!$A:$B,2,0),AO320,1),"")</f>
        <v>H</v>
      </c>
      <c r="AO320" s="9">
        <v>222</v>
      </c>
      <c r="AP320" s="9" t="str">
        <f>IFERROR(MID(VLOOKUP($B320,Seqs!$A:$B,2,0),AQ320,1),"")</f>
        <v>K</v>
      </c>
      <c r="AQ320" s="9">
        <v>257</v>
      </c>
      <c r="AR320" s="9" t="str">
        <f>IFERROR(MID(VLOOKUP($B320,Seqs!$A:$B,2,0),AS320,1),"")</f>
        <v>S</v>
      </c>
      <c r="AS320" s="9">
        <v>262</v>
      </c>
      <c r="AT320" s="9" t="str">
        <f>IFERROR(MID(VLOOKUP($B320,Seqs!$A:$B,2,0),AU320,1),"")</f>
        <v>V</v>
      </c>
      <c r="AU320" s="9">
        <v>294</v>
      </c>
      <c r="AV320" s="9" t="str">
        <f>IFERROR(MID(VLOOKUP($B320,Seqs!$A:$B,2,0),AW320,1),"")</f>
        <v>G</v>
      </c>
      <c r="AW320" s="9">
        <v>295</v>
      </c>
      <c r="AX320" s="9" t="str">
        <f>IFERROR(MID(VLOOKUP($B320,Seqs!$A:$B,2,0),AY320,1),"")</f>
        <v>R</v>
      </c>
      <c r="AY320" s="9">
        <v>310</v>
      </c>
      <c r="AZ320" s="110" t="str">
        <f>VLOOKUP(B320,Classification!A:D,2,0)</f>
        <v>A</v>
      </c>
      <c r="BA320" s="98" t="str">
        <f>VLOOKUP(B320,Classification!A:D,4,0)</f>
        <v>Chemokine</v>
      </c>
      <c r="BB320" s="36" t="b">
        <f t="shared" si="1929"/>
        <v>1</v>
      </c>
      <c r="BC320" s="109">
        <f t="shared" si="1930"/>
        <v>253</v>
      </c>
      <c r="BD320" s="11" t="s">
        <v>1375</v>
      </c>
      <c r="BE320" s="9" t="s">
        <v>1291</v>
      </c>
      <c r="BF320" s="120">
        <v>3.51</v>
      </c>
      <c r="BG320" s="51" t="s">
        <v>1</v>
      </c>
      <c r="BH320" s="51" t="s">
        <v>1</v>
      </c>
      <c r="BI320" s="12"/>
      <c r="BJ320" s="111" t="s">
        <v>1287</v>
      </c>
      <c r="BK320" s="112" t="s">
        <v>1287</v>
      </c>
      <c r="BL320" s="112" t="s">
        <v>1287</v>
      </c>
      <c r="BM320" s="112" t="s">
        <v>1287</v>
      </c>
      <c r="BN320" s="112" t="s">
        <v>1287</v>
      </c>
      <c r="BO320" s="112" t="s">
        <v>1287</v>
      </c>
      <c r="BP320" s="112" t="s">
        <v>1287</v>
      </c>
      <c r="BQ320" s="112" t="s">
        <v>1287</v>
      </c>
      <c r="BR320" s="112" t="s">
        <v>1287</v>
      </c>
      <c r="BS320" s="112" t="s">
        <v>1287</v>
      </c>
      <c r="BT320" s="112" t="s">
        <v>1287</v>
      </c>
      <c r="BU320" s="112" t="s">
        <v>1287</v>
      </c>
      <c r="BV320" s="111">
        <f t="shared" si="1931"/>
        <v>25</v>
      </c>
      <c r="BW320" s="113" t="str">
        <f t="shared" si="1932"/>
        <v>-</v>
      </c>
      <c r="BX320" s="114">
        <f t="shared" si="1933"/>
        <v>66</v>
      </c>
      <c r="BY320" s="113" t="str">
        <f t="shared" si="1934"/>
        <v>-</v>
      </c>
      <c r="BZ320" s="114">
        <f t="shared" si="1935"/>
        <v>100</v>
      </c>
      <c r="CA320" s="113" t="str">
        <f t="shared" si="1936"/>
        <v>-</v>
      </c>
      <c r="CB320" s="114">
        <f t="shared" si="1937"/>
        <v>140</v>
      </c>
      <c r="CC320" s="113">
        <f t="shared" si="1938"/>
        <v>173</v>
      </c>
      <c r="CD320" s="114">
        <f t="shared" si="1939"/>
        <v>183</v>
      </c>
      <c r="CE320" s="113">
        <f t="shared" si="1940"/>
        <v>222</v>
      </c>
      <c r="CF320" s="114">
        <f t="shared" si="1941"/>
        <v>262</v>
      </c>
      <c r="CG320" s="113">
        <f t="shared" si="1942"/>
        <v>295</v>
      </c>
      <c r="CH320" s="111">
        <f t="shared" si="1943"/>
        <v>60</v>
      </c>
      <c r="CI320" s="113" t="str">
        <f t="shared" si="1944"/>
        <v>-</v>
      </c>
      <c r="CJ320" s="114">
        <f t="shared" si="1945"/>
        <v>95</v>
      </c>
      <c r="CK320" s="114" t="str">
        <f t="shared" si="1946"/>
        <v>-</v>
      </c>
      <c r="CL320" s="114">
        <f t="shared" si="1947"/>
        <v>134</v>
      </c>
      <c r="CM320" s="114" t="str">
        <f t="shared" si="1948"/>
        <v>-</v>
      </c>
      <c r="CN320" s="114">
        <f t="shared" si="1949"/>
        <v>164</v>
      </c>
      <c r="CO320" s="114">
        <f t="shared" si="1950"/>
        <v>175</v>
      </c>
      <c r="CP320" s="114">
        <f t="shared" si="1951"/>
        <v>218</v>
      </c>
      <c r="CQ320" s="114">
        <f t="shared" si="1952"/>
        <v>257</v>
      </c>
      <c r="CR320" s="114">
        <f t="shared" si="1953"/>
        <v>294</v>
      </c>
      <c r="CS320" s="114">
        <f t="shared" si="1954"/>
        <v>310</v>
      </c>
      <c r="CT320" s="109" t="e">
        <f t="shared" si="1955"/>
        <v>#VALUE!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30" x14ac:dyDescent="0.2">
      <c r="A321" s="9" t="str">
        <f t="shared" si="1956"/>
        <v>q80km9_hcmv_5WB2</v>
      </c>
      <c r="B321" s="40" t="s">
        <v>1507</v>
      </c>
      <c r="C321" s="9" t="s">
        <v>1510</v>
      </c>
      <c r="D321" s="9" t="str">
        <f>IFERROR(MID(VLOOKUP($B321,Seqs!$A:$B,2,0),E321,1),"")</f>
        <v>F</v>
      </c>
      <c r="E321" s="9">
        <v>25</v>
      </c>
      <c r="F321" s="9" t="str">
        <f>IFERROR(MID(VLOOKUP($B321,Seqs!$A:$B,2,0),G321,1),"")</f>
        <v>W</v>
      </c>
      <c r="G321" s="9">
        <v>60</v>
      </c>
      <c r="H321" s="9" t="str">
        <f>IFERROR(MID(VLOOKUP($B321,Seqs!$A:$B,2,0),I321,1),"")</f>
        <v/>
      </c>
      <c r="I321" s="109" t="s">
        <v>23</v>
      </c>
      <c r="J321" s="9" t="str">
        <f>IFERROR(MID(VLOOKUP($B321,Seqs!$A:$B,2,0),K321,1),"")</f>
        <v/>
      </c>
      <c r="K321" s="109" t="s">
        <v>23</v>
      </c>
      <c r="L321" s="9" t="str">
        <f>IFERROR(MID(VLOOKUP($B321,Seqs!$A:$B,2,0),M321,1),"")</f>
        <v>C</v>
      </c>
      <c r="M321" s="9">
        <v>66</v>
      </c>
      <c r="N321" s="9" t="str">
        <f>IFERROR(MID(VLOOKUP($B321,Seqs!$A:$B,2,0),O321,1),"")</f>
        <v>D</v>
      </c>
      <c r="O321" s="9">
        <v>95</v>
      </c>
      <c r="P321" s="9" t="str">
        <f>IFERROR(MID(VLOOKUP($B321,Seqs!$A:$B,2,0),Q321,1),"")</f>
        <v/>
      </c>
      <c r="Q321" s="9" t="s">
        <v>23</v>
      </c>
      <c r="R321" s="9" t="str">
        <f>IFERROR(MID(VLOOKUP($B321,Seqs!$A:$B,2,0),S321,1),"")</f>
        <v/>
      </c>
      <c r="S321" s="9" t="s">
        <v>23</v>
      </c>
      <c r="T321" s="9" t="str">
        <f>IFERROR(MID(VLOOKUP($B321,Seqs!$A:$B,2,0),U321,1),"")</f>
        <v>A</v>
      </c>
      <c r="U321" s="9">
        <v>100</v>
      </c>
      <c r="V321" s="9" t="str">
        <f>IFERROR(MID(VLOOKUP($B321,Seqs!$A:$B,2,0),W321,1),"")</f>
        <v>V</v>
      </c>
      <c r="W321" s="9">
        <v>134</v>
      </c>
      <c r="X321" s="9" t="str">
        <f>IFERROR(MID(VLOOKUP($B321,Seqs!$A:$B,2,0),Y321,1),"")</f>
        <v/>
      </c>
      <c r="Y321" s="9" t="s">
        <v>23</v>
      </c>
      <c r="Z321" s="9" t="str">
        <f>IFERROR(MID(VLOOKUP($B321,Seqs!$A:$B,2,0),AA321,1),"")</f>
        <v/>
      </c>
      <c r="AA321" s="9" t="s">
        <v>23</v>
      </c>
      <c r="AB321" s="9" t="str">
        <f>IFERROR(MID(VLOOKUP($B321,Seqs!$A:$B,2,0),AC321,1),"")</f>
        <v>P</v>
      </c>
      <c r="AC321" s="9">
        <v>140</v>
      </c>
      <c r="AD321" s="9" t="str">
        <f>IFERROR(MID(VLOOKUP($B321,Seqs!$A:$B,2,0),AE321,1),"")</f>
        <v>M</v>
      </c>
      <c r="AE321" s="9">
        <v>164</v>
      </c>
      <c r="AF321" s="9" t="str">
        <f>IFERROR(MID(VLOOKUP($B321,Seqs!$A:$B,2,0),AG321,1),"")</f>
        <v>C</v>
      </c>
      <c r="AG321" s="9">
        <v>173</v>
      </c>
      <c r="AH321" s="9" t="str">
        <f>IFERROR(MID(VLOOKUP($B321,Seqs!$A:$B,2,0),AI321,1),"")</f>
        <v>T</v>
      </c>
      <c r="AI321" s="9">
        <v>175</v>
      </c>
      <c r="AJ321" s="9" t="str">
        <f>IFERROR(MID(VLOOKUP($B321,Seqs!$A:$B,2,0),AK321,1),"")</f>
        <v>S</v>
      </c>
      <c r="AK321" s="9">
        <v>183</v>
      </c>
      <c r="AL321" s="9" t="str">
        <f>IFERROR(MID(VLOOKUP($B321,Seqs!$A:$B,2,0),AM321,1),"")</f>
        <v>S</v>
      </c>
      <c r="AM321" s="9">
        <v>218</v>
      </c>
      <c r="AN321" s="9" t="str">
        <f>IFERROR(MID(VLOOKUP($B321,Seqs!$A:$B,2,0),AO321,1),"")</f>
        <v>H</v>
      </c>
      <c r="AO321" s="9">
        <v>222</v>
      </c>
      <c r="AP321" s="9" t="str">
        <f>IFERROR(MID(VLOOKUP($B321,Seqs!$A:$B,2,0),AQ321,1),"")</f>
        <v>K</v>
      </c>
      <c r="AQ321" s="9">
        <v>257</v>
      </c>
      <c r="AR321" s="9" t="str">
        <f>IFERROR(MID(VLOOKUP($B321,Seqs!$A:$B,2,0),AS321,1),"")</f>
        <v>S</v>
      </c>
      <c r="AS321" s="9">
        <v>262</v>
      </c>
      <c r="AT321" s="9" t="str">
        <f>IFERROR(MID(VLOOKUP($B321,Seqs!$A:$B,2,0),AU321,1),"")</f>
        <v>V</v>
      </c>
      <c r="AU321" s="9">
        <v>294</v>
      </c>
      <c r="AV321" s="9" t="str">
        <f>IFERROR(MID(VLOOKUP($B321,Seqs!$A:$B,2,0),AW321,1),"")</f>
        <v>G</v>
      </c>
      <c r="AW321" s="9">
        <v>295</v>
      </c>
      <c r="AX321" s="9" t="str">
        <f>IFERROR(MID(VLOOKUP($B321,Seqs!$A:$B,2,0),AY321,1),"")</f>
        <v>A</v>
      </c>
      <c r="AY321" s="9">
        <v>307</v>
      </c>
      <c r="AZ321" s="110" t="str">
        <f>VLOOKUP(B321,Classification!A:D,2,0)</f>
        <v>A</v>
      </c>
      <c r="BA321" s="98" t="str">
        <f>VLOOKUP(B321,Classification!A:D,4,0)</f>
        <v>Chemokine</v>
      </c>
      <c r="BB321" s="36" t="b">
        <f t="shared" si="1929"/>
        <v>1</v>
      </c>
      <c r="BC321" s="109">
        <f t="shared" si="1930"/>
        <v>250</v>
      </c>
      <c r="BD321" s="11" t="s">
        <v>23</v>
      </c>
      <c r="BE321" s="9" t="s">
        <v>1291</v>
      </c>
      <c r="BF321" s="120">
        <v>3.5</v>
      </c>
      <c r="BG321" s="51" t="s">
        <v>1</v>
      </c>
      <c r="BH321" s="51" t="s">
        <v>1</v>
      </c>
      <c r="BI321" s="12"/>
      <c r="BJ321" s="111" t="s">
        <v>1287</v>
      </c>
      <c r="BK321" s="112" t="s">
        <v>1287</v>
      </c>
      <c r="BL321" s="112" t="s">
        <v>1287</v>
      </c>
      <c r="BM321" s="112" t="s">
        <v>1287</v>
      </c>
      <c r="BN321" s="112" t="s">
        <v>1287</v>
      </c>
      <c r="BO321" s="112" t="s">
        <v>1287</v>
      </c>
      <c r="BP321" s="112" t="s">
        <v>1287</v>
      </c>
      <c r="BQ321" s="112" t="s">
        <v>1287</v>
      </c>
      <c r="BR321" s="112" t="s">
        <v>1287</v>
      </c>
      <c r="BS321" s="112" t="s">
        <v>1287</v>
      </c>
      <c r="BT321" s="112" t="s">
        <v>1287</v>
      </c>
      <c r="BU321" s="112" t="s">
        <v>1287</v>
      </c>
      <c r="BV321" s="111">
        <f t="shared" si="1931"/>
        <v>25</v>
      </c>
      <c r="BW321" s="113" t="str">
        <f t="shared" si="1932"/>
        <v>-</v>
      </c>
      <c r="BX321" s="114">
        <f t="shared" si="1933"/>
        <v>66</v>
      </c>
      <c r="BY321" s="113" t="str">
        <f t="shared" si="1934"/>
        <v>-</v>
      </c>
      <c r="BZ321" s="114">
        <f t="shared" si="1935"/>
        <v>100</v>
      </c>
      <c r="CA321" s="113" t="str">
        <f t="shared" si="1936"/>
        <v>-</v>
      </c>
      <c r="CB321" s="114">
        <f t="shared" si="1937"/>
        <v>140</v>
      </c>
      <c r="CC321" s="113">
        <f t="shared" si="1938"/>
        <v>173</v>
      </c>
      <c r="CD321" s="114">
        <f t="shared" si="1939"/>
        <v>183</v>
      </c>
      <c r="CE321" s="113">
        <f t="shared" si="1940"/>
        <v>222</v>
      </c>
      <c r="CF321" s="114">
        <f t="shared" si="1941"/>
        <v>262</v>
      </c>
      <c r="CG321" s="113">
        <f t="shared" si="1942"/>
        <v>295</v>
      </c>
      <c r="CH321" s="111">
        <f t="shared" si="1943"/>
        <v>60</v>
      </c>
      <c r="CI321" s="113" t="str">
        <f t="shared" si="1944"/>
        <v>-</v>
      </c>
      <c r="CJ321" s="114">
        <f t="shared" si="1945"/>
        <v>95</v>
      </c>
      <c r="CK321" s="114" t="str">
        <f t="shared" si="1946"/>
        <v>-</v>
      </c>
      <c r="CL321" s="114">
        <f t="shared" si="1947"/>
        <v>134</v>
      </c>
      <c r="CM321" s="114" t="str">
        <f t="shared" si="1948"/>
        <v>-</v>
      </c>
      <c r="CN321" s="114">
        <f t="shared" si="1949"/>
        <v>164</v>
      </c>
      <c r="CO321" s="114">
        <f t="shared" si="1950"/>
        <v>175</v>
      </c>
      <c r="CP321" s="114">
        <f t="shared" si="1951"/>
        <v>218</v>
      </c>
      <c r="CQ321" s="114">
        <f t="shared" si="1952"/>
        <v>257</v>
      </c>
      <c r="CR321" s="114">
        <f t="shared" si="1953"/>
        <v>294</v>
      </c>
      <c r="CS321" s="114">
        <f t="shared" si="1954"/>
        <v>307</v>
      </c>
      <c r="CT321" s="109" t="e">
        <f t="shared" si="1955"/>
        <v>#VALUE!</v>
      </c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  <c r="ALU321" s="6"/>
      <c r="ALV321" s="6"/>
      <c r="ALW321" s="6"/>
      <c r="ALX321" s="6"/>
      <c r="ALY321" s="6"/>
      <c r="ALZ321" s="6"/>
      <c r="AMA321" s="6"/>
      <c r="AMB321" s="6"/>
      <c r="AMC321" s="6"/>
      <c r="AMD321" s="6"/>
      <c r="AME321" s="6"/>
      <c r="AMF321" s="6"/>
      <c r="AMG321" s="6"/>
      <c r="AMH321" s="6"/>
      <c r="AMI321" s="6"/>
      <c r="AMJ321" s="6"/>
      <c r="AMK321" s="6"/>
      <c r="AML321" s="6"/>
      <c r="AMM321" s="6"/>
      <c r="AMN321" s="6"/>
      <c r="AMO321" s="6"/>
      <c r="AMP321" s="6"/>
    </row>
    <row r="322" spans="1:1030" x14ac:dyDescent="0.2">
      <c r="A322" s="9" t="str">
        <f t="shared" ref="A322:A323" si="1957">CONCATENATE(B322,"_",C322)</f>
        <v>ta2r_human__wt</v>
      </c>
      <c r="B322" s="40" t="s">
        <v>473</v>
      </c>
      <c r="C322" s="9" t="s">
        <v>100</v>
      </c>
      <c r="D322" s="9" t="str">
        <f>IFERROR(MID(VLOOKUP($B322,Seqs!$A:$B,2,0),E322,1),"")</f>
        <v>S</v>
      </c>
      <c r="E322" s="9">
        <v>27</v>
      </c>
      <c r="F322" s="9" t="str">
        <f>IFERROR(MID(VLOOKUP($B322,Seqs!$A:$B,2,0),G322,1),"")</f>
        <v>Q</v>
      </c>
      <c r="G322" s="9">
        <v>54</v>
      </c>
      <c r="H322" s="9" t="str">
        <f>IFERROR(MID(VLOOKUP($B322,Seqs!$A:$B,2,0),I322,1),"")</f>
        <v/>
      </c>
      <c r="I322" s="109" t="s">
        <v>23</v>
      </c>
      <c r="J322" s="9" t="str">
        <f>IFERROR(MID(VLOOKUP($B322,Seqs!$A:$B,2,0),K322,1),"")</f>
        <v/>
      </c>
      <c r="K322" s="109" t="s">
        <v>23</v>
      </c>
      <c r="L322" s="9" t="str">
        <f>IFERROR(MID(VLOOKUP($B322,Seqs!$A:$B,2,0),M322,1),"")</f>
        <v>S</v>
      </c>
      <c r="M322" s="9">
        <v>61</v>
      </c>
      <c r="N322" s="9" t="str">
        <f>IFERROR(MID(VLOOKUP($B322,Seqs!$A:$B,2,0),O322,1),"")</f>
        <v>A</v>
      </c>
      <c r="O322" s="9">
        <v>91</v>
      </c>
      <c r="P322" s="9" t="str">
        <f>IFERROR(MID(VLOOKUP($B322,Seqs!$A:$B,2,0),Q322,1),"")</f>
        <v>E</v>
      </c>
      <c r="Q322" s="9">
        <v>94</v>
      </c>
      <c r="R322" s="9" t="str">
        <f>IFERROR(MID(VLOOKUP($B322,Seqs!$A:$B,2,0),S322,1),"")</f>
        <v>V</v>
      </c>
      <c r="S322" s="9">
        <v>98</v>
      </c>
      <c r="T322" s="9" t="str">
        <f>IFERROR(MID(VLOOKUP($B322,Seqs!$A:$B,2,0),U322,1),"")</f>
        <v>C</v>
      </c>
      <c r="U322" s="9">
        <v>102</v>
      </c>
      <c r="V322" s="9" t="str">
        <f>IFERROR(MID(VLOOKUP($B322,Seqs!$A:$B,2,0),W322,1),"")</f>
        <v>R</v>
      </c>
      <c r="W322" s="9">
        <v>136</v>
      </c>
      <c r="X322" s="9" t="str">
        <f>IFERROR(MID(VLOOKUP($B322,Seqs!$A:$B,2,0),Y322,1),"")</f>
        <v>P</v>
      </c>
      <c r="Y322" s="9">
        <v>137</v>
      </c>
      <c r="Z322" s="9" t="str">
        <f>IFERROR(MID(VLOOKUP($B322,Seqs!$A:$B,2,0),AA322,1),"")</f>
        <v>A</v>
      </c>
      <c r="AA322" s="9">
        <v>144</v>
      </c>
      <c r="AB322" s="9" t="str">
        <f>IFERROR(MID(VLOOKUP($B322,Seqs!$A:$B,2,0),AC322,1),"")</f>
        <v>S</v>
      </c>
      <c r="AC322" s="9">
        <v>145</v>
      </c>
      <c r="AD322" s="9" t="str">
        <f>IFERROR(MID(VLOOKUP($B322,Seqs!$A:$B,2,0),AE322,1),"")</f>
        <v>G</v>
      </c>
      <c r="AE322" s="9">
        <v>170</v>
      </c>
      <c r="AF322" s="9" t="str">
        <f>IFERROR(MID(VLOOKUP($B322,Seqs!$A:$B,2,0),AG322,1),"")</f>
        <v>C</v>
      </c>
      <c r="AG322" s="9">
        <v>183</v>
      </c>
      <c r="AH322" s="9" t="str">
        <f>IFERROR(MID(VLOOKUP($B322,Seqs!$A:$B,2,0),AI322,1),"")</f>
        <v>L</v>
      </c>
      <c r="AI322" s="9">
        <v>185</v>
      </c>
      <c r="AJ322" s="9" t="str">
        <f>IFERROR(MID(VLOOKUP($B322,Seqs!$A:$B,2,0),AK322,1),"")</f>
        <v>E</v>
      </c>
      <c r="AK322" s="9">
        <v>190</v>
      </c>
      <c r="AL322" s="9" t="str">
        <f>IFERROR(MID(VLOOKUP($B322,Seqs!$A:$B,2,0),AM322,1),"")</f>
        <v>P</v>
      </c>
      <c r="AM322" s="9">
        <v>236</v>
      </c>
      <c r="AN322" s="9" t="str">
        <f>IFERROR(MID(VLOOKUP($B322,Seqs!$A:$B,2,0),AO322,1),"")</f>
        <v>E</v>
      </c>
      <c r="AO322" s="9">
        <v>240</v>
      </c>
      <c r="AP322" s="9" t="str">
        <f>IFERROR(MID(VLOOKUP($B322,Seqs!$A:$B,2,0),AQ322,1),"")</f>
        <v>R</v>
      </c>
      <c r="AQ322" s="9">
        <v>271</v>
      </c>
      <c r="AR322" s="9" t="str">
        <f>IFERROR(MID(VLOOKUP($B322,Seqs!$A:$B,2,0),AS322,1),"")</f>
        <v>S</v>
      </c>
      <c r="AS322" s="9">
        <v>283</v>
      </c>
      <c r="AT322" s="9" t="str">
        <f>IFERROR(MID(VLOOKUP($B322,Seqs!$A:$B,2,0),AU322,1),"")</f>
        <v>F</v>
      </c>
      <c r="AU322" s="9">
        <v>311</v>
      </c>
      <c r="AV322" s="9" t="str">
        <f>IFERROR(MID(VLOOKUP($B322,Seqs!$A:$B,2,0),AW322,1),"")</f>
        <v>R</v>
      </c>
      <c r="AW322" s="9">
        <v>312</v>
      </c>
      <c r="AX322" s="9" t="str">
        <f>IFERROR(MID(VLOOKUP($B322,Seqs!$A:$B,2,0),AY322,1),"")</f>
        <v>S</v>
      </c>
      <c r="AY322" s="9">
        <v>331</v>
      </c>
      <c r="AZ322" s="110" t="str">
        <f>VLOOKUP(B322,Classification!A:D,2,0)</f>
        <v>A</v>
      </c>
      <c r="BA322" s="98" t="str">
        <f>VLOOKUP(B322,Classification!A:D,4,0)</f>
        <v>Prostanoid</v>
      </c>
      <c r="BB322" s="36" t="b">
        <f t="shared" ref="BB322:BB323" si="1958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 t="shared" ref="BC322:BC323" si="1959">_xlfn.AGGREGATE(9,6,CH322:CS322)-_xlfn.AGGREGATE(9,6,BV322:CG322)+12</f>
        <v>265</v>
      </c>
      <c r="BD322" s="11" t="s">
        <v>23</v>
      </c>
      <c r="BE322" s="9" t="s">
        <v>23</v>
      </c>
      <c r="BF322" s="120" t="s">
        <v>23</v>
      </c>
      <c r="BG322" s="51" t="s">
        <v>1</v>
      </c>
      <c r="BH322" s="51" t="s">
        <v>1</v>
      </c>
      <c r="BI322" s="12"/>
      <c r="BJ322" s="111" t="s">
        <v>1287</v>
      </c>
      <c r="BK322" s="112" t="s">
        <v>1287</v>
      </c>
      <c r="BL322" s="112" t="s">
        <v>1287</v>
      </c>
      <c r="BM322" s="112" t="s">
        <v>1287</v>
      </c>
      <c r="BN322" s="112" t="s">
        <v>1287</v>
      </c>
      <c r="BO322" s="112" t="s">
        <v>1287</v>
      </c>
      <c r="BP322" s="112" t="s">
        <v>1287</v>
      </c>
      <c r="BQ322" s="112" t="s">
        <v>1287</v>
      </c>
      <c r="BR322" s="112" t="s">
        <v>1287</v>
      </c>
      <c r="BS322" s="112" t="s">
        <v>1287</v>
      </c>
      <c r="BT322" s="112" t="s">
        <v>1287</v>
      </c>
      <c r="BU322" s="112" t="s">
        <v>1287</v>
      </c>
      <c r="BV322" s="111">
        <f t="shared" ref="BV322:BV323" si="1960">E322</f>
        <v>27</v>
      </c>
      <c r="BW322" s="113" t="str">
        <f t="shared" ref="BW322:BW323" si="1961">I322</f>
        <v>-</v>
      </c>
      <c r="BX322" s="114">
        <f t="shared" ref="BX322:BX323" si="1962">M322</f>
        <v>61</v>
      </c>
      <c r="BY322" s="113">
        <f t="shared" ref="BY322:BY323" si="1963">Q322</f>
        <v>94</v>
      </c>
      <c r="BZ322" s="114">
        <f t="shared" ref="BZ322:BZ323" si="1964">U322</f>
        <v>102</v>
      </c>
      <c r="CA322" s="113">
        <f t="shared" ref="CA322:CA323" si="1965">Y322</f>
        <v>137</v>
      </c>
      <c r="CB322" s="114">
        <f t="shared" ref="CB322:CB323" si="1966">AC322</f>
        <v>145</v>
      </c>
      <c r="CC322" s="113">
        <f t="shared" ref="CC322:CC323" si="1967">AG322</f>
        <v>183</v>
      </c>
      <c r="CD322" s="114">
        <f t="shared" ref="CD322:CD323" si="1968">AK322</f>
        <v>190</v>
      </c>
      <c r="CE322" s="113">
        <f t="shared" ref="CE322:CE323" si="1969">AO322</f>
        <v>240</v>
      </c>
      <c r="CF322" s="114">
        <f t="shared" ref="CF322:CF323" si="1970">AS322</f>
        <v>283</v>
      </c>
      <c r="CG322" s="113">
        <f t="shared" ref="CG322:CG323" si="1971">AW322</f>
        <v>312</v>
      </c>
      <c r="CH322" s="111">
        <f t="shared" ref="CH322:CH323" si="1972">G322</f>
        <v>54</v>
      </c>
      <c r="CI322" s="113" t="str">
        <f t="shared" ref="CI322:CI323" si="1973">K322</f>
        <v>-</v>
      </c>
      <c r="CJ322" s="114">
        <f t="shared" ref="CJ322:CJ323" si="1974">O322</f>
        <v>91</v>
      </c>
      <c r="CK322" s="114">
        <f t="shared" ref="CK322:CK323" si="1975">S322</f>
        <v>98</v>
      </c>
      <c r="CL322" s="114">
        <f t="shared" ref="CL322:CL323" si="1976">W322</f>
        <v>136</v>
      </c>
      <c r="CM322" s="114">
        <f t="shared" ref="CM322:CM323" si="1977">AA322</f>
        <v>144</v>
      </c>
      <c r="CN322" s="114">
        <f t="shared" ref="CN322:CN323" si="1978">AE322</f>
        <v>170</v>
      </c>
      <c r="CO322" s="114">
        <f t="shared" ref="CO322:CO323" si="1979">AI322</f>
        <v>185</v>
      </c>
      <c r="CP322" s="114">
        <f t="shared" ref="CP322:CP323" si="1980">AM322</f>
        <v>236</v>
      </c>
      <c r="CQ322" s="114">
        <f t="shared" ref="CQ322:CQ323" si="1981">AQ322</f>
        <v>271</v>
      </c>
      <c r="CR322" s="114">
        <f t="shared" ref="CR322:CR323" si="1982">AU322</f>
        <v>311</v>
      </c>
      <c r="CS322" s="114">
        <f t="shared" ref="CS322:CS323" si="1983">AY322</f>
        <v>331</v>
      </c>
      <c r="CT322" s="109" t="e">
        <f t="shared" ref="CT322:CT323" si="1984">M322-K322</f>
        <v>#VALUE!</v>
      </c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6"/>
      <c r="ACQ322" s="6"/>
      <c r="ACR322" s="6"/>
      <c r="ACS322" s="6"/>
      <c r="ACT322" s="6"/>
      <c r="ACU322" s="6"/>
      <c r="ACV322" s="6"/>
      <c r="ACW322" s="6"/>
      <c r="ACX322" s="6"/>
      <c r="ACY322" s="6"/>
      <c r="ACZ322" s="6"/>
      <c r="ADA322" s="6"/>
      <c r="ADB322" s="6"/>
      <c r="ADC322" s="6"/>
      <c r="ADD322" s="6"/>
      <c r="ADE322" s="6"/>
      <c r="ADF322" s="6"/>
      <c r="ADG322" s="6"/>
      <c r="ADH322" s="6"/>
      <c r="ADI322" s="6"/>
      <c r="ADJ322" s="6"/>
      <c r="ADK322" s="6"/>
      <c r="ADL322" s="6"/>
      <c r="ADM322" s="6"/>
      <c r="ADN322" s="6"/>
      <c r="ADO322" s="6"/>
      <c r="ADP322" s="6"/>
      <c r="ADQ322" s="6"/>
      <c r="ADR322" s="6"/>
      <c r="ADS322" s="6"/>
      <c r="ADT322" s="6"/>
      <c r="ADU322" s="6"/>
      <c r="ADV322" s="6"/>
      <c r="ADW322" s="6"/>
      <c r="ADX322" s="6"/>
      <c r="ADY322" s="6"/>
      <c r="ADZ322" s="6"/>
      <c r="AEA322" s="6"/>
      <c r="AEB322" s="6"/>
      <c r="AEC322" s="6"/>
      <c r="AED322" s="6"/>
      <c r="AEE322" s="6"/>
      <c r="AEF322" s="6"/>
      <c r="AEG322" s="6"/>
      <c r="AEH322" s="6"/>
      <c r="AEI322" s="6"/>
      <c r="AEJ322" s="6"/>
      <c r="AEK322" s="6"/>
      <c r="AEL322" s="6"/>
      <c r="AEM322" s="6"/>
      <c r="AEN322" s="6"/>
      <c r="AEO322" s="6"/>
      <c r="AEP322" s="6"/>
      <c r="AEQ322" s="6"/>
      <c r="AER322" s="6"/>
      <c r="AES322" s="6"/>
      <c r="AET322" s="6"/>
      <c r="AEU322" s="6"/>
      <c r="AEV322" s="6"/>
      <c r="AEW322" s="6"/>
      <c r="AEX322" s="6"/>
      <c r="AEY322" s="6"/>
      <c r="AEZ322" s="6"/>
      <c r="AFA322" s="6"/>
      <c r="AFB322" s="6"/>
      <c r="AFC322" s="6"/>
      <c r="AFD322" s="6"/>
      <c r="AFE322" s="6"/>
      <c r="AFF322" s="6"/>
      <c r="AFG322" s="6"/>
      <c r="AFH322" s="6"/>
      <c r="AFI322" s="6"/>
      <c r="AFJ322" s="6"/>
      <c r="AFK322" s="6"/>
      <c r="AFL322" s="6"/>
      <c r="AFM322" s="6"/>
      <c r="AFN322" s="6"/>
      <c r="AFO322" s="6"/>
      <c r="AFP322" s="6"/>
      <c r="AFQ322" s="6"/>
      <c r="AFR322" s="6"/>
      <c r="AFS322" s="6"/>
      <c r="AFT322" s="6"/>
      <c r="AFU322" s="6"/>
      <c r="AFV322" s="6"/>
      <c r="AFW322" s="6"/>
      <c r="AFX322" s="6"/>
      <c r="AFY322" s="6"/>
      <c r="AFZ322" s="6"/>
      <c r="AGA322" s="6"/>
      <c r="AGB322" s="6"/>
      <c r="AGC322" s="6"/>
      <c r="AGD322" s="6"/>
      <c r="AGE322" s="6"/>
      <c r="AGF322" s="6"/>
      <c r="AGG322" s="6"/>
      <c r="AGH322" s="6"/>
      <c r="AGI322" s="6"/>
      <c r="AGJ322" s="6"/>
      <c r="AGK322" s="6"/>
      <c r="AGL322" s="6"/>
      <c r="AGM322" s="6"/>
      <c r="AGN322" s="6"/>
      <c r="AGO322" s="6"/>
      <c r="AGP322" s="6"/>
      <c r="AGQ322" s="6"/>
      <c r="AGR322" s="6"/>
      <c r="AGS322" s="6"/>
      <c r="AGT322" s="6"/>
      <c r="AGU322" s="6"/>
      <c r="AGV322" s="6"/>
      <c r="AGW322" s="6"/>
      <c r="AGX322" s="6"/>
      <c r="AGY322" s="6"/>
      <c r="AGZ322" s="6"/>
      <c r="AHA322" s="6"/>
      <c r="AHB322" s="6"/>
      <c r="AHC322" s="6"/>
      <c r="AHD322" s="6"/>
      <c r="AHE322" s="6"/>
      <c r="AHF322" s="6"/>
      <c r="AHG322" s="6"/>
      <c r="AHH322" s="6"/>
      <c r="AHI322" s="6"/>
      <c r="AHJ322" s="6"/>
      <c r="AHK322" s="6"/>
      <c r="AHL322" s="6"/>
      <c r="AHM322" s="6"/>
      <c r="AHN322" s="6"/>
      <c r="AHO322" s="6"/>
      <c r="AHP322" s="6"/>
      <c r="AHQ322" s="6"/>
      <c r="AHR322" s="6"/>
      <c r="AHS322" s="6"/>
      <c r="AHT322" s="6"/>
      <c r="AHU322" s="6"/>
      <c r="AHV322" s="6"/>
      <c r="AHW322" s="6"/>
      <c r="AHX322" s="6"/>
      <c r="AHY322" s="6"/>
      <c r="AHZ322" s="6"/>
      <c r="AIA322" s="6"/>
      <c r="AIB322" s="6"/>
      <c r="AIC322" s="6"/>
      <c r="AID322" s="6"/>
      <c r="AIE322" s="6"/>
      <c r="AIF322" s="6"/>
      <c r="AIG322" s="6"/>
      <c r="AIH322" s="6"/>
      <c r="AII322" s="6"/>
      <c r="AIJ322" s="6"/>
      <c r="AIK322" s="6"/>
      <c r="AIL322" s="6"/>
      <c r="AIM322" s="6"/>
      <c r="AIN322" s="6"/>
      <c r="AIO322" s="6"/>
      <c r="AIP322" s="6"/>
      <c r="AIQ322" s="6"/>
      <c r="AIR322" s="6"/>
      <c r="AIS322" s="6"/>
      <c r="AIT322" s="6"/>
      <c r="AIU322" s="6"/>
      <c r="AIV322" s="6"/>
      <c r="AIW322" s="6"/>
      <c r="AIX322" s="6"/>
      <c r="AIY322" s="6"/>
      <c r="AIZ322" s="6"/>
      <c r="AJA322" s="6"/>
      <c r="AJB322" s="6"/>
      <c r="AJC322" s="6"/>
      <c r="AJD322" s="6"/>
      <c r="AJE322" s="6"/>
      <c r="AJF322" s="6"/>
      <c r="AJG322" s="6"/>
      <c r="AJH322" s="6"/>
      <c r="AJI322" s="6"/>
      <c r="AJJ322" s="6"/>
      <c r="AJK322" s="6"/>
      <c r="AJL322" s="6"/>
      <c r="AJM322" s="6"/>
      <c r="AJN322" s="6"/>
      <c r="AJO322" s="6"/>
      <c r="AJP322" s="6"/>
      <c r="AJQ322" s="6"/>
      <c r="AJR322" s="6"/>
      <c r="AJS322" s="6"/>
      <c r="AJT322" s="6"/>
      <c r="AJU322" s="6"/>
      <c r="AJV322" s="6"/>
      <c r="AJW322" s="6"/>
      <c r="AJX322" s="6"/>
      <c r="AJY322" s="6"/>
      <c r="AJZ322" s="6"/>
      <c r="AKA322" s="6"/>
      <c r="AKB322" s="6"/>
      <c r="AKC322" s="6"/>
      <c r="AKD322" s="6"/>
      <c r="AKE322" s="6"/>
      <c r="AKF322" s="6"/>
      <c r="AKG322" s="6"/>
      <c r="AKH322" s="6"/>
      <c r="AKI322" s="6"/>
      <c r="AKJ322" s="6"/>
      <c r="AKK322" s="6"/>
      <c r="AKL322" s="6"/>
      <c r="AKM322" s="6"/>
      <c r="AKN322" s="6"/>
      <c r="AKO322" s="6"/>
      <c r="AKP322" s="6"/>
      <c r="AKQ322" s="6"/>
      <c r="AKR322" s="6"/>
      <c r="AKS322" s="6"/>
      <c r="AKT322" s="6"/>
      <c r="AKU322" s="6"/>
      <c r="AKV322" s="6"/>
      <c r="AKW322" s="6"/>
      <c r="AKX322" s="6"/>
      <c r="AKY322" s="6"/>
      <c r="AKZ322" s="6"/>
      <c r="ALA322" s="6"/>
      <c r="ALB322" s="6"/>
      <c r="ALC322" s="6"/>
      <c r="ALD322" s="6"/>
      <c r="ALE322" s="6"/>
      <c r="ALF322" s="6"/>
      <c r="ALG322" s="6"/>
      <c r="ALH322" s="6"/>
      <c r="ALI322" s="6"/>
      <c r="ALJ322" s="6"/>
      <c r="ALK322" s="6"/>
      <c r="ALL322" s="6"/>
      <c r="ALM322" s="6"/>
      <c r="ALN322" s="6"/>
      <c r="ALO322" s="6"/>
      <c r="ALP322" s="6"/>
      <c r="ALQ322" s="6"/>
      <c r="ALR322" s="6"/>
      <c r="ALS322" s="6"/>
      <c r="ALT322" s="6"/>
      <c r="ALU322" s="6"/>
      <c r="ALV322" s="6"/>
      <c r="ALW322" s="6"/>
      <c r="ALX322" s="6"/>
      <c r="ALY322" s="6"/>
      <c r="ALZ322" s="6"/>
      <c r="AMA322" s="6"/>
      <c r="AMB322" s="6"/>
      <c r="AMC322" s="6"/>
      <c r="AMD322" s="6"/>
      <c r="AME322" s="6"/>
      <c r="AMF322" s="6"/>
      <c r="AMG322" s="6"/>
      <c r="AMH322" s="6"/>
      <c r="AMI322" s="6"/>
      <c r="AMJ322" s="6"/>
      <c r="AMK322" s="6"/>
      <c r="AML322" s="6"/>
      <c r="AMM322" s="6"/>
      <c r="AMN322" s="6"/>
      <c r="AMO322" s="6"/>
      <c r="AMP322" s="6"/>
    </row>
    <row r="323" spans="1:1030" x14ac:dyDescent="0.2">
      <c r="A323" s="9" t="str">
        <f t="shared" si="1957"/>
        <v>ta2r_human_6IIU</v>
      </c>
      <c r="B323" s="40" t="s">
        <v>473</v>
      </c>
      <c r="C323" s="9" t="s">
        <v>1548</v>
      </c>
      <c r="D323" s="9" t="str">
        <f>IFERROR(MID(VLOOKUP($B323,Seqs!$A:$B,2,0),E323,1),"")</f>
        <v>S</v>
      </c>
      <c r="E323" s="9">
        <v>27</v>
      </c>
      <c r="F323" s="9" t="str">
        <f>IFERROR(MID(VLOOKUP($B323,Seqs!$A:$B,2,0),G323,1),"")</f>
        <v>A</v>
      </c>
      <c r="G323" s="9">
        <v>52</v>
      </c>
      <c r="H323" s="9" t="str">
        <f>IFERROR(MID(VLOOKUP($B323,Seqs!$A:$B,2,0),I323,1),"")</f>
        <v/>
      </c>
      <c r="I323" s="109" t="s">
        <v>23</v>
      </c>
      <c r="J323" s="9" t="str">
        <f>IFERROR(MID(VLOOKUP($B323,Seqs!$A:$B,2,0),K323,1),"")</f>
        <v/>
      </c>
      <c r="K323" s="109" t="s">
        <v>23</v>
      </c>
      <c r="L323" s="9" t="str">
        <f>IFERROR(MID(VLOOKUP($B323,Seqs!$A:$B,2,0),M323,1),"")</f>
        <v>S</v>
      </c>
      <c r="M323" s="9">
        <v>61</v>
      </c>
      <c r="N323" s="9" t="str">
        <f>IFERROR(MID(VLOOKUP($B323,Seqs!$A:$B,2,0),O323,1),"")</f>
        <v>A</v>
      </c>
      <c r="O323" s="9">
        <v>91</v>
      </c>
      <c r="P323" s="9" t="str">
        <f>IFERROR(MID(VLOOKUP($B323,Seqs!$A:$B,2,0),Q323,1),"")</f>
        <v>E</v>
      </c>
      <c r="Q323" s="9">
        <v>94</v>
      </c>
      <c r="R323" s="9" t="str">
        <f>IFERROR(MID(VLOOKUP($B323,Seqs!$A:$B,2,0),S323,1),"")</f>
        <v>V</v>
      </c>
      <c r="S323" s="9">
        <v>98</v>
      </c>
      <c r="T323" s="9" t="str">
        <f>IFERROR(MID(VLOOKUP($B323,Seqs!$A:$B,2,0),U323,1),"")</f>
        <v>C</v>
      </c>
      <c r="U323" s="9">
        <v>102</v>
      </c>
      <c r="V323" s="9" t="str">
        <f>IFERROR(MID(VLOOKUP($B323,Seqs!$A:$B,2,0),W323,1),"")</f>
        <v>R</v>
      </c>
      <c r="W323" s="9">
        <v>136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A</v>
      </c>
      <c r="AC323" s="9">
        <v>142</v>
      </c>
      <c r="AD323" s="9" t="str">
        <f>IFERROR(MID(VLOOKUP($B323,Seqs!$A:$B,2,0),AE323,1),"")</f>
        <v>L</v>
      </c>
      <c r="AE323" s="9">
        <v>169</v>
      </c>
      <c r="AF323" s="9" t="str">
        <f>IFERROR(MID(VLOOKUP($B323,Seqs!$A:$B,2,0),AG323,1),"")</f>
        <v>C</v>
      </c>
      <c r="AG323" s="9">
        <v>183</v>
      </c>
      <c r="AH323" s="9" t="str">
        <f>IFERROR(MID(VLOOKUP($B323,Seqs!$A:$B,2,0),AI323,1),"")</f>
        <v>L</v>
      </c>
      <c r="AI323" s="9">
        <v>185</v>
      </c>
      <c r="AJ323" s="9" t="str">
        <f>IFERROR(MID(VLOOKUP($B323,Seqs!$A:$B,2,0),AK323,1),"")</f>
        <v>E</v>
      </c>
      <c r="AK323" s="9">
        <v>190</v>
      </c>
      <c r="AL323" s="9" t="str">
        <f>IFERROR(MID(VLOOKUP($B323,Seqs!$A:$B,2,0),AM323,1),"")</f>
        <v>Y</v>
      </c>
      <c r="AM323" s="9">
        <v>226</v>
      </c>
      <c r="AN323" s="9" t="str">
        <f>IFERROR(MID(VLOOKUP($B323,Seqs!$A:$B,2,0),AO323,1),"")</f>
        <v>R</v>
      </c>
      <c r="AO323" s="9">
        <v>237</v>
      </c>
      <c r="AP323" s="9" t="str">
        <f>IFERROR(MID(VLOOKUP($B323,Seqs!$A:$B,2,0),AQ323,1),"")</f>
        <v>R</v>
      </c>
      <c r="AQ323" s="9">
        <v>271</v>
      </c>
      <c r="AR323" s="9" t="str">
        <f>IFERROR(MID(VLOOKUP($B323,Seqs!$A:$B,2,0),AS323,1),"")</f>
        <v>S</v>
      </c>
      <c r="AS323" s="9">
        <v>283</v>
      </c>
      <c r="AT323" s="9" t="str">
        <f>IFERROR(MID(VLOOKUP($B323,Seqs!$A:$B,2,0),AU323,1),"")</f>
        <v>F</v>
      </c>
      <c r="AU323" s="9">
        <v>311</v>
      </c>
      <c r="AV323" s="9" t="str">
        <f>IFERROR(MID(VLOOKUP($B323,Seqs!$A:$B,2,0),AW323,1),"")</f>
        <v>R</v>
      </c>
      <c r="AW323" s="9">
        <v>312</v>
      </c>
      <c r="AX323" s="9" t="str">
        <f>IFERROR(MID(VLOOKUP($B323,Seqs!$A:$B,2,0),AY323,1),"")</f>
        <v>Q</v>
      </c>
      <c r="AY323" s="9">
        <v>320</v>
      </c>
      <c r="AZ323" s="110" t="str">
        <f>VLOOKUP(B323,Classification!A:D,2,0)</f>
        <v>A</v>
      </c>
      <c r="BA323" s="98" t="str">
        <f>VLOOKUP(B323,Classification!A:D,4,0)</f>
        <v>Prostanoid</v>
      </c>
      <c r="BB323" s="36" t="b">
        <f t="shared" si="1958"/>
        <v>1</v>
      </c>
      <c r="BC323" s="109">
        <f t="shared" si="1959"/>
        <v>240</v>
      </c>
      <c r="BD323" s="11" t="s">
        <v>23</v>
      </c>
      <c r="BE323" s="9" t="s">
        <v>1374</v>
      </c>
      <c r="BF323" s="120">
        <v>2.5</v>
      </c>
      <c r="BG323" s="51" t="s">
        <v>1</v>
      </c>
      <c r="BH323" s="51" t="s">
        <v>1</v>
      </c>
      <c r="BI323" s="12"/>
      <c r="BJ323" s="111" t="s">
        <v>1287</v>
      </c>
      <c r="BK323" s="112" t="s">
        <v>1287</v>
      </c>
      <c r="BL323" s="112" t="s">
        <v>1287</v>
      </c>
      <c r="BM323" s="112" t="s">
        <v>1287</v>
      </c>
      <c r="BN323" s="112" t="s">
        <v>1287</v>
      </c>
      <c r="BO323" s="112" t="s">
        <v>1287</v>
      </c>
      <c r="BP323" s="112" t="s">
        <v>1287</v>
      </c>
      <c r="BQ323" s="112" t="s">
        <v>1287</v>
      </c>
      <c r="BR323" s="112" t="s">
        <v>1287</v>
      </c>
      <c r="BS323" s="112" t="s">
        <v>1287</v>
      </c>
      <c r="BT323" s="112" t="s">
        <v>1287</v>
      </c>
      <c r="BU323" s="112" t="s">
        <v>1287</v>
      </c>
      <c r="BV323" s="111">
        <f t="shared" si="1960"/>
        <v>27</v>
      </c>
      <c r="BW323" s="113" t="str">
        <f t="shared" si="1961"/>
        <v>-</v>
      </c>
      <c r="BX323" s="114">
        <f t="shared" si="1962"/>
        <v>61</v>
      </c>
      <c r="BY323" s="113">
        <f t="shared" si="1963"/>
        <v>94</v>
      </c>
      <c r="BZ323" s="114">
        <f t="shared" si="1964"/>
        <v>102</v>
      </c>
      <c r="CA323" s="113" t="str">
        <f t="shared" si="1965"/>
        <v>-</v>
      </c>
      <c r="CB323" s="114">
        <f t="shared" si="1966"/>
        <v>142</v>
      </c>
      <c r="CC323" s="113">
        <f t="shared" si="1967"/>
        <v>183</v>
      </c>
      <c r="CD323" s="114">
        <f t="shared" si="1968"/>
        <v>190</v>
      </c>
      <c r="CE323" s="113">
        <f t="shared" si="1969"/>
        <v>237</v>
      </c>
      <c r="CF323" s="114">
        <f t="shared" si="1970"/>
        <v>283</v>
      </c>
      <c r="CG323" s="113">
        <f t="shared" si="1971"/>
        <v>312</v>
      </c>
      <c r="CH323" s="111">
        <f t="shared" si="1972"/>
        <v>52</v>
      </c>
      <c r="CI323" s="113" t="str">
        <f t="shared" si="1973"/>
        <v>-</v>
      </c>
      <c r="CJ323" s="114">
        <f t="shared" si="1974"/>
        <v>91</v>
      </c>
      <c r="CK323" s="114">
        <f t="shared" si="1975"/>
        <v>98</v>
      </c>
      <c r="CL323" s="114">
        <f t="shared" si="1976"/>
        <v>136</v>
      </c>
      <c r="CM323" s="114" t="str">
        <f t="shared" si="1977"/>
        <v>-</v>
      </c>
      <c r="CN323" s="114">
        <f t="shared" si="1978"/>
        <v>169</v>
      </c>
      <c r="CO323" s="114">
        <f t="shared" si="1979"/>
        <v>185</v>
      </c>
      <c r="CP323" s="114">
        <f t="shared" si="1980"/>
        <v>226</v>
      </c>
      <c r="CQ323" s="114">
        <f t="shared" si="1981"/>
        <v>271</v>
      </c>
      <c r="CR323" s="114">
        <f t="shared" si="1982"/>
        <v>311</v>
      </c>
      <c r="CS323" s="114">
        <f t="shared" si="1983"/>
        <v>320</v>
      </c>
      <c r="CT323" s="109" t="e">
        <f t="shared" si="1984"/>
        <v>#VALUE!</v>
      </c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6"/>
      <c r="ACQ323" s="6"/>
      <c r="ACR323" s="6"/>
      <c r="ACS323" s="6"/>
      <c r="ACT323" s="6"/>
      <c r="ACU323" s="6"/>
      <c r="ACV323" s="6"/>
      <c r="ACW323" s="6"/>
      <c r="ACX323" s="6"/>
      <c r="ACY323" s="6"/>
      <c r="ACZ323" s="6"/>
      <c r="ADA323" s="6"/>
      <c r="ADB323" s="6"/>
      <c r="ADC323" s="6"/>
      <c r="ADD323" s="6"/>
      <c r="ADE323" s="6"/>
      <c r="ADF323" s="6"/>
      <c r="ADG323" s="6"/>
      <c r="ADH323" s="6"/>
      <c r="ADI323" s="6"/>
      <c r="ADJ323" s="6"/>
      <c r="ADK323" s="6"/>
      <c r="ADL323" s="6"/>
      <c r="ADM323" s="6"/>
      <c r="ADN323" s="6"/>
      <c r="ADO323" s="6"/>
      <c r="ADP323" s="6"/>
      <c r="ADQ323" s="6"/>
      <c r="ADR323" s="6"/>
      <c r="ADS323" s="6"/>
      <c r="ADT323" s="6"/>
      <c r="ADU323" s="6"/>
      <c r="ADV323" s="6"/>
      <c r="ADW323" s="6"/>
      <c r="ADX323" s="6"/>
      <c r="ADY323" s="6"/>
      <c r="ADZ323" s="6"/>
      <c r="AEA323" s="6"/>
      <c r="AEB323" s="6"/>
      <c r="AEC323" s="6"/>
      <c r="AED323" s="6"/>
      <c r="AEE323" s="6"/>
      <c r="AEF323" s="6"/>
      <c r="AEG323" s="6"/>
      <c r="AEH323" s="6"/>
      <c r="AEI323" s="6"/>
      <c r="AEJ323" s="6"/>
      <c r="AEK323" s="6"/>
      <c r="AEL323" s="6"/>
      <c r="AEM323" s="6"/>
      <c r="AEN323" s="6"/>
      <c r="AEO323" s="6"/>
      <c r="AEP323" s="6"/>
      <c r="AEQ323" s="6"/>
      <c r="AER323" s="6"/>
      <c r="AES323" s="6"/>
      <c r="AET323" s="6"/>
      <c r="AEU323" s="6"/>
      <c r="AEV323" s="6"/>
      <c r="AEW323" s="6"/>
      <c r="AEX323" s="6"/>
      <c r="AEY323" s="6"/>
      <c r="AEZ323" s="6"/>
      <c r="AFA323" s="6"/>
      <c r="AFB323" s="6"/>
      <c r="AFC323" s="6"/>
      <c r="AFD323" s="6"/>
      <c r="AFE323" s="6"/>
      <c r="AFF323" s="6"/>
      <c r="AFG323" s="6"/>
      <c r="AFH323" s="6"/>
      <c r="AFI323" s="6"/>
      <c r="AFJ323" s="6"/>
      <c r="AFK323" s="6"/>
      <c r="AFL323" s="6"/>
      <c r="AFM323" s="6"/>
      <c r="AFN323" s="6"/>
      <c r="AFO323" s="6"/>
      <c r="AFP323" s="6"/>
      <c r="AFQ323" s="6"/>
      <c r="AFR323" s="6"/>
      <c r="AFS323" s="6"/>
      <c r="AFT323" s="6"/>
      <c r="AFU323" s="6"/>
      <c r="AFV323" s="6"/>
      <c r="AFW323" s="6"/>
      <c r="AFX323" s="6"/>
      <c r="AFY323" s="6"/>
      <c r="AFZ323" s="6"/>
      <c r="AGA323" s="6"/>
      <c r="AGB323" s="6"/>
      <c r="AGC323" s="6"/>
      <c r="AGD323" s="6"/>
      <c r="AGE323" s="6"/>
      <c r="AGF323" s="6"/>
      <c r="AGG323" s="6"/>
      <c r="AGH323" s="6"/>
      <c r="AGI323" s="6"/>
      <c r="AGJ323" s="6"/>
      <c r="AGK323" s="6"/>
      <c r="AGL323" s="6"/>
      <c r="AGM323" s="6"/>
      <c r="AGN323" s="6"/>
      <c r="AGO323" s="6"/>
      <c r="AGP323" s="6"/>
      <c r="AGQ323" s="6"/>
      <c r="AGR323" s="6"/>
      <c r="AGS323" s="6"/>
      <c r="AGT323" s="6"/>
      <c r="AGU323" s="6"/>
      <c r="AGV323" s="6"/>
      <c r="AGW323" s="6"/>
      <c r="AGX323" s="6"/>
      <c r="AGY323" s="6"/>
      <c r="AGZ323" s="6"/>
      <c r="AHA323" s="6"/>
      <c r="AHB323" s="6"/>
      <c r="AHC323" s="6"/>
      <c r="AHD323" s="6"/>
      <c r="AHE323" s="6"/>
      <c r="AHF323" s="6"/>
      <c r="AHG323" s="6"/>
      <c r="AHH323" s="6"/>
      <c r="AHI323" s="6"/>
      <c r="AHJ323" s="6"/>
      <c r="AHK323" s="6"/>
      <c r="AHL323" s="6"/>
      <c r="AHM323" s="6"/>
      <c r="AHN323" s="6"/>
      <c r="AHO323" s="6"/>
      <c r="AHP323" s="6"/>
      <c r="AHQ323" s="6"/>
      <c r="AHR323" s="6"/>
      <c r="AHS323" s="6"/>
      <c r="AHT323" s="6"/>
      <c r="AHU323" s="6"/>
      <c r="AHV323" s="6"/>
      <c r="AHW323" s="6"/>
      <c r="AHX323" s="6"/>
      <c r="AHY323" s="6"/>
      <c r="AHZ323" s="6"/>
      <c r="AIA323" s="6"/>
      <c r="AIB323" s="6"/>
      <c r="AIC323" s="6"/>
      <c r="AID323" s="6"/>
      <c r="AIE323" s="6"/>
      <c r="AIF323" s="6"/>
      <c r="AIG323" s="6"/>
      <c r="AIH323" s="6"/>
      <c r="AII323" s="6"/>
      <c r="AIJ323" s="6"/>
      <c r="AIK323" s="6"/>
      <c r="AIL323" s="6"/>
      <c r="AIM323" s="6"/>
      <c r="AIN323" s="6"/>
      <c r="AIO323" s="6"/>
      <c r="AIP323" s="6"/>
      <c r="AIQ323" s="6"/>
      <c r="AIR323" s="6"/>
      <c r="AIS323" s="6"/>
      <c r="AIT323" s="6"/>
      <c r="AIU323" s="6"/>
      <c r="AIV323" s="6"/>
      <c r="AIW323" s="6"/>
      <c r="AIX323" s="6"/>
      <c r="AIY323" s="6"/>
      <c r="AIZ323" s="6"/>
      <c r="AJA323" s="6"/>
      <c r="AJB323" s="6"/>
      <c r="AJC323" s="6"/>
      <c r="AJD323" s="6"/>
      <c r="AJE323" s="6"/>
      <c r="AJF323" s="6"/>
      <c r="AJG323" s="6"/>
      <c r="AJH323" s="6"/>
      <c r="AJI323" s="6"/>
      <c r="AJJ323" s="6"/>
      <c r="AJK323" s="6"/>
      <c r="AJL323" s="6"/>
      <c r="AJM323" s="6"/>
      <c r="AJN323" s="6"/>
      <c r="AJO323" s="6"/>
      <c r="AJP323" s="6"/>
      <c r="AJQ323" s="6"/>
      <c r="AJR323" s="6"/>
      <c r="AJS323" s="6"/>
      <c r="AJT323" s="6"/>
      <c r="AJU323" s="6"/>
      <c r="AJV323" s="6"/>
      <c r="AJW323" s="6"/>
      <c r="AJX323" s="6"/>
      <c r="AJY323" s="6"/>
      <c r="AJZ323" s="6"/>
      <c r="AKA323" s="6"/>
      <c r="AKB323" s="6"/>
      <c r="AKC323" s="6"/>
      <c r="AKD323" s="6"/>
      <c r="AKE323" s="6"/>
      <c r="AKF323" s="6"/>
      <c r="AKG323" s="6"/>
      <c r="AKH323" s="6"/>
      <c r="AKI323" s="6"/>
      <c r="AKJ323" s="6"/>
      <c r="AKK323" s="6"/>
      <c r="AKL323" s="6"/>
      <c r="AKM323" s="6"/>
      <c r="AKN323" s="6"/>
      <c r="AKO323" s="6"/>
      <c r="AKP323" s="6"/>
      <c r="AKQ323" s="6"/>
      <c r="AKR323" s="6"/>
      <c r="AKS323" s="6"/>
      <c r="AKT323" s="6"/>
      <c r="AKU323" s="6"/>
      <c r="AKV323" s="6"/>
      <c r="AKW323" s="6"/>
      <c r="AKX323" s="6"/>
      <c r="AKY323" s="6"/>
      <c r="AKZ323" s="6"/>
      <c r="ALA323" s="6"/>
      <c r="ALB323" s="6"/>
      <c r="ALC323" s="6"/>
      <c r="ALD323" s="6"/>
      <c r="ALE323" s="6"/>
      <c r="ALF323" s="6"/>
      <c r="ALG323" s="6"/>
      <c r="ALH323" s="6"/>
      <c r="ALI323" s="6"/>
      <c r="ALJ323" s="6"/>
      <c r="ALK323" s="6"/>
      <c r="ALL323" s="6"/>
      <c r="ALM323" s="6"/>
      <c r="ALN323" s="6"/>
      <c r="ALO323" s="6"/>
      <c r="ALP323" s="6"/>
      <c r="ALQ323" s="6"/>
      <c r="ALR323" s="6"/>
      <c r="ALS323" s="6"/>
      <c r="ALT323" s="6"/>
      <c r="ALU323" s="6"/>
      <c r="ALV323" s="6"/>
      <c r="ALW323" s="6"/>
      <c r="ALX323" s="6"/>
      <c r="ALY323" s="6"/>
      <c r="ALZ323" s="6"/>
      <c r="AMA323" s="6"/>
      <c r="AMB323" s="6"/>
      <c r="AMC323" s="6"/>
      <c r="AMD323" s="6"/>
      <c r="AME323" s="6"/>
      <c r="AMF323" s="6"/>
      <c r="AMG323" s="6"/>
      <c r="AMH323" s="6"/>
      <c r="AMI323" s="6"/>
      <c r="AMJ323" s="6"/>
      <c r="AMK323" s="6"/>
      <c r="AML323" s="6"/>
      <c r="AMM323" s="6"/>
      <c r="AMN323" s="6"/>
      <c r="AMO323" s="6"/>
      <c r="AMP323" s="6"/>
    </row>
    <row r="324" spans="1:1030" x14ac:dyDescent="0.2">
      <c r="A324" s="9" t="str">
        <f t="shared" ref="A324" si="1985">CONCATENATE(B324,"_",C324)</f>
        <v>ta2r_human_6IIV</v>
      </c>
      <c r="B324" s="40" t="s">
        <v>473</v>
      </c>
      <c r="C324" s="9" t="s">
        <v>1549</v>
      </c>
      <c r="D324" s="9" t="str">
        <f>IFERROR(MID(VLOOKUP($B324,Seqs!$A:$B,2,0),E324,1),"")</f>
        <v>S</v>
      </c>
      <c r="E324" s="9">
        <v>27</v>
      </c>
      <c r="F324" s="9" t="str">
        <f>IFERROR(MID(VLOOKUP($B324,Seqs!$A:$B,2,0),G324,1),"")</f>
        <v>R</v>
      </c>
      <c r="G324" s="9">
        <v>53</v>
      </c>
      <c r="H324" s="9" t="str">
        <f>IFERROR(MID(VLOOKUP($B324,Seqs!$A:$B,2,0),I324,1),"")</f>
        <v/>
      </c>
      <c r="I324" s="109" t="s">
        <v>23</v>
      </c>
      <c r="J324" s="9" t="str">
        <f>IFERROR(MID(VLOOKUP($B324,Seqs!$A:$B,2,0),K324,1),"")</f>
        <v/>
      </c>
      <c r="K324" s="109" t="s">
        <v>23</v>
      </c>
      <c r="L324" s="9" t="str">
        <f>IFERROR(MID(VLOOKUP($B324,Seqs!$A:$B,2,0),M324,1),"")</f>
        <v>S</v>
      </c>
      <c r="M324" s="9">
        <v>61</v>
      </c>
      <c r="N324" s="9" t="str">
        <f>IFERROR(MID(VLOOKUP($B324,Seqs!$A:$B,2,0),O324,1),"")</f>
        <v>A</v>
      </c>
      <c r="O324" s="9">
        <v>91</v>
      </c>
      <c r="P324" s="9" t="str">
        <f>IFERROR(MID(VLOOKUP($B324,Seqs!$A:$B,2,0),Q324,1),"")</f>
        <v>E</v>
      </c>
      <c r="Q324" s="9">
        <v>94</v>
      </c>
      <c r="R324" s="9" t="str">
        <f>IFERROR(MID(VLOOKUP($B324,Seqs!$A:$B,2,0),S324,1),"")</f>
        <v>V</v>
      </c>
      <c r="S324" s="9">
        <v>98</v>
      </c>
      <c r="T324" s="9" t="str">
        <f>IFERROR(MID(VLOOKUP($B324,Seqs!$A:$B,2,0),U324,1),"")</f>
        <v>C</v>
      </c>
      <c r="U324" s="9">
        <v>102</v>
      </c>
      <c r="V324" s="9" t="str">
        <f>IFERROR(MID(VLOOKUP($B324,Seqs!$A:$B,2,0),W324,1),"")</f>
        <v>R</v>
      </c>
      <c r="W324" s="9">
        <v>136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P</v>
      </c>
      <c r="AC324" s="9">
        <v>141</v>
      </c>
      <c r="AD324" s="9" t="str">
        <f>IFERROR(MID(VLOOKUP($B324,Seqs!$A:$B,2,0),AE324,1),"")</f>
        <v>G</v>
      </c>
      <c r="AE324" s="9">
        <v>170</v>
      </c>
      <c r="AF324" s="9" t="str">
        <f>IFERROR(MID(VLOOKUP($B324,Seqs!$A:$B,2,0),AG324,1),"")</f>
        <v>C</v>
      </c>
      <c r="AG324" s="9">
        <v>183</v>
      </c>
      <c r="AH324" s="9" t="str">
        <f>IFERROR(MID(VLOOKUP($B324,Seqs!$A:$B,2,0),AI324,1),"")</f>
        <v>L</v>
      </c>
      <c r="AI324" s="9">
        <v>185</v>
      </c>
      <c r="AJ324" s="9" t="str">
        <f>IFERROR(MID(VLOOKUP($B324,Seqs!$A:$B,2,0),AK324,1),"")</f>
        <v>E</v>
      </c>
      <c r="AK324" s="9">
        <v>190</v>
      </c>
      <c r="AL324" s="9" t="str">
        <f>IFERROR(MID(VLOOKUP($B324,Seqs!$A:$B,2,0),AM324,1),"")</f>
        <v>Y</v>
      </c>
      <c r="AM324" s="9">
        <v>226</v>
      </c>
      <c r="AN324" s="9" t="str">
        <f>IFERROR(MID(VLOOKUP($B324,Seqs!$A:$B,2,0),AO324,1),"")</f>
        <v>R</v>
      </c>
      <c r="AO324" s="9">
        <v>237</v>
      </c>
      <c r="AP324" s="9" t="str">
        <f>IFERROR(MID(VLOOKUP($B324,Seqs!$A:$B,2,0),AQ324,1),"")</f>
        <v>R</v>
      </c>
      <c r="AQ324" s="9">
        <v>271</v>
      </c>
      <c r="AR324" s="9" t="str">
        <f>IFERROR(MID(VLOOKUP($B324,Seqs!$A:$B,2,0),AS324,1),"")</f>
        <v>S</v>
      </c>
      <c r="AS324" s="9">
        <v>283</v>
      </c>
      <c r="AT324" s="9" t="str">
        <f>IFERROR(MID(VLOOKUP($B324,Seqs!$A:$B,2,0),AU324,1),"")</f>
        <v>F</v>
      </c>
      <c r="AU324" s="9">
        <v>311</v>
      </c>
      <c r="AV324" s="9" t="str">
        <f>IFERROR(MID(VLOOKUP($B324,Seqs!$A:$B,2,0),AW324,1),"")</f>
        <v>R</v>
      </c>
      <c r="AW324" s="9">
        <v>312</v>
      </c>
      <c r="AX324" s="9" t="str">
        <f>IFERROR(MID(VLOOKUP($B324,Seqs!$A:$B,2,0),AY324,1),"")</f>
        <v>L</v>
      </c>
      <c r="AY324" s="9">
        <v>319</v>
      </c>
      <c r="AZ324" s="110" t="str">
        <f>VLOOKUP(B324,Classification!A:D,2,0)</f>
        <v>A</v>
      </c>
      <c r="BA324" s="98" t="str">
        <f>VLOOKUP(B324,Classification!A:D,4,0)</f>
        <v>Prostanoid</v>
      </c>
      <c r="BB324" s="36" t="b">
        <f t="shared" ref="BB324" si="1986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 t="shared" ref="BC324" si="1987">_xlfn.AGGREGATE(9,6,CH324:CS324)-_xlfn.AGGREGATE(9,6,BV324:CG324)+12</f>
        <v>242</v>
      </c>
      <c r="BD324" s="11" t="s">
        <v>1376</v>
      </c>
      <c r="BE324" s="9" t="s">
        <v>1374</v>
      </c>
      <c r="BF324" s="120">
        <v>3</v>
      </c>
      <c r="BG324" s="51" t="s">
        <v>1</v>
      </c>
      <c r="BH324" s="51" t="s">
        <v>1</v>
      </c>
      <c r="BI324" s="12"/>
      <c r="BJ324" s="111" t="s">
        <v>1287</v>
      </c>
      <c r="BK324" s="112" t="s">
        <v>1287</v>
      </c>
      <c r="BL324" s="112" t="s">
        <v>1287</v>
      </c>
      <c r="BM324" s="112" t="s">
        <v>1287</v>
      </c>
      <c r="BN324" s="112" t="s">
        <v>1287</v>
      </c>
      <c r="BO324" s="112" t="s">
        <v>1287</v>
      </c>
      <c r="BP324" s="112" t="s">
        <v>1287</v>
      </c>
      <c r="BQ324" s="112" t="s">
        <v>1287</v>
      </c>
      <c r="BR324" s="112" t="s">
        <v>1287</v>
      </c>
      <c r="BS324" s="112" t="s">
        <v>1287</v>
      </c>
      <c r="BT324" s="112" t="s">
        <v>1287</v>
      </c>
      <c r="BU324" s="112" t="s">
        <v>1287</v>
      </c>
      <c r="BV324" s="111">
        <f t="shared" ref="BV324" si="1988">E324</f>
        <v>27</v>
      </c>
      <c r="BW324" s="113" t="str">
        <f t="shared" ref="BW324" si="1989">I324</f>
        <v>-</v>
      </c>
      <c r="BX324" s="114">
        <f t="shared" ref="BX324" si="1990">M324</f>
        <v>61</v>
      </c>
      <c r="BY324" s="113">
        <f t="shared" ref="BY324" si="1991">Q324</f>
        <v>94</v>
      </c>
      <c r="BZ324" s="114">
        <f t="shared" ref="BZ324" si="1992">U324</f>
        <v>102</v>
      </c>
      <c r="CA324" s="113" t="str">
        <f t="shared" ref="CA324" si="1993">Y324</f>
        <v>-</v>
      </c>
      <c r="CB324" s="114">
        <f t="shared" ref="CB324" si="1994">AC324</f>
        <v>141</v>
      </c>
      <c r="CC324" s="113">
        <f t="shared" ref="CC324" si="1995">AG324</f>
        <v>183</v>
      </c>
      <c r="CD324" s="114">
        <f t="shared" ref="CD324" si="1996">AK324</f>
        <v>190</v>
      </c>
      <c r="CE324" s="113">
        <f t="shared" ref="CE324" si="1997">AO324</f>
        <v>237</v>
      </c>
      <c r="CF324" s="114">
        <f t="shared" ref="CF324" si="1998">AS324</f>
        <v>283</v>
      </c>
      <c r="CG324" s="113">
        <f t="shared" ref="CG324" si="1999">AW324</f>
        <v>312</v>
      </c>
      <c r="CH324" s="111">
        <f t="shared" ref="CH324" si="2000">G324</f>
        <v>53</v>
      </c>
      <c r="CI324" s="113" t="str">
        <f t="shared" ref="CI324" si="2001">K324</f>
        <v>-</v>
      </c>
      <c r="CJ324" s="114">
        <f t="shared" ref="CJ324" si="2002">O324</f>
        <v>91</v>
      </c>
      <c r="CK324" s="114">
        <f t="shared" ref="CK324" si="2003">S324</f>
        <v>98</v>
      </c>
      <c r="CL324" s="114">
        <f t="shared" ref="CL324" si="2004">W324</f>
        <v>136</v>
      </c>
      <c r="CM324" s="114" t="str">
        <f t="shared" ref="CM324" si="2005">AA324</f>
        <v>-</v>
      </c>
      <c r="CN324" s="114">
        <f t="shared" ref="CN324" si="2006">AE324</f>
        <v>170</v>
      </c>
      <c r="CO324" s="114">
        <f t="shared" ref="CO324" si="2007">AI324</f>
        <v>185</v>
      </c>
      <c r="CP324" s="114">
        <f t="shared" ref="CP324" si="2008">AM324</f>
        <v>226</v>
      </c>
      <c r="CQ324" s="114">
        <f t="shared" ref="CQ324" si="2009">AQ324</f>
        <v>271</v>
      </c>
      <c r="CR324" s="114">
        <f t="shared" ref="CR324" si="2010">AU324</f>
        <v>311</v>
      </c>
      <c r="CS324" s="114">
        <f t="shared" ref="CS324" si="2011">AY324</f>
        <v>319</v>
      </c>
      <c r="CT324" s="109" t="e">
        <f t="shared" ref="CT324" si="2012">M324-K324</f>
        <v>#VALUE!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1956"/>
        <v>calcr_human__wt</v>
      </c>
      <c r="B325" s="2" t="s">
        <v>401</v>
      </c>
      <c r="C325" s="3" t="s">
        <v>100</v>
      </c>
      <c r="D325" s="3" t="str">
        <f>IFERROR(MID(VLOOKUP($B325,Seqs!$A:$B,2,0),E325,1),"")</f>
        <v>T</v>
      </c>
      <c r="E325" s="3">
        <v>132</v>
      </c>
      <c r="F325" s="3" t="str">
        <f>IFERROR(MID(VLOOKUP($B325,Seqs!$A:$B,2,0),G325,1),"")</f>
        <v>F</v>
      </c>
      <c r="G325" s="3">
        <v>173</v>
      </c>
      <c r="H325" s="3" t="str">
        <f>IFERROR(MID(VLOOKUP($B325,Seqs!$A:$B,2,0),I325,1),"")</f>
        <v>R</v>
      </c>
      <c r="I325" s="23">
        <v>174</v>
      </c>
      <c r="J325" s="3" t="str">
        <f>IFERROR(MID(VLOOKUP($B325,Seqs!$A:$B,2,0),K325,1),"")</f>
        <v>G</v>
      </c>
      <c r="K325" s="23">
        <v>177</v>
      </c>
      <c r="L325" s="3" t="str">
        <f>IFERROR(MID(VLOOKUP($B325,Seqs!$A:$B,2,0),M325,1),"")</f>
        <v>C</v>
      </c>
      <c r="M325" s="3">
        <v>178</v>
      </c>
      <c r="N325" s="3" t="str">
        <f>IFERROR(MID(VLOOKUP($B325,Seqs!$A:$B,2,0),O325,1),"")</f>
        <v>V</v>
      </c>
      <c r="O325" s="3">
        <v>205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V</v>
      </c>
      <c r="U325" s="105">
        <v>217</v>
      </c>
      <c r="V325" s="3" t="str">
        <f>IFERROR(MID(VLOOKUP($B325,Seqs!$A:$B,2,0),W325,1),"")</f>
        <v>V</v>
      </c>
      <c r="W325" s="3">
        <v>250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R</v>
      </c>
      <c r="AC325" s="3">
        <v>258</v>
      </c>
      <c r="AD325" s="3" t="str">
        <f>IFERROR(MID(VLOOKUP($B325,Seqs!$A:$B,2,0),AE325,1),"")</f>
        <v>F</v>
      </c>
      <c r="AE325" s="3">
        <v>285</v>
      </c>
      <c r="AF325" s="3" t="str">
        <f>IFERROR(MID(VLOOKUP($B325,Seqs!$A:$B,2,0),AG325,1),"")</f>
        <v>C</v>
      </c>
      <c r="AG325" s="3">
        <v>289</v>
      </c>
      <c r="AH325" s="3" t="str">
        <f>IFERROR(MID(VLOOKUP($B325,Seqs!$A:$B,2,0),AI325,1),"")</f>
        <v>L</v>
      </c>
      <c r="AI325" s="3">
        <v>291</v>
      </c>
      <c r="AJ325" s="3" t="str">
        <f>IFERROR(MID(VLOOKUP($B325,Seqs!$A:$B,2,0),AK325,1),"")</f>
        <v>L</v>
      </c>
      <c r="AK325" s="3">
        <v>298</v>
      </c>
      <c r="AL325" s="3" t="str">
        <f>IFERROR(MID(VLOOKUP($B325,Seqs!$A:$B,2,0),AM325,1),"")</f>
        <v>R</v>
      </c>
      <c r="AM325" s="3">
        <v>328</v>
      </c>
      <c r="AN325" s="3" t="str">
        <f>IFERROR(MID(VLOOKUP($B325,Seqs!$A:$B,2,0),AO325,1),"")</f>
        <v>Y</v>
      </c>
      <c r="AO325" s="3">
        <v>338</v>
      </c>
      <c r="AP325" s="3" t="str">
        <f>IFERROR(MID(VLOOKUP($B325,Seqs!$A:$B,2,0),AQ325,1),"")</f>
        <v>W</v>
      </c>
      <c r="AQ325" s="3">
        <v>361</v>
      </c>
      <c r="AR325" s="3" t="str">
        <f>IFERROR(MID(VLOOKUP($B325,Seqs!$A:$B,2,0),AS325,1),"")</f>
        <v>K</v>
      </c>
      <c r="AS325" s="3">
        <v>366</v>
      </c>
      <c r="AT325" s="3" t="str">
        <f>IFERROR(MID(VLOOKUP($B325,Seqs!$A:$B,2,0),AU325,1),"")</f>
        <v>C</v>
      </c>
      <c r="AU325" s="3">
        <v>394</v>
      </c>
      <c r="AV325" s="3" t="str">
        <f>IFERROR(MID(VLOOKUP($B325,Seqs!$A:$B,2,0),AW325,1),"")</f>
        <v>N</v>
      </c>
      <c r="AW325" s="3">
        <v>395</v>
      </c>
      <c r="AX325" s="3" t="str">
        <f>IFERROR(MID(VLOOKUP($B325,Seqs!$A:$B,2,0),AY325,1),"")</f>
        <v>R</v>
      </c>
      <c r="AY325" s="3">
        <v>420</v>
      </c>
      <c r="AZ325" s="77" t="str">
        <f>VLOOKUP(B325,Classification!A:D,2,0)</f>
        <v>B1</v>
      </c>
      <c r="BA325" s="94" t="str">
        <f>VLOOKUP(B325,Classification!A:D,4,0)</f>
        <v>Calcitonin</v>
      </c>
      <c r="BB325" s="27" t="b">
        <f t="shared" si="1929"/>
        <v>1</v>
      </c>
      <c r="BC325" s="23">
        <f t="shared" si="1930"/>
        <v>251</v>
      </c>
      <c r="BD325" s="4" t="s">
        <v>23</v>
      </c>
      <c r="BE325" s="3" t="s">
        <v>23</v>
      </c>
      <c r="BF325" s="119" t="s">
        <v>23</v>
      </c>
      <c r="BG325" s="49" t="s">
        <v>1377</v>
      </c>
      <c r="BH325" s="49" t="s">
        <v>1377</v>
      </c>
      <c r="BI325" s="1"/>
      <c r="BJ325" s="70" t="s">
        <v>1287</v>
      </c>
      <c r="BK325" s="57" t="s">
        <v>1287</v>
      </c>
      <c r="BL325" s="57" t="s">
        <v>1287</v>
      </c>
      <c r="BM325" s="57" t="s">
        <v>1287</v>
      </c>
      <c r="BN325" s="57" t="s">
        <v>1287</v>
      </c>
      <c r="BO325" s="57" t="s">
        <v>1287</v>
      </c>
      <c r="BP325" s="57" t="s">
        <v>1287</v>
      </c>
      <c r="BQ325" s="57" t="s">
        <v>1287</v>
      </c>
      <c r="BR325" s="57" t="s">
        <v>1287</v>
      </c>
      <c r="BS325" s="57" t="s">
        <v>1287</v>
      </c>
      <c r="BT325" s="57" t="s">
        <v>1287</v>
      </c>
      <c r="BU325" s="57" t="s">
        <v>1287</v>
      </c>
      <c r="BV325" s="70">
        <f t="shared" si="1931"/>
        <v>132</v>
      </c>
      <c r="BW325" s="71">
        <f t="shared" si="1932"/>
        <v>174</v>
      </c>
      <c r="BX325" s="72">
        <f t="shared" si="1933"/>
        <v>178</v>
      </c>
      <c r="BY325" s="71" t="str">
        <f t="shared" si="1934"/>
        <v>-</v>
      </c>
      <c r="BZ325" s="72">
        <f t="shared" si="1935"/>
        <v>217</v>
      </c>
      <c r="CA325" s="71" t="str">
        <f t="shared" si="1936"/>
        <v>-</v>
      </c>
      <c r="CB325" s="72">
        <f t="shared" si="1937"/>
        <v>258</v>
      </c>
      <c r="CC325" s="71">
        <f t="shared" si="1938"/>
        <v>289</v>
      </c>
      <c r="CD325" s="72">
        <f t="shared" si="1939"/>
        <v>298</v>
      </c>
      <c r="CE325" s="71">
        <f t="shared" si="1940"/>
        <v>338</v>
      </c>
      <c r="CF325" s="72">
        <f t="shared" si="1941"/>
        <v>366</v>
      </c>
      <c r="CG325" s="71">
        <f t="shared" si="1942"/>
        <v>395</v>
      </c>
      <c r="CH325" s="70">
        <f t="shared" si="1943"/>
        <v>173</v>
      </c>
      <c r="CI325" s="71">
        <f t="shared" si="1944"/>
        <v>177</v>
      </c>
      <c r="CJ325" s="72">
        <f t="shared" si="1945"/>
        <v>205</v>
      </c>
      <c r="CK325" s="72" t="str">
        <f t="shared" si="1946"/>
        <v>-</v>
      </c>
      <c r="CL325" s="72">
        <f t="shared" si="1947"/>
        <v>250</v>
      </c>
      <c r="CM325" s="72" t="str">
        <f t="shared" si="1948"/>
        <v>-</v>
      </c>
      <c r="CN325" s="72">
        <f t="shared" si="1949"/>
        <v>285</v>
      </c>
      <c r="CO325" s="72">
        <f t="shared" si="1950"/>
        <v>291</v>
      </c>
      <c r="CP325" s="72">
        <f t="shared" si="1951"/>
        <v>328</v>
      </c>
      <c r="CQ325" s="72">
        <f t="shared" si="1952"/>
        <v>361</v>
      </c>
      <c r="CR325" s="72">
        <f t="shared" si="1953"/>
        <v>394</v>
      </c>
      <c r="CS325" s="72">
        <f t="shared" si="1954"/>
        <v>420</v>
      </c>
      <c r="CT325" s="23">
        <f t="shared" si="1955"/>
        <v>1</v>
      </c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6"/>
      <c r="ACQ325" s="6"/>
      <c r="ACR325" s="6"/>
      <c r="ACS325" s="6"/>
      <c r="ACT325" s="6"/>
      <c r="ACU325" s="6"/>
      <c r="ACV325" s="6"/>
      <c r="ACW325" s="6"/>
      <c r="ACX325" s="6"/>
      <c r="ACY325" s="6"/>
      <c r="ACZ325" s="6"/>
      <c r="ADA325" s="6"/>
      <c r="ADB325" s="6"/>
      <c r="ADC325" s="6"/>
      <c r="ADD325" s="6"/>
      <c r="ADE325" s="6"/>
      <c r="ADF325" s="6"/>
      <c r="ADG325" s="6"/>
      <c r="ADH325" s="6"/>
      <c r="ADI325" s="6"/>
      <c r="ADJ325" s="6"/>
      <c r="ADK325" s="6"/>
      <c r="ADL325" s="6"/>
      <c r="ADM325" s="6"/>
      <c r="ADN325" s="6"/>
      <c r="ADO325" s="6"/>
      <c r="ADP325" s="6"/>
      <c r="ADQ325" s="6"/>
      <c r="ADR325" s="6"/>
      <c r="ADS325" s="6"/>
      <c r="ADT325" s="6"/>
      <c r="ADU325" s="6"/>
      <c r="ADV325" s="6"/>
      <c r="ADW325" s="6"/>
      <c r="ADX325" s="6"/>
      <c r="ADY325" s="6"/>
      <c r="ADZ325" s="6"/>
      <c r="AEA325" s="6"/>
      <c r="AEB325" s="6"/>
      <c r="AEC325" s="6"/>
      <c r="AED325" s="6"/>
      <c r="AEE325" s="6"/>
      <c r="AEF325" s="6"/>
      <c r="AEG325" s="6"/>
      <c r="AEH325" s="6"/>
      <c r="AEI325" s="6"/>
      <c r="AEJ325" s="6"/>
      <c r="AEK325" s="6"/>
      <c r="AEL325" s="6"/>
      <c r="AEM325" s="6"/>
      <c r="AEN325" s="6"/>
      <c r="AEO325" s="6"/>
      <c r="AEP325" s="6"/>
      <c r="AEQ325" s="6"/>
      <c r="AER325" s="6"/>
      <c r="AES325" s="6"/>
      <c r="AET325" s="6"/>
      <c r="AEU325" s="6"/>
      <c r="AEV325" s="6"/>
      <c r="AEW325" s="6"/>
      <c r="AEX325" s="6"/>
      <c r="AEY325" s="6"/>
      <c r="AEZ325" s="6"/>
      <c r="AFA325" s="6"/>
      <c r="AFB325" s="6"/>
      <c r="AFC325" s="6"/>
      <c r="AFD325" s="6"/>
      <c r="AFE325" s="6"/>
      <c r="AFF325" s="6"/>
      <c r="AFG325" s="6"/>
      <c r="AFH325" s="6"/>
      <c r="AFI325" s="6"/>
      <c r="AFJ325" s="6"/>
      <c r="AFK325" s="6"/>
      <c r="AFL325" s="6"/>
      <c r="AFM325" s="6"/>
      <c r="AFN325" s="6"/>
      <c r="AFO325" s="6"/>
      <c r="AFP325" s="6"/>
      <c r="AFQ325" s="6"/>
      <c r="AFR325" s="6"/>
      <c r="AFS325" s="6"/>
      <c r="AFT325" s="6"/>
      <c r="AFU325" s="6"/>
      <c r="AFV325" s="6"/>
      <c r="AFW325" s="6"/>
      <c r="AFX325" s="6"/>
      <c r="AFY325" s="6"/>
      <c r="AFZ325" s="6"/>
      <c r="AGA325" s="6"/>
      <c r="AGB325" s="6"/>
      <c r="AGC325" s="6"/>
      <c r="AGD325" s="6"/>
      <c r="AGE325" s="6"/>
      <c r="AGF325" s="6"/>
      <c r="AGG325" s="6"/>
      <c r="AGH325" s="6"/>
      <c r="AGI325" s="6"/>
      <c r="AGJ325" s="6"/>
      <c r="AGK325" s="6"/>
      <c r="AGL325" s="6"/>
      <c r="AGM325" s="6"/>
      <c r="AGN325" s="6"/>
      <c r="AGO325" s="6"/>
      <c r="AGP325" s="6"/>
      <c r="AGQ325" s="6"/>
      <c r="AGR325" s="6"/>
      <c r="AGS325" s="6"/>
      <c r="AGT325" s="6"/>
      <c r="AGU325" s="6"/>
      <c r="AGV325" s="6"/>
      <c r="AGW325" s="6"/>
      <c r="AGX325" s="6"/>
      <c r="AGY325" s="6"/>
      <c r="AGZ325" s="6"/>
      <c r="AHA325" s="6"/>
      <c r="AHB325" s="6"/>
      <c r="AHC325" s="6"/>
      <c r="AHD325" s="6"/>
      <c r="AHE325" s="6"/>
      <c r="AHF325" s="6"/>
      <c r="AHG325" s="6"/>
      <c r="AHH325" s="6"/>
      <c r="AHI325" s="6"/>
      <c r="AHJ325" s="6"/>
      <c r="AHK325" s="6"/>
      <c r="AHL325" s="6"/>
      <c r="AHM325" s="6"/>
      <c r="AHN325" s="6"/>
      <c r="AHO325" s="6"/>
      <c r="AHP325" s="6"/>
      <c r="AHQ325" s="6"/>
      <c r="AHR325" s="6"/>
      <c r="AHS325" s="6"/>
      <c r="AHT325" s="6"/>
      <c r="AHU325" s="6"/>
      <c r="AHV325" s="6"/>
      <c r="AHW325" s="6"/>
      <c r="AHX325" s="6"/>
      <c r="AHY325" s="6"/>
      <c r="AHZ325" s="6"/>
      <c r="AIA325" s="6"/>
      <c r="AIB325" s="6"/>
      <c r="AIC325" s="6"/>
      <c r="AID325" s="6"/>
      <c r="AIE325" s="6"/>
      <c r="AIF325" s="6"/>
      <c r="AIG325" s="6"/>
      <c r="AIH325" s="6"/>
      <c r="AII325" s="6"/>
      <c r="AIJ325" s="6"/>
      <c r="AIK325" s="6"/>
      <c r="AIL325" s="6"/>
      <c r="AIM325" s="6"/>
      <c r="AIN325" s="6"/>
      <c r="AIO325" s="6"/>
      <c r="AIP325" s="6"/>
      <c r="AIQ325" s="6"/>
      <c r="AIR325" s="6"/>
      <c r="AIS325" s="6"/>
      <c r="AIT325" s="6"/>
      <c r="AIU325" s="6"/>
      <c r="AIV325" s="6"/>
      <c r="AIW325" s="6"/>
      <c r="AIX325" s="6"/>
      <c r="AIY325" s="6"/>
      <c r="AIZ325" s="6"/>
      <c r="AJA325" s="6"/>
      <c r="AJB325" s="6"/>
      <c r="AJC325" s="6"/>
      <c r="AJD325" s="6"/>
      <c r="AJE325" s="6"/>
      <c r="AJF325" s="6"/>
      <c r="AJG325" s="6"/>
      <c r="AJH325" s="6"/>
      <c r="AJI325" s="6"/>
      <c r="AJJ325" s="6"/>
      <c r="AJK325" s="6"/>
      <c r="AJL325" s="6"/>
      <c r="AJM325" s="6"/>
      <c r="AJN325" s="6"/>
      <c r="AJO325" s="6"/>
      <c r="AJP325" s="6"/>
      <c r="AJQ325" s="6"/>
      <c r="AJR325" s="6"/>
      <c r="AJS325" s="6"/>
      <c r="AJT325" s="6"/>
      <c r="AJU325" s="6"/>
      <c r="AJV325" s="6"/>
      <c r="AJW325" s="6"/>
      <c r="AJX325" s="6"/>
      <c r="AJY325" s="6"/>
      <c r="AJZ325" s="6"/>
      <c r="AKA325" s="6"/>
      <c r="AKB325" s="6"/>
      <c r="AKC325" s="6"/>
      <c r="AKD325" s="6"/>
      <c r="AKE325" s="6"/>
      <c r="AKF325" s="6"/>
      <c r="AKG325" s="6"/>
      <c r="AKH325" s="6"/>
      <c r="AKI325" s="6"/>
      <c r="AKJ325" s="6"/>
      <c r="AKK325" s="6"/>
      <c r="AKL325" s="6"/>
      <c r="AKM325" s="6"/>
      <c r="AKN325" s="6"/>
      <c r="AKO325" s="6"/>
      <c r="AKP325" s="6"/>
      <c r="AKQ325" s="6"/>
      <c r="AKR325" s="6"/>
      <c r="AKS325" s="6"/>
      <c r="AKT325" s="6"/>
      <c r="AKU325" s="6"/>
      <c r="AKV325" s="6"/>
      <c r="AKW325" s="6"/>
      <c r="AKX325" s="6"/>
      <c r="AKY325" s="6"/>
      <c r="AKZ325" s="6"/>
      <c r="ALA325" s="6"/>
      <c r="ALB325" s="6"/>
      <c r="ALC325" s="6"/>
      <c r="ALD325" s="6"/>
      <c r="ALE325" s="6"/>
      <c r="ALF325" s="6"/>
      <c r="ALG325" s="6"/>
      <c r="ALH325" s="6"/>
      <c r="ALI325" s="6"/>
      <c r="ALJ325" s="6"/>
      <c r="ALK325" s="6"/>
      <c r="ALL325" s="6"/>
      <c r="ALM325" s="6"/>
      <c r="ALN325" s="6"/>
      <c r="ALO325" s="6"/>
      <c r="ALP325" s="6"/>
      <c r="ALQ325" s="6"/>
      <c r="ALR325" s="6"/>
      <c r="ALS325" s="6"/>
      <c r="ALT325" s="6"/>
      <c r="ALU325" s="6"/>
      <c r="ALV325" s="6"/>
      <c r="ALW325" s="6"/>
      <c r="ALX325" s="6"/>
      <c r="ALY325" s="6"/>
      <c r="ALZ325" s="6"/>
      <c r="AMA325" s="6"/>
      <c r="AMB325" s="6"/>
      <c r="AMC325" s="6"/>
      <c r="AMD325" s="6"/>
      <c r="AME325" s="6"/>
      <c r="AMF325" s="6"/>
      <c r="AMG325" s="6"/>
      <c r="AMH325" s="6"/>
      <c r="AMI325" s="6"/>
      <c r="AMJ325" s="6"/>
      <c r="AMK325" s="6"/>
      <c r="AML325" s="6"/>
      <c r="AMM325" s="6"/>
      <c r="AMN325" s="6"/>
      <c r="AMO325" s="6"/>
      <c r="AMP325" s="6"/>
    </row>
    <row r="326" spans="1:1030" x14ac:dyDescent="0.2">
      <c r="A326" s="3" t="str">
        <f t="shared" si="1956"/>
        <v>calcr_human_5UZ7</v>
      </c>
      <c r="B326" s="2" t="s">
        <v>401</v>
      </c>
      <c r="C326" s="3" t="s">
        <v>1401</v>
      </c>
      <c r="D326" s="3" t="str">
        <f>IFERROR(MID(VLOOKUP($B326,Seqs!$A:$B,2,0),E326,1),"")</f>
        <v>A</v>
      </c>
      <c r="E326" s="3">
        <v>136</v>
      </c>
      <c r="F326" s="3" t="str">
        <f>IFERROR(MID(VLOOKUP($B326,Seqs!$A:$B,2,0),G326,1),"")</f>
        <v>F</v>
      </c>
      <c r="G326" s="3">
        <v>173</v>
      </c>
      <c r="H326" s="3" t="str">
        <f>IFERROR(MID(VLOOKUP($B326,Seqs!$A:$B,2,0),I326,1),"")</f>
        <v>R</v>
      </c>
      <c r="I326" s="23">
        <v>174</v>
      </c>
      <c r="J326" s="3" t="str">
        <f>IFERROR(MID(VLOOKUP($B326,Seqs!$A:$B,2,0),K326,1),"")</f>
        <v>G</v>
      </c>
      <c r="K326" s="23">
        <v>177</v>
      </c>
      <c r="L326" s="3" t="str">
        <f>IFERROR(MID(VLOOKUP($B326,Seqs!$A:$B,2,0),M326,1),"")</f>
        <v>C</v>
      </c>
      <c r="M326" s="3">
        <v>178</v>
      </c>
      <c r="N326" s="3" t="str">
        <f>IFERROR(MID(VLOOKUP($B326,Seqs!$A:$B,2,0),O326,1),"")</f>
        <v>V</v>
      </c>
      <c r="O326" s="3">
        <v>205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D</v>
      </c>
      <c r="U326" s="3">
        <v>215</v>
      </c>
      <c r="V326" s="3" t="str">
        <f>IFERROR(MID(VLOOKUP($B326,Seqs!$A:$B,2,0),W326,1),"")</f>
        <v>V</v>
      </c>
      <c r="W326" s="3">
        <v>250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R</v>
      </c>
      <c r="AC326" s="3">
        <v>258</v>
      </c>
      <c r="AD326" s="3" t="str">
        <f>IFERROR(MID(VLOOKUP($B326,Seqs!$A:$B,2,0),AE326,1),"")</f>
        <v>F</v>
      </c>
      <c r="AE326" s="3">
        <v>285</v>
      </c>
      <c r="AF326" s="3" t="str">
        <f>IFERROR(MID(VLOOKUP($B326,Seqs!$A:$B,2,0),AG326,1),"")</f>
        <v>C</v>
      </c>
      <c r="AG326" s="3">
        <v>289</v>
      </c>
      <c r="AH326" s="3" t="str">
        <f>IFERROR(MID(VLOOKUP($B326,Seqs!$A:$B,2,0),AI326,1),"")</f>
        <v>L</v>
      </c>
      <c r="AI326" s="3">
        <v>291</v>
      </c>
      <c r="AJ326" s="3" t="str">
        <f>IFERROR(MID(VLOOKUP($B326,Seqs!$A:$B,2,0),AK326,1),"")</f>
        <v>L</v>
      </c>
      <c r="AK326" s="3">
        <v>298</v>
      </c>
      <c r="AL326" s="3" t="str">
        <f>IFERROR(MID(VLOOKUP($B326,Seqs!$A:$B,2,0),AM326,1),"")</f>
        <v>R</v>
      </c>
      <c r="AM326" s="3">
        <v>328</v>
      </c>
      <c r="AN326" s="3" t="str">
        <f>IFERROR(MID(VLOOKUP($B326,Seqs!$A:$B,2,0),AO326,1),"")</f>
        <v>L</v>
      </c>
      <c r="AO326" s="3">
        <v>352</v>
      </c>
      <c r="AP326" s="3" t="str">
        <f>IFERROR(MID(VLOOKUP($B326,Seqs!$A:$B,2,0),AQ326,1),"")</f>
        <v>P</v>
      </c>
      <c r="AQ326" s="3">
        <v>360</v>
      </c>
      <c r="AR326" s="3" t="str">
        <f>IFERROR(MID(VLOOKUP($B326,Seqs!$A:$B,2,0),AS326,1),"")</f>
        <v>K</v>
      </c>
      <c r="AS326" s="3">
        <v>366</v>
      </c>
      <c r="AT326" s="3" t="str">
        <f>IFERROR(MID(VLOOKUP($B326,Seqs!$A:$B,2,0),AU326,1),"")</f>
        <v>C</v>
      </c>
      <c r="AU326" s="3">
        <v>394</v>
      </c>
      <c r="AV326" s="3" t="str">
        <f>IFERROR(MID(VLOOKUP($B326,Seqs!$A:$B,2,0),AW326,1),"")</f>
        <v>N</v>
      </c>
      <c r="AW326" s="3">
        <v>395</v>
      </c>
      <c r="AX326" s="3" t="str">
        <f>IFERROR(MID(VLOOKUP($B326,Seqs!$A:$B,2,0),AY326,1),"")</f>
        <v>G</v>
      </c>
      <c r="AY326" s="3">
        <v>418</v>
      </c>
      <c r="AZ326" s="77" t="str">
        <f>VLOOKUP(B326,Classification!A:D,2,0)</f>
        <v>B1</v>
      </c>
      <c r="BA326" s="94" t="str">
        <f>VLOOKUP(B326,Classification!A:D,4,0)</f>
        <v>Calcitonin</v>
      </c>
      <c r="BB326" s="27" t="b">
        <f t="shared" si="1929"/>
        <v>1</v>
      </c>
      <c r="BC326" s="23">
        <f t="shared" si="1930"/>
        <v>232</v>
      </c>
      <c r="BD326" s="4" t="s">
        <v>23</v>
      </c>
      <c r="BE326" s="3" t="s">
        <v>1291</v>
      </c>
      <c r="BF326" s="119">
        <v>4.0999999999999996</v>
      </c>
      <c r="BG326" s="49" t="s">
        <v>1377</v>
      </c>
      <c r="BH326" s="49" t="s">
        <v>1377</v>
      </c>
      <c r="BI326" s="1"/>
      <c r="BJ326" s="70" t="s">
        <v>1287</v>
      </c>
      <c r="BK326" s="57" t="s">
        <v>1287</v>
      </c>
      <c r="BL326" s="57" t="s">
        <v>1287</v>
      </c>
      <c r="BM326" s="57" t="s">
        <v>1287</v>
      </c>
      <c r="BN326" s="57" t="s">
        <v>1287</v>
      </c>
      <c r="BO326" s="57" t="s">
        <v>1287</v>
      </c>
      <c r="BP326" s="57" t="s">
        <v>1287</v>
      </c>
      <c r="BQ326" s="57" t="s">
        <v>1287</v>
      </c>
      <c r="BR326" s="57" t="s">
        <v>1287</v>
      </c>
      <c r="BS326" s="57" t="s">
        <v>1287</v>
      </c>
      <c r="BT326" s="57" t="s">
        <v>1287</v>
      </c>
      <c r="BU326" s="57" t="s">
        <v>1287</v>
      </c>
      <c r="BV326" s="70">
        <f t="shared" si="1931"/>
        <v>136</v>
      </c>
      <c r="BW326" s="71">
        <f t="shared" si="1932"/>
        <v>174</v>
      </c>
      <c r="BX326" s="72">
        <f t="shared" si="1933"/>
        <v>178</v>
      </c>
      <c r="BY326" s="71" t="str">
        <f t="shared" si="1934"/>
        <v>-</v>
      </c>
      <c r="BZ326" s="72">
        <f t="shared" si="1935"/>
        <v>215</v>
      </c>
      <c r="CA326" s="71" t="str">
        <f t="shared" si="1936"/>
        <v>-</v>
      </c>
      <c r="CB326" s="72">
        <f t="shared" si="1937"/>
        <v>258</v>
      </c>
      <c r="CC326" s="71">
        <f t="shared" si="1938"/>
        <v>289</v>
      </c>
      <c r="CD326" s="72">
        <f t="shared" si="1939"/>
        <v>298</v>
      </c>
      <c r="CE326" s="71">
        <f t="shared" si="1940"/>
        <v>352</v>
      </c>
      <c r="CF326" s="72">
        <f t="shared" si="1941"/>
        <v>366</v>
      </c>
      <c r="CG326" s="71">
        <f t="shared" si="1942"/>
        <v>395</v>
      </c>
      <c r="CH326" s="70">
        <f t="shared" si="1943"/>
        <v>173</v>
      </c>
      <c r="CI326" s="71">
        <f t="shared" si="1944"/>
        <v>177</v>
      </c>
      <c r="CJ326" s="72">
        <f t="shared" si="1945"/>
        <v>205</v>
      </c>
      <c r="CK326" s="72" t="str">
        <f t="shared" si="1946"/>
        <v>-</v>
      </c>
      <c r="CL326" s="72">
        <f t="shared" si="1947"/>
        <v>250</v>
      </c>
      <c r="CM326" s="72" t="str">
        <f t="shared" si="1948"/>
        <v>-</v>
      </c>
      <c r="CN326" s="72">
        <f t="shared" si="1949"/>
        <v>285</v>
      </c>
      <c r="CO326" s="72">
        <f t="shared" si="1950"/>
        <v>291</v>
      </c>
      <c r="CP326" s="72">
        <f t="shared" si="1951"/>
        <v>328</v>
      </c>
      <c r="CQ326" s="72">
        <f t="shared" si="1952"/>
        <v>360</v>
      </c>
      <c r="CR326" s="72">
        <f t="shared" si="1953"/>
        <v>394</v>
      </c>
      <c r="CS326" s="72">
        <f t="shared" si="1954"/>
        <v>418</v>
      </c>
      <c r="CT326" s="23">
        <f t="shared" si="1955"/>
        <v>1</v>
      </c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6"/>
      <c r="ACQ326" s="6"/>
      <c r="ACR326" s="6"/>
      <c r="ACS326" s="6"/>
      <c r="ACT326" s="6"/>
      <c r="ACU326" s="6"/>
      <c r="ACV326" s="6"/>
      <c r="ACW326" s="6"/>
      <c r="ACX326" s="6"/>
      <c r="ACY326" s="6"/>
      <c r="ACZ326" s="6"/>
      <c r="ADA326" s="6"/>
      <c r="ADB326" s="6"/>
      <c r="ADC326" s="6"/>
      <c r="ADD326" s="6"/>
      <c r="ADE326" s="6"/>
      <c r="ADF326" s="6"/>
      <c r="ADG326" s="6"/>
      <c r="ADH326" s="6"/>
      <c r="ADI326" s="6"/>
      <c r="ADJ326" s="6"/>
      <c r="ADK326" s="6"/>
      <c r="ADL326" s="6"/>
      <c r="ADM326" s="6"/>
      <c r="ADN326" s="6"/>
      <c r="ADO326" s="6"/>
      <c r="ADP326" s="6"/>
      <c r="ADQ326" s="6"/>
      <c r="ADR326" s="6"/>
      <c r="ADS326" s="6"/>
      <c r="ADT326" s="6"/>
      <c r="ADU326" s="6"/>
      <c r="ADV326" s="6"/>
      <c r="ADW326" s="6"/>
      <c r="ADX326" s="6"/>
      <c r="ADY326" s="6"/>
      <c r="ADZ326" s="6"/>
      <c r="AEA326" s="6"/>
      <c r="AEB326" s="6"/>
      <c r="AEC326" s="6"/>
      <c r="AED326" s="6"/>
      <c r="AEE326" s="6"/>
      <c r="AEF326" s="6"/>
      <c r="AEG326" s="6"/>
      <c r="AEH326" s="6"/>
      <c r="AEI326" s="6"/>
      <c r="AEJ326" s="6"/>
      <c r="AEK326" s="6"/>
      <c r="AEL326" s="6"/>
      <c r="AEM326" s="6"/>
      <c r="AEN326" s="6"/>
      <c r="AEO326" s="6"/>
      <c r="AEP326" s="6"/>
      <c r="AEQ326" s="6"/>
      <c r="AER326" s="6"/>
      <c r="AES326" s="6"/>
      <c r="AET326" s="6"/>
      <c r="AEU326" s="6"/>
      <c r="AEV326" s="6"/>
      <c r="AEW326" s="6"/>
      <c r="AEX326" s="6"/>
      <c r="AEY326" s="6"/>
      <c r="AEZ326" s="6"/>
      <c r="AFA326" s="6"/>
      <c r="AFB326" s="6"/>
      <c r="AFC326" s="6"/>
      <c r="AFD326" s="6"/>
      <c r="AFE326" s="6"/>
      <c r="AFF326" s="6"/>
      <c r="AFG326" s="6"/>
      <c r="AFH326" s="6"/>
      <c r="AFI326" s="6"/>
      <c r="AFJ326" s="6"/>
      <c r="AFK326" s="6"/>
      <c r="AFL326" s="6"/>
      <c r="AFM326" s="6"/>
      <c r="AFN326" s="6"/>
      <c r="AFO326" s="6"/>
      <c r="AFP326" s="6"/>
      <c r="AFQ326" s="6"/>
      <c r="AFR326" s="6"/>
      <c r="AFS326" s="6"/>
      <c r="AFT326" s="6"/>
      <c r="AFU326" s="6"/>
      <c r="AFV326" s="6"/>
      <c r="AFW326" s="6"/>
      <c r="AFX326" s="6"/>
      <c r="AFY326" s="6"/>
      <c r="AFZ326" s="6"/>
      <c r="AGA326" s="6"/>
      <c r="AGB326" s="6"/>
      <c r="AGC326" s="6"/>
      <c r="AGD326" s="6"/>
      <c r="AGE326" s="6"/>
      <c r="AGF326" s="6"/>
      <c r="AGG326" s="6"/>
      <c r="AGH326" s="6"/>
      <c r="AGI326" s="6"/>
      <c r="AGJ326" s="6"/>
      <c r="AGK326" s="6"/>
      <c r="AGL326" s="6"/>
      <c r="AGM326" s="6"/>
      <c r="AGN326" s="6"/>
      <c r="AGO326" s="6"/>
      <c r="AGP326" s="6"/>
      <c r="AGQ326" s="6"/>
      <c r="AGR326" s="6"/>
      <c r="AGS326" s="6"/>
      <c r="AGT326" s="6"/>
      <c r="AGU326" s="6"/>
      <c r="AGV326" s="6"/>
      <c r="AGW326" s="6"/>
      <c r="AGX326" s="6"/>
      <c r="AGY326" s="6"/>
      <c r="AGZ326" s="6"/>
      <c r="AHA326" s="6"/>
      <c r="AHB326" s="6"/>
      <c r="AHC326" s="6"/>
      <c r="AHD326" s="6"/>
      <c r="AHE326" s="6"/>
      <c r="AHF326" s="6"/>
      <c r="AHG326" s="6"/>
      <c r="AHH326" s="6"/>
      <c r="AHI326" s="6"/>
      <c r="AHJ326" s="6"/>
      <c r="AHK326" s="6"/>
      <c r="AHL326" s="6"/>
      <c r="AHM326" s="6"/>
      <c r="AHN326" s="6"/>
      <c r="AHO326" s="6"/>
      <c r="AHP326" s="6"/>
      <c r="AHQ326" s="6"/>
      <c r="AHR326" s="6"/>
      <c r="AHS326" s="6"/>
      <c r="AHT326" s="6"/>
      <c r="AHU326" s="6"/>
      <c r="AHV326" s="6"/>
      <c r="AHW326" s="6"/>
      <c r="AHX326" s="6"/>
      <c r="AHY326" s="6"/>
      <c r="AHZ326" s="6"/>
      <c r="AIA326" s="6"/>
      <c r="AIB326" s="6"/>
      <c r="AIC326" s="6"/>
      <c r="AID326" s="6"/>
      <c r="AIE326" s="6"/>
      <c r="AIF326" s="6"/>
      <c r="AIG326" s="6"/>
      <c r="AIH326" s="6"/>
      <c r="AII326" s="6"/>
      <c r="AIJ326" s="6"/>
      <c r="AIK326" s="6"/>
      <c r="AIL326" s="6"/>
      <c r="AIM326" s="6"/>
      <c r="AIN326" s="6"/>
      <c r="AIO326" s="6"/>
      <c r="AIP326" s="6"/>
      <c r="AIQ326" s="6"/>
      <c r="AIR326" s="6"/>
      <c r="AIS326" s="6"/>
      <c r="AIT326" s="6"/>
      <c r="AIU326" s="6"/>
      <c r="AIV326" s="6"/>
      <c r="AIW326" s="6"/>
      <c r="AIX326" s="6"/>
      <c r="AIY326" s="6"/>
      <c r="AIZ326" s="6"/>
      <c r="AJA326" s="6"/>
      <c r="AJB326" s="6"/>
      <c r="AJC326" s="6"/>
      <c r="AJD326" s="6"/>
      <c r="AJE326" s="6"/>
      <c r="AJF326" s="6"/>
      <c r="AJG326" s="6"/>
      <c r="AJH326" s="6"/>
      <c r="AJI326" s="6"/>
      <c r="AJJ326" s="6"/>
      <c r="AJK326" s="6"/>
      <c r="AJL326" s="6"/>
      <c r="AJM326" s="6"/>
      <c r="AJN326" s="6"/>
      <c r="AJO326" s="6"/>
      <c r="AJP326" s="6"/>
      <c r="AJQ326" s="6"/>
      <c r="AJR326" s="6"/>
      <c r="AJS326" s="6"/>
      <c r="AJT326" s="6"/>
      <c r="AJU326" s="6"/>
      <c r="AJV326" s="6"/>
      <c r="AJW326" s="6"/>
      <c r="AJX326" s="6"/>
      <c r="AJY326" s="6"/>
      <c r="AJZ326" s="6"/>
      <c r="AKA326" s="6"/>
      <c r="AKB326" s="6"/>
      <c r="AKC326" s="6"/>
      <c r="AKD326" s="6"/>
      <c r="AKE326" s="6"/>
      <c r="AKF326" s="6"/>
      <c r="AKG326" s="6"/>
      <c r="AKH326" s="6"/>
      <c r="AKI326" s="6"/>
      <c r="AKJ326" s="6"/>
      <c r="AKK326" s="6"/>
      <c r="AKL326" s="6"/>
      <c r="AKM326" s="6"/>
      <c r="AKN326" s="6"/>
      <c r="AKO326" s="6"/>
      <c r="AKP326" s="6"/>
      <c r="AKQ326" s="6"/>
      <c r="AKR326" s="6"/>
      <c r="AKS326" s="6"/>
      <c r="AKT326" s="6"/>
      <c r="AKU326" s="6"/>
      <c r="AKV326" s="6"/>
      <c r="AKW326" s="6"/>
      <c r="AKX326" s="6"/>
      <c r="AKY326" s="6"/>
      <c r="AKZ326" s="6"/>
      <c r="ALA326" s="6"/>
      <c r="ALB326" s="6"/>
      <c r="ALC326" s="6"/>
      <c r="ALD326" s="6"/>
      <c r="ALE326" s="6"/>
      <c r="ALF326" s="6"/>
      <c r="ALG326" s="6"/>
      <c r="ALH326" s="6"/>
      <c r="ALI326" s="6"/>
      <c r="ALJ326" s="6"/>
      <c r="ALK326" s="6"/>
      <c r="ALL326" s="6"/>
      <c r="ALM326" s="6"/>
      <c r="ALN326" s="6"/>
      <c r="ALO326" s="6"/>
      <c r="ALP326" s="6"/>
      <c r="ALQ326" s="6"/>
      <c r="ALR326" s="6"/>
      <c r="ALS326" s="6"/>
      <c r="ALT326" s="6"/>
      <c r="ALU326" s="6"/>
      <c r="ALV326" s="6"/>
      <c r="ALW326" s="6"/>
      <c r="ALX326" s="6"/>
      <c r="ALY326" s="6"/>
      <c r="ALZ326" s="6"/>
      <c r="AMA326" s="6"/>
      <c r="AMB326" s="6"/>
      <c r="AMC326" s="6"/>
      <c r="AMD326" s="6"/>
      <c r="AME326" s="6"/>
      <c r="AMF326" s="6"/>
      <c r="AMG326" s="6"/>
      <c r="AMH326" s="6"/>
      <c r="AMI326" s="6"/>
      <c r="AMJ326" s="6"/>
      <c r="AMK326" s="6"/>
      <c r="AML326" s="6"/>
      <c r="AMM326" s="6"/>
      <c r="AMN326" s="6"/>
      <c r="AMO326" s="6"/>
      <c r="AMP326" s="6"/>
    </row>
    <row r="327" spans="1:1030" s="12" customFormat="1" x14ac:dyDescent="0.2">
      <c r="A327" s="9" t="str">
        <f t="shared" ref="A327" si="2013">CONCATENATE(B327,"_",C327)</f>
        <v>calcr_human_6NIY</v>
      </c>
      <c r="B327" s="40" t="s">
        <v>401</v>
      </c>
      <c r="C327" s="9" t="s">
        <v>1551</v>
      </c>
      <c r="D327" s="9" t="str">
        <f>IFERROR(MID(VLOOKUP($B327,Seqs!$A:$B,2,0),E327,1),"")</f>
        <v>T</v>
      </c>
      <c r="E327" s="9">
        <v>138</v>
      </c>
      <c r="F327" s="9" t="str">
        <f>IFERROR(MID(VLOOKUP($B327,Seqs!$A:$B,2,0),G327,1),"")</f>
        <v>F</v>
      </c>
      <c r="G327" s="9">
        <v>173</v>
      </c>
      <c r="H327" s="9" t="str">
        <f>IFERROR(MID(VLOOKUP($B327,Seqs!$A:$B,2,0),I327,1),"")</f>
        <v>R</v>
      </c>
      <c r="I327" s="109">
        <v>174</v>
      </c>
      <c r="J327" s="9" t="str">
        <f>IFERROR(MID(VLOOKUP($B327,Seqs!$A:$B,2,0),K327,1),"")</f>
        <v>G</v>
      </c>
      <c r="K327" s="109">
        <v>177</v>
      </c>
      <c r="L327" s="9" t="str">
        <f>IFERROR(MID(VLOOKUP($B327,Seqs!$A:$B,2,0),M327,1),"")</f>
        <v>C</v>
      </c>
      <c r="M327" s="9">
        <v>178</v>
      </c>
      <c r="N327" s="9" t="str">
        <f>IFERROR(MID(VLOOKUP($B327,Seqs!$A:$B,2,0),O327,1),"")</f>
        <v>V</v>
      </c>
      <c r="O327" s="9">
        <v>205</v>
      </c>
      <c r="P327" s="9" t="str">
        <f>IFERROR(MID(VLOOKUP($B327,Seqs!$A:$B,2,0),Q327,1),"")</f>
        <v/>
      </c>
      <c r="Q327" s="9" t="s">
        <v>23</v>
      </c>
      <c r="R327" s="9" t="str">
        <f>IFERROR(MID(VLOOKUP($B327,Seqs!$A:$B,2,0),S327,1),"")</f>
        <v/>
      </c>
      <c r="S327" s="9" t="s">
        <v>23</v>
      </c>
      <c r="T327" s="9" t="str">
        <f>IFERROR(MID(VLOOKUP($B327,Seqs!$A:$B,2,0),U327,1),"")</f>
        <v>V</v>
      </c>
      <c r="U327" s="9">
        <v>217</v>
      </c>
      <c r="V327" s="9" t="str">
        <f>IFERROR(MID(VLOOKUP($B327,Seqs!$A:$B,2,0),W327,1),"")</f>
        <v>V</v>
      </c>
      <c r="W327" s="9">
        <v>250</v>
      </c>
      <c r="X327" s="9" t="str">
        <f>IFERROR(MID(VLOOKUP($B327,Seqs!$A:$B,2,0),Y327,1),"")</f>
        <v/>
      </c>
      <c r="Y327" s="9" t="s">
        <v>23</v>
      </c>
      <c r="Z327" s="9" t="str">
        <f>IFERROR(MID(VLOOKUP($B327,Seqs!$A:$B,2,0),AA327,1),"")</f>
        <v/>
      </c>
      <c r="AA327" s="9" t="s">
        <v>23</v>
      </c>
      <c r="AB327" s="9" t="str">
        <f>IFERROR(MID(VLOOKUP($B327,Seqs!$A:$B,2,0),AC327,1),"")</f>
        <v>R</v>
      </c>
      <c r="AC327" s="9">
        <v>258</v>
      </c>
      <c r="AD327" s="9" t="str">
        <f>IFERROR(MID(VLOOKUP($B327,Seqs!$A:$B,2,0),AE327,1),"")</f>
        <v>F</v>
      </c>
      <c r="AE327" s="9">
        <v>285</v>
      </c>
      <c r="AF327" s="9" t="str">
        <f>IFERROR(MID(VLOOKUP($B327,Seqs!$A:$B,2,0),AG327,1),"")</f>
        <v>C</v>
      </c>
      <c r="AG327" s="9">
        <v>289</v>
      </c>
      <c r="AH327" s="9" t="str">
        <f>IFERROR(MID(VLOOKUP($B327,Seqs!$A:$B,2,0),AI327,1),"")</f>
        <v>L</v>
      </c>
      <c r="AI327" s="9">
        <v>291</v>
      </c>
      <c r="AJ327" s="9" t="str">
        <f>IFERROR(MID(VLOOKUP($B327,Seqs!$A:$B,2,0),AK327,1),"")</f>
        <v>L</v>
      </c>
      <c r="AK327" s="9">
        <v>298</v>
      </c>
      <c r="AL327" s="9" t="str">
        <f>IFERROR(MID(VLOOKUP($B327,Seqs!$A:$B,2,0),AM327,1),"")</f>
        <v>T</v>
      </c>
      <c r="AM327" s="9">
        <v>330</v>
      </c>
      <c r="AN327" s="9" t="str">
        <f>IFERROR(MID(VLOOKUP($B327,Seqs!$A:$B,2,0),AO327,1),"")</f>
        <v>H</v>
      </c>
      <c r="AO327" s="9">
        <v>336</v>
      </c>
      <c r="AP327" s="9" t="str">
        <f>IFERROR(MID(VLOOKUP($B327,Seqs!$A:$B,2,0),AQ327,1),"")</f>
        <v>F</v>
      </c>
      <c r="AQ327" s="9">
        <v>359</v>
      </c>
      <c r="AR327" s="9" t="str">
        <f>IFERROR(MID(VLOOKUP($B327,Seqs!$A:$B,2,0),AS327,1),"")</f>
        <v>N</v>
      </c>
      <c r="AS327" s="9">
        <v>365</v>
      </c>
      <c r="AT327" s="9" t="str">
        <f>IFERROR(MID(VLOOKUP($B327,Seqs!$A:$B,2,0),AU327,1),"")</f>
        <v>C</v>
      </c>
      <c r="AU327" s="9">
        <v>394</v>
      </c>
      <c r="AV327" s="9" t="str">
        <f>IFERROR(MID(VLOOKUP($B327,Seqs!$A:$B,2,0),AW327,1),"")</f>
        <v>N</v>
      </c>
      <c r="AW327" s="9">
        <v>395</v>
      </c>
      <c r="AX327" s="9" t="str">
        <f>IFERROR(MID(VLOOKUP($B327,Seqs!$A:$B,2,0),AY327,1),"")</f>
        <v>Q</v>
      </c>
      <c r="AY327" s="9">
        <v>412</v>
      </c>
      <c r="AZ327" s="110" t="str">
        <f>VLOOKUP(B327,Classification!A:D,2,0)</f>
        <v>B1</v>
      </c>
      <c r="BA327" s="98" t="str">
        <f>VLOOKUP(B327,Classification!A:D,4,0)</f>
        <v>Calcitonin</v>
      </c>
      <c r="BB327" s="36" t="b">
        <f t="shared" ref="BB327" si="2014"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109">
        <f t="shared" ref="BC327" si="2015">_xlfn.AGGREGATE(9,6,CH327:CS327)-_xlfn.AGGREGATE(9,6,BV327:CG327)+12</f>
        <v>240</v>
      </c>
      <c r="BD327" s="11" t="s">
        <v>1375</v>
      </c>
      <c r="BE327" s="9" t="s">
        <v>1291</v>
      </c>
      <c r="BF327" s="120">
        <v>3.34</v>
      </c>
      <c r="BG327" s="51" t="s">
        <v>1422</v>
      </c>
      <c r="BH327" s="51" t="s">
        <v>1422</v>
      </c>
      <c r="BJ327" s="111" t="s">
        <v>1287</v>
      </c>
      <c r="BK327" s="112" t="s">
        <v>1287</v>
      </c>
      <c r="BL327" s="112" t="s">
        <v>1287</v>
      </c>
      <c r="BM327" s="112" t="s">
        <v>1287</v>
      </c>
      <c r="BN327" s="112" t="s">
        <v>1287</v>
      </c>
      <c r="BO327" s="112" t="s">
        <v>1287</v>
      </c>
      <c r="BP327" s="112" t="s">
        <v>1287</v>
      </c>
      <c r="BQ327" s="112" t="s">
        <v>1287</v>
      </c>
      <c r="BR327" s="112" t="s">
        <v>1287</v>
      </c>
      <c r="BS327" s="112" t="s">
        <v>1287</v>
      </c>
      <c r="BT327" s="112" t="s">
        <v>1287</v>
      </c>
      <c r="BU327" s="112" t="s">
        <v>1287</v>
      </c>
      <c r="BV327" s="111">
        <f t="shared" ref="BV327" si="2016">E327</f>
        <v>138</v>
      </c>
      <c r="BW327" s="113">
        <f t="shared" ref="BW327" si="2017">I327</f>
        <v>174</v>
      </c>
      <c r="BX327" s="114">
        <f t="shared" ref="BX327" si="2018">M327</f>
        <v>178</v>
      </c>
      <c r="BY327" s="113" t="str">
        <f t="shared" ref="BY327" si="2019">Q327</f>
        <v>-</v>
      </c>
      <c r="BZ327" s="114">
        <f t="shared" ref="BZ327" si="2020">U327</f>
        <v>217</v>
      </c>
      <c r="CA327" s="113" t="str">
        <f t="shared" ref="CA327" si="2021">Y327</f>
        <v>-</v>
      </c>
      <c r="CB327" s="114">
        <f t="shared" ref="CB327" si="2022">AC327</f>
        <v>258</v>
      </c>
      <c r="CC327" s="113">
        <f t="shared" ref="CC327" si="2023">AG327</f>
        <v>289</v>
      </c>
      <c r="CD327" s="114">
        <f t="shared" ref="CD327" si="2024">AK327</f>
        <v>298</v>
      </c>
      <c r="CE327" s="113">
        <f t="shared" ref="CE327" si="2025">AO327</f>
        <v>336</v>
      </c>
      <c r="CF327" s="114">
        <f t="shared" ref="CF327" si="2026">AS327</f>
        <v>365</v>
      </c>
      <c r="CG327" s="113">
        <f t="shared" ref="CG327" si="2027">AW327</f>
        <v>395</v>
      </c>
      <c r="CH327" s="111">
        <f t="shared" ref="CH327" si="2028">G327</f>
        <v>173</v>
      </c>
      <c r="CI327" s="113">
        <f t="shared" ref="CI327" si="2029">K327</f>
        <v>177</v>
      </c>
      <c r="CJ327" s="114">
        <f t="shared" ref="CJ327" si="2030">O327</f>
        <v>205</v>
      </c>
      <c r="CK327" s="114" t="str">
        <f t="shared" ref="CK327" si="2031">S327</f>
        <v>-</v>
      </c>
      <c r="CL327" s="114">
        <f t="shared" ref="CL327" si="2032">W327</f>
        <v>250</v>
      </c>
      <c r="CM327" s="114" t="str">
        <f t="shared" ref="CM327" si="2033">AA327</f>
        <v>-</v>
      </c>
      <c r="CN327" s="114">
        <f t="shared" ref="CN327" si="2034">AE327</f>
        <v>285</v>
      </c>
      <c r="CO327" s="114">
        <f t="shared" ref="CO327" si="2035">AI327</f>
        <v>291</v>
      </c>
      <c r="CP327" s="114">
        <f t="shared" ref="CP327" si="2036">AM327</f>
        <v>330</v>
      </c>
      <c r="CQ327" s="114">
        <f t="shared" ref="CQ327" si="2037">AQ327</f>
        <v>359</v>
      </c>
      <c r="CR327" s="114">
        <f t="shared" ref="CR327" si="2038">AU327</f>
        <v>394</v>
      </c>
      <c r="CS327" s="114">
        <f t="shared" ref="CS327" si="2039">AY327</f>
        <v>412</v>
      </c>
      <c r="CT327" s="109">
        <f t="shared" ref="CT327" si="2040">M327-K327</f>
        <v>1</v>
      </c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/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/>
      <c r="KP327" s="129"/>
      <c r="KQ327" s="129"/>
      <c r="KR327" s="129"/>
      <c r="KS327" s="129"/>
      <c r="KT327" s="129"/>
      <c r="KU327" s="129"/>
      <c r="KV327" s="129"/>
      <c r="KW327" s="129"/>
      <c r="KX327" s="129"/>
      <c r="KY327" s="129"/>
      <c r="KZ327" s="129"/>
      <c r="LA327" s="129"/>
      <c r="LB327" s="129"/>
      <c r="LC327" s="129"/>
      <c r="LD327" s="129"/>
      <c r="LE327" s="129"/>
      <c r="LF327" s="129"/>
      <c r="LG327" s="129"/>
      <c r="LH327" s="129"/>
      <c r="LI327" s="129"/>
      <c r="LJ327" s="129"/>
      <c r="LK327" s="129"/>
      <c r="LL327" s="129"/>
      <c r="LM327" s="129"/>
      <c r="LN327" s="129"/>
      <c r="LO327" s="129"/>
      <c r="LP327" s="129"/>
      <c r="LQ327" s="129"/>
      <c r="LR327" s="129"/>
      <c r="LS327" s="129"/>
      <c r="LT327" s="129"/>
      <c r="LU327" s="129"/>
      <c r="LV327" s="129"/>
      <c r="LW327" s="129"/>
      <c r="LX327" s="129"/>
      <c r="LY327" s="129"/>
      <c r="LZ327" s="129"/>
      <c r="MA327" s="129"/>
      <c r="MB327" s="129"/>
      <c r="MC327" s="129"/>
      <c r="MD327" s="129"/>
      <c r="ME327" s="129"/>
      <c r="MF327" s="129"/>
      <c r="MG327" s="129"/>
      <c r="MH327" s="129"/>
      <c r="MI327" s="129"/>
      <c r="MJ327" s="129"/>
      <c r="MK327" s="129"/>
      <c r="ML327" s="129"/>
      <c r="MM327" s="129"/>
      <c r="MN327" s="129"/>
      <c r="MO327" s="129"/>
      <c r="MP327" s="129"/>
      <c r="MQ327" s="129"/>
      <c r="MR327" s="129"/>
      <c r="MS327" s="129"/>
      <c r="MT327" s="129"/>
      <c r="MU327" s="129"/>
      <c r="MV327" s="129"/>
      <c r="MW327" s="129"/>
      <c r="MX327" s="129"/>
      <c r="MY327" s="129"/>
      <c r="MZ327" s="129"/>
      <c r="NA327" s="129"/>
      <c r="NB327" s="129"/>
      <c r="NC327" s="129"/>
      <c r="ND327" s="129"/>
      <c r="NE327" s="129"/>
      <c r="NF327" s="129"/>
      <c r="NG327" s="129"/>
      <c r="NH327" s="129"/>
      <c r="NI327" s="129"/>
      <c r="NJ327" s="129"/>
      <c r="NK327" s="129"/>
      <c r="NL327" s="129"/>
      <c r="NM327" s="129"/>
      <c r="NN327" s="129"/>
      <c r="NO327" s="129"/>
      <c r="NP327" s="129"/>
      <c r="NQ327" s="129"/>
      <c r="NR327" s="129"/>
      <c r="NS327" s="129"/>
      <c r="NT327" s="129"/>
      <c r="NU327" s="129"/>
      <c r="NV327" s="129"/>
      <c r="NW327" s="129"/>
      <c r="NX327" s="129"/>
      <c r="NY327" s="129"/>
      <c r="NZ327" s="129"/>
      <c r="OA327" s="129"/>
      <c r="OB327" s="129"/>
      <c r="OC327" s="129"/>
      <c r="OD327" s="129"/>
      <c r="OE327" s="129"/>
      <c r="OF327" s="129"/>
      <c r="OG327" s="129"/>
      <c r="OH327" s="129"/>
      <c r="OI327" s="129"/>
      <c r="OJ327" s="129"/>
      <c r="OK327" s="129"/>
      <c r="OL327" s="129"/>
      <c r="OM327" s="129"/>
      <c r="ON327" s="129"/>
      <c r="OO327" s="129"/>
      <c r="OP327" s="129"/>
      <c r="OQ327" s="129"/>
      <c r="OR327" s="129"/>
      <c r="OS327" s="129"/>
      <c r="OT327" s="129"/>
      <c r="OU327" s="129"/>
      <c r="OV327" s="129"/>
      <c r="OW327" s="129"/>
      <c r="OX327" s="129"/>
      <c r="OY327" s="129"/>
      <c r="OZ327" s="129"/>
      <c r="PA327" s="129"/>
      <c r="PB327" s="129"/>
      <c r="PC327" s="129"/>
      <c r="PD327" s="129"/>
      <c r="PE327" s="129"/>
      <c r="PF327" s="129"/>
      <c r="PG327" s="129"/>
      <c r="PH327" s="129"/>
      <c r="PI327" s="129"/>
      <c r="PJ327" s="129"/>
      <c r="PK327" s="129"/>
      <c r="PL327" s="129"/>
      <c r="PM327" s="129"/>
      <c r="PN327" s="129"/>
      <c r="PO327" s="129"/>
      <c r="PP327" s="129"/>
      <c r="PQ327" s="129"/>
      <c r="PR327" s="129"/>
      <c r="PS327" s="129"/>
      <c r="PT327" s="129"/>
      <c r="PU327" s="129"/>
      <c r="PV327" s="129"/>
      <c r="PW327" s="129"/>
      <c r="PX327" s="129"/>
      <c r="PY327" s="129"/>
      <c r="PZ327" s="129"/>
      <c r="QA327" s="129"/>
      <c r="QB327" s="129"/>
      <c r="QC327" s="129"/>
      <c r="QD327" s="129"/>
      <c r="QE327" s="129"/>
      <c r="QF327" s="129"/>
      <c r="QG327" s="129"/>
      <c r="QH327" s="129"/>
      <c r="QI327" s="129"/>
      <c r="QJ327" s="129"/>
      <c r="QK327" s="129"/>
      <c r="QL327" s="129"/>
      <c r="QM327" s="129"/>
      <c r="QN327" s="129"/>
      <c r="QO327" s="129"/>
      <c r="QP327" s="129"/>
      <c r="QQ327" s="129"/>
      <c r="QR327" s="129"/>
      <c r="QS327" s="129"/>
      <c r="QT327" s="129"/>
      <c r="QU327" s="129"/>
      <c r="QV327" s="129"/>
      <c r="QW327" s="129"/>
      <c r="QX327" s="129"/>
      <c r="QY327" s="129"/>
      <c r="QZ327" s="129"/>
      <c r="RA327" s="129"/>
      <c r="RB327" s="129"/>
      <c r="RC327" s="129"/>
      <c r="RD327" s="129"/>
      <c r="RE327" s="129"/>
      <c r="RF327" s="129"/>
      <c r="RG327" s="129"/>
      <c r="RH327" s="129"/>
      <c r="RI327" s="129"/>
      <c r="RJ327" s="129"/>
      <c r="RK327" s="129"/>
      <c r="RL327" s="129"/>
      <c r="RM327" s="129"/>
      <c r="RN327" s="129"/>
      <c r="RO327" s="129"/>
      <c r="RP327" s="129"/>
      <c r="RQ327" s="129"/>
      <c r="RR327" s="129"/>
      <c r="RS327" s="129"/>
      <c r="RT327" s="129"/>
      <c r="RU327" s="129"/>
      <c r="RV327" s="129"/>
      <c r="RW327" s="129"/>
      <c r="RX327" s="129"/>
      <c r="RY327" s="129"/>
      <c r="RZ327" s="129"/>
      <c r="SA327" s="129"/>
      <c r="SB327" s="129"/>
      <c r="SC327" s="129"/>
      <c r="SD327" s="129"/>
      <c r="SE327" s="129"/>
      <c r="SF327" s="129"/>
      <c r="SG327" s="129"/>
      <c r="SH327" s="129"/>
      <c r="SI327" s="129"/>
      <c r="SJ327" s="129"/>
      <c r="SK327" s="129"/>
      <c r="SL327" s="129"/>
      <c r="SM327" s="129"/>
      <c r="SN327" s="129"/>
      <c r="SO327" s="129"/>
      <c r="SP327" s="129"/>
      <c r="SQ327" s="129"/>
      <c r="SR327" s="129"/>
      <c r="SS327" s="129"/>
      <c r="ST327" s="129"/>
      <c r="SU327" s="129"/>
      <c r="SV327" s="129"/>
      <c r="SW327" s="129"/>
      <c r="SX327" s="129"/>
      <c r="SY327" s="129"/>
      <c r="SZ327" s="129"/>
      <c r="TA327" s="129"/>
      <c r="TB327" s="129"/>
      <c r="TC327" s="129"/>
      <c r="TD327" s="129"/>
      <c r="TE327" s="129"/>
      <c r="TF327" s="129"/>
      <c r="TG327" s="129"/>
      <c r="TH327" s="129"/>
      <c r="TI327" s="129"/>
      <c r="TJ327" s="129"/>
      <c r="TK327" s="129"/>
      <c r="TL327" s="129"/>
      <c r="TM327" s="129"/>
      <c r="TN327" s="129"/>
      <c r="TO327" s="129"/>
      <c r="TP327" s="129"/>
      <c r="TQ327" s="129"/>
      <c r="TR327" s="129"/>
      <c r="TS327" s="129"/>
      <c r="TT327" s="129"/>
      <c r="TU327" s="129"/>
      <c r="TV327" s="129"/>
      <c r="TW327" s="129"/>
      <c r="TX327" s="129"/>
      <c r="TY327" s="129"/>
      <c r="TZ327" s="129"/>
      <c r="UA327" s="129"/>
      <c r="UB327" s="129"/>
      <c r="UC327" s="129"/>
      <c r="UD327" s="129"/>
      <c r="UE327" s="129"/>
      <c r="UF327" s="129"/>
      <c r="UG327" s="129"/>
      <c r="UH327" s="129"/>
      <c r="UI327" s="129"/>
      <c r="UJ327" s="129"/>
      <c r="UK327" s="129"/>
      <c r="UL327" s="129"/>
      <c r="UM327" s="129"/>
      <c r="UN327" s="129"/>
      <c r="UO327" s="129"/>
      <c r="UP327" s="129"/>
      <c r="UQ327" s="129"/>
      <c r="UR327" s="129"/>
      <c r="US327" s="129"/>
      <c r="UT327" s="129"/>
      <c r="UU327" s="129"/>
      <c r="UV327" s="129"/>
      <c r="UW327" s="129"/>
      <c r="UX327" s="129"/>
      <c r="UY327" s="129"/>
      <c r="UZ327" s="129"/>
      <c r="VA327" s="129"/>
      <c r="VB327" s="129"/>
      <c r="VC327" s="129"/>
      <c r="VD327" s="129"/>
      <c r="VE327" s="129"/>
      <c r="VF327" s="129"/>
      <c r="VG327" s="129"/>
      <c r="VH327" s="129"/>
      <c r="VI327" s="129"/>
      <c r="VJ327" s="129"/>
      <c r="VK327" s="129"/>
      <c r="VL327" s="129"/>
      <c r="VM327" s="129"/>
      <c r="VN327" s="129"/>
      <c r="VO327" s="129"/>
      <c r="VP327" s="129"/>
      <c r="VQ327" s="129"/>
      <c r="VR327" s="129"/>
      <c r="VS327" s="129"/>
      <c r="VT327" s="129"/>
      <c r="VU327" s="129"/>
      <c r="VV327" s="129"/>
      <c r="VW327" s="129"/>
      <c r="VX327" s="129"/>
      <c r="VY327" s="129"/>
      <c r="VZ327" s="129"/>
      <c r="WA327" s="129"/>
      <c r="WB327" s="129"/>
      <c r="WC327" s="129"/>
      <c r="WD327" s="129"/>
      <c r="WE327" s="129"/>
      <c r="WF327" s="129"/>
      <c r="WG327" s="129"/>
      <c r="WH327" s="129"/>
      <c r="WI327" s="129"/>
      <c r="WJ327" s="129"/>
      <c r="WK327" s="129"/>
      <c r="WL327" s="129"/>
      <c r="WM327" s="129"/>
      <c r="WN327" s="129"/>
      <c r="WO327" s="129"/>
      <c r="WP327" s="129"/>
      <c r="WQ327" s="129"/>
      <c r="WR327" s="129"/>
      <c r="WS327" s="129"/>
      <c r="WT327" s="129"/>
      <c r="WU327" s="129"/>
      <c r="WV327" s="129"/>
      <c r="WW327" s="129"/>
      <c r="WX327" s="129"/>
      <c r="WY327" s="129"/>
      <c r="WZ327" s="129"/>
      <c r="XA327" s="129"/>
      <c r="XB327" s="129"/>
      <c r="XC327" s="129"/>
      <c r="XD327" s="129"/>
      <c r="XE327" s="129"/>
      <c r="XF327" s="129"/>
      <c r="XG327" s="129"/>
      <c r="XH327" s="129"/>
      <c r="XI327" s="129"/>
      <c r="XJ327" s="129"/>
      <c r="XK327" s="129"/>
      <c r="XL327" s="129"/>
      <c r="XM327" s="129"/>
      <c r="XN327" s="129"/>
      <c r="XO327" s="129"/>
      <c r="XP327" s="129"/>
      <c r="XQ327" s="129"/>
      <c r="XR327" s="129"/>
      <c r="XS327" s="129"/>
      <c r="XT327" s="129"/>
      <c r="XU327" s="129"/>
      <c r="XV327" s="129"/>
      <c r="XW327" s="129"/>
      <c r="XX327" s="129"/>
      <c r="XY327" s="129"/>
      <c r="XZ327" s="129"/>
      <c r="YA327" s="129"/>
      <c r="YB327" s="129"/>
      <c r="YC327" s="129"/>
      <c r="YD327" s="129"/>
      <c r="YE327" s="129"/>
      <c r="YF327" s="129"/>
      <c r="YG327" s="129"/>
      <c r="YH327" s="129"/>
      <c r="YI327" s="129"/>
      <c r="YJ327" s="129"/>
      <c r="YK327" s="129"/>
      <c r="YL327" s="129"/>
      <c r="YM327" s="129"/>
      <c r="YN327" s="129"/>
      <c r="YO327" s="129"/>
      <c r="YP327" s="129"/>
      <c r="YQ327" s="129"/>
      <c r="YR327" s="129"/>
      <c r="YS327" s="129"/>
      <c r="YT327" s="129"/>
      <c r="YU327" s="129"/>
      <c r="YV327" s="129"/>
      <c r="YW327" s="129"/>
      <c r="YX327" s="129"/>
      <c r="YY327" s="129"/>
      <c r="YZ327" s="129"/>
      <c r="ZA327" s="129"/>
      <c r="ZB327" s="129"/>
      <c r="ZC327" s="129"/>
      <c r="ZD327" s="129"/>
      <c r="ZE327" s="129"/>
      <c r="ZF327" s="129"/>
      <c r="ZG327" s="129"/>
      <c r="ZH327" s="129"/>
      <c r="ZI327" s="129"/>
      <c r="ZJ327" s="129"/>
      <c r="ZK327" s="129"/>
      <c r="ZL327" s="129"/>
      <c r="ZM327" s="129"/>
      <c r="ZN327" s="129"/>
      <c r="ZO327" s="129"/>
      <c r="ZP327" s="129"/>
      <c r="ZQ327" s="129"/>
      <c r="ZR327" s="129"/>
      <c r="ZS327" s="129"/>
      <c r="ZT327" s="129"/>
      <c r="ZU327" s="129"/>
      <c r="ZV327" s="129"/>
      <c r="ZW327" s="129"/>
      <c r="ZX327" s="129"/>
      <c r="ZY327" s="129"/>
      <c r="ZZ327" s="129"/>
      <c r="AAA327" s="129"/>
      <c r="AAB327" s="129"/>
      <c r="AAC327" s="129"/>
      <c r="AAD327" s="129"/>
      <c r="AAE327" s="129"/>
      <c r="AAF327" s="129"/>
      <c r="AAG327" s="129"/>
      <c r="AAH327" s="129"/>
      <c r="AAI327" s="129"/>
      <c r="AAJ327" s="129"/>
      <c r="AAK327" s="129"/>
      <c r="AAL327" s="129"/>
      <c r="AAM327" s="129"/>
      <c r="AAN327" s="129"/>
      <c r="AAO327" s="129"/>
      <c r="AAP327" s="129"/>
      <c r="AAQ327" s="129"/>
      <c r="AAR327" s="129"/>
      <c r="AAS327" s="129"/>
      <c r="AAT327" s="129"/>
      <c r="AAU327" s="129"/>
      <c r="AAV327" s="129"/>
      <c r="AAW327" s="129"/>
      <c r="AAX327" s="129"/>
      <c r="AAY327" s="129"/>
      <c r="AAZ327" s="129"/>
      <c r="ABA327" s="129"/>
      <c r="ABB327" s="129"/>
      <c r="ABC327" s="129"/>
      <c r="ABD327" s="129"/>
      <c r="ABE327" s="129"/>
      <c r="ABF327" s="129"/>
      <c r="ABG327" s="129"/>
      <c r="ABH327" s="129"/>
      <c r="ABI327" s="129"/>
      <c r="ABJ327" s="129"/>
      <c r="ABK327" s="129"/>
      <c r="ABL327" s="129"/>
      <c r="ABM327" s="129"/>
      <c r="ABN327" s="129"/>
      <c r="ABO327" s="129"/>
      <c r="ABP327" s="129"/>
      <c r="ABQ327" s="129"/>
      <c r="ABR327" s="129"/>
      <c r="ABS327" s="129"/>
      <c r="ABT327" s="129"/>
      <c r="ABU327" s="129"/>
      <c r="ABV327" s="129"/>
      <c r="ABW327" s="129"/>
      <c r="ABX327" s="129"/>
      <c r="ABY327" s="129"/>
      <c r="ABZ327" s="129"/>
      <c r="ACA327" s="129"/>
      <c r="ACB327" s="129"/>
      <c r="ACC327" s="129"/>
      <c r="ACD327" s="129"/>
      <c r="ACE327" s="129"/>
      <c r="ACF327" s="129"/>
      <c r="ACG327" s="129"/>
      <c r="ACH327" s="129"/>
      <c r="ACI327" s="129"/>
      <c r="ACJ327" s="129"/>
      <c r="ACK327" s="129"/>
      <c r="ACL327" s="129"/>
      <c r="ACM327" s="129"/>
      <c r="ACN327" s="129"/>
      <c r="ACO327" s="129"/>
      <c r="ACP327" s="129"/>
      <c r="ACQ327" s="129"/>
      <c r="ACR327" s="129"/>
      <c r="ACS327" s="129"/>
      <c r="ACT327" s="129"/>
      <c r="ACU327" s="129"/>
      <c r="ACV327" s="129"/>
      <c r="ACW327" s="129"/>
      <c r="ACX327" s="129"/>
      <c r="ACY327" s="129"/>
      <c r="ACZ327" s="129"/>
      <c r="ADA327" s="129"/>
      <c r="ADB327" s="129"/>
      <c r="ADC327" s="129"/>
      <c r="ADD327" s="129"/>
      <c r="ADE327" s="129"/>
      <c r="ADF327" s="129"/>
      <c r="ADG327" s="129"/>
      <c r="ADH327" s="129"/>
      <c r="ADI327" s="129"/>
      <c r="ADJ327" s="129"/>
      <c r="ADK327" s="129"/>
      <c r="ADL327" s="129"/>
      <c r="ADM327" s="129"/>
      <c r="ADN327" s="129"/>
      <c r="ADO327" s="129"/>
      <c r="ADP327" s="129"/>
      <c r="ADQ327" s="129"/>
      <c r="ADR327" s="129"/>
      <c r="ADS327" s="129"/>
      <c r="ADT327" s="129"/>
      <c r="ADU327" s="129"/>
      <c r="ADV327" s="129"/>
      <c r="ADW327" s="129"/>
      <c r="ADX327" s="129"/>
      <c r="ADY327" s="129"/>
      <c r="ADZ327" s="129"/>
      <c r="AEA327" s="129"/>
      <c r="AEB327" s="129"/>
      <c r="AEC327" s="129"/>
      <c r="AED327" s="129"/>
      <c r="AEE327" s="129"/>
      <c r="AEF327" s="129"/>
      <c r="AEG327" s="129"/>
      <c r="AEH327" s="129"/>
      <c r="AEI327" s="129"/>
      <c r="AEJ327" s="129"/>
      <c r="AEK327" s="129"/>
      <c r="AEL327" s="129"/>
      <c r="AEM327" s="129"/>
      <c r="AEN327" s="129"/>
      <c r="AEO327" s="129"/>
      <c r="AEP327" s="129"/>
      <c r="AEQ327" s="129"/>
      <c r="AER327" s="129"/>
      <c r="AES327" s="129"/>
      <c r="AET327" s="129"/>
      <c r="AEU327" s="129"/>
      <c r="AEV327" s="129"/>
      <c r="AEW327" s="129"/>
      <c r="AEX327" s="129"/>
      <c r="AEY327" s="129"/>
      <c r="AEZ327" s="129"/>
      <c r="AFA327" s="129"/>
      <c r="AFB327" s="129"/>
      <c r="AFC327" s="129"/>
      <c r="AFD327" s="129"/>
      <c r="AFE327" s="129"/>
      <c r="AFF327" s="129"/>
      <c r="AFG327" s="129"/>
      <c r="AFH327" s="129"/>
      <c r="AFI327" s="129"/>
      <c r="AFJ327" s="129"/>
      <c r="AFK327" s="129"/>
      <c r="AFL327" s="129"/>
      <c r="AFM327" s="129"/>
      <c r="AFN327" s="129"/>
      <c r="AFO327" s="129"/>
      <c r="AFP327" s="129"/>
      <c r="AFQ327" s="129"/>
      <c r="AFR327" s="129"/>
      <c r="AFS327" s="129"/>
      <c r="AFT327" s="129"/>
      <c r="AFU327" s="129"/>
      <c r="AFV327" s="129"/>
      <c r="AFW327" s="129"/>
      <c r="AFX327" s="129"/>
      <c r="AFY327" s="129"/>
      <c r="AFZ327" s="129"/>
      <c r="AGA327" s="129"/>
      <c r="AGB327" s="129"/>
      <c r="AGC327" s="129"/>
      <c r="AGD327" s="129"/>
      <c r="AGE327" s="129"/>
      <c r="AGF327" s="129"/>
      <c r="AGG327" s="129"/>
      <c r="AGH327" s="129"/>
      <c r="AGI327" s="129"/>
      <c r="AGJ327" s="129"/>
      <c r="AGK327" s="129"/>
      <c r="AGL327" s="129"/>
      <c r="AGM327" s="129"/>
      <c r="AGN327" s="129"/>
      <c r="AGO327" s="129"/>
      <c r="AGP327" s="129"/>
      <c r="AGQ327" s="129"/>
      <c r="AGR327" s="129"/>
      <c r="AGS327" s="129"/>
      <c r="AGT327" s="129"/>
      <c r="AGU327" s="129"/>
      <c r="AGV327" s="129"/>
      <c r="AGW327" s="129"/>
      <c r="AGX327" s="129"/>
      <c r="AGY327" s="129"/>
      <c r="AGZ327" s="129"/>
      <c r="AHA327" s="129"/>
      <c r="AHB327" s="129"/>
      <c r="AHC327" s="129"/>
      <c r="AHD327" s="129"/>
      <c r="AHE327" s="129"/>
      <c r="AHF327" s="129"/>
      <c r="AHG327" s="129"/>
      <c r="AHH327" s="129"/>
      <c r="AHI327" s="129"/>
      <c r="AHJ327" s="129"/>
      <c r="AHK327" s="129"/>
      <c r="AHL327" s="129"/>
      <c r="AHM327" s="129"/>
      <c r="AHN327" s="129"/>
      <c r="AHO327" s="129"/>
      <c r="AHP327" s="129"/>
      <c r="AHQ327" s="129"/>
      <c r="AHR327" s="129"/>
      <c r="AHS327" s="129"/>
      <c r="AHT327" s="129"/>
      <c r="AHU327" s="129"/>
      <c r="AHV327" s="129"/>
      <c r="AHW327" s="129"/>
      <c r="AHX327" s="129"/>
      <c r="AHY327" s="129"/>
      <c r="AHZ327" s="129"/>
      <c r="AIA327" s="129"/>
      <c r="AIB327" s="129"/>
      <c r="AIC327" s="129"/>
      <c r="AID327" s="129"/>
      <c r="AIE327" s="129"/>
      <c r="AIF327" s="129"/>
      <c r="AIG327" s="129"/>
      <c r="AIH327" s="129"/>
      <c r="AII327" s="129"/>
      <c r="AIJ327" s="129"/>
      <c r="AIK327" s="129"/>
      <c r="AIL327" s="129"/>
      <c r="AIM327" s="129"/>
      <c r="AIN327" s="129"/>
      <c r="AIO327" s="129"/>
      <c r="AIP327" s="129"/>
      <c r="AIQ327" s="129"/>
      <c r="AIR327" s="129"/>
      <c r="AIS327" s="129"/>
      <c r="AIT327" s="129"/>
      <c r="AIU327" s="129"/>
      <c r="AIV327" s="129"/>
      <c r="AIW327" s="129"/>
      <c r="AIX327" s="129"/>
      <c r="AIY327" s="129"/>
      <c r="AIZ327" s="129"/>
      <c r="AJA327" s="129"/>
      <c r="AJB327" s="129"/>
      <c r="AJC327" s="129"/>
      <c r="AJD327" s="129"/>
      <c r="AJE327" s="129"/>
      <c r="AJF327" s="129"/>
      <c r="AJG327" s="129"/>
      <c r="AJH327" s="129"/>
      <c r="AJI327" s="129"/>
      <c r="AJJ327" s="129"/>
      <c r="AJK327" s="129"/>
      <c r="AJL327" s="129"/>
      <c r="AJM327" s="129"/>
      <c r="AJN327" s="129"/>
      <c r="AJO327" s="129"/>
      <c r="AJP327" s="129"/>
      <c r="AJQ327" s="129"/>
      <c r="AJR327" s="129"/>
      <c r="AJS327" s="129"/>
      <c r="AJT327" s="129"/>
      <c r="AJU327" s="129"/>
      <c r="AJV327" s="129"/>
      <c r="AJW327" s="129"/>
      <c r="AJX327" s="129"/>
      <c r="AJY327" s="129"/>
      <c r="AJZ327" s="129"/>
      <c r="AKA327" s="129"/>
      <c r="AKB327" s="129"/>
      <c r="AKC327" s="129"/>
      <c r="AKD327" s="129"/>
      <c r="AKE327" s="129"/>
      <c r="AKF327" s="129"/>
      <c r="AKG327" s="129"/>
      <c r="AKH327" s="129"/>
      <c r="AKI327" s="129"/>
      <c r="AKJ327" s="129"/>
      <c r="AKK327" s="129"/>
      <c r="AKL327" s="129"/>
      <c r="AKM327" s="129"/>
      <c r="AKN327" s="129"/>
      <c r="AKO327" s="129"/>
      <c r="AKP327" s="129"/>
      <c r="AKQ327" s="129"/>
      <c r="AKR327" s="129"/>
      <c r="AKS327" s="129"/>
      <c r="AKT327" s="129"/>
      <c r="AKU327" s="129"/>
      <c r="AKV327" s="129"/>
      <c r="AKW327" s="129"/>
      <c r="AKX327" s="129"/>
      <c r="AKY327" s="129"/>
      <c r="AKZ327" s="129"/>
      <c r="ALA327" s="129"/>
      <c r="ALB327" s="129"/>
      <c r="ALC327" s="129"/>
      <c r="ALD327" s="129"/>
      <c r="ALE327" s="129"/>
      <c r="ALF327" s="129"/>
      <c r="ALG327" s="129"/>
      <c r="ALH327" s="129"/>
      <c r="ALI327" s="129"/>
      <c r="ALJ327" s="129"/>
      <c r="ALK327" s="129"/>
      <c r="ALL327" s="129"/>
      <c r="ALM327" s="129"/>
      <c r="ALN327" s="129"/>
      <c r="ALO327" s="129"/>
      <c r="ALP327" s="129"/>
      <c r="ALQ327" s="129"/>
      <c r="ALR327" s="129"/>
      <c r="ALS327" s="129"/>
      <c r="ALT327" s="129"/>
      <c r="ALU327" s="129"/>
      <c r="ALV327" s="129"/>
      <c r="ALW327" s="129"/>
      <c r="ALX327" s="129"/>
      <c r="ALY327" s="129"/>
      <c r="ALZ327" s="129"/>
      <c r="AMA327" s="129"/>
      <c r="AMB327" s="129"/>
      <c r="AMC327" s="129"/>
      <c r="AMD327" s="129"/>
      <c r="AME327" s="129"/>
      <c r="AMF327" s="129"/>
      <c r="AMG327" s="129"/>
      <c r="AMH327" s="129"/>
      <c r="AMI327" s="129"/>
      <c r="AMJ327" s="129"/>
      <c r="AMK327" s="129"/>
      <c r="AML327" s="129"/>
      <c r="AMM327" s="129"/>
      <c r="AMN327" s="129"/>
      <c r="AMO327" s="129"/>
      <c r="AMP327" s="129"/>
    </row>
    <row r="328" spans="1:1030" x14ac:dyDescent="0.2">
      <c r="A328" s="3" t="str">
        <f t="shared" si="1956"/>
        <v>calrl_human__wt</v>
      </c>
      <c r="B328" s="2" t="s">
        <v>402</v>
      </c>
      <c r="C328" s="3" t="s">
        <v>100</v>
      </c>
      <c r="D328" s="3" t="str">
        <f>IFERROR(MID(VLOOKUP($B328,Seqs!$A:$B,2,0),E328,1),"")</f>
        <v>N</v>
      </c>
      <c r="E328" s="3">
        <v>130</v>
      </c>
      <c r="F328" s="3" t="str">
        <f>IFERROR(MID(VLOOKUP($B328,Seqs!$A:$B,2,0),G328,1),"")</f>
        <v>F</v>
      </c>
      <c r="G328" s="3">
        <v>166</v>
      </c>
      <c r="H328" s="3" t="str">
        <f>IFERROR(MID(VLOOKUP($B328,Seqs!$A:$B,2,0),I328,1),"")</f>
        <v>K</v>
      </c>
      <c r="I328" s="23">
        <v>167</v>
      </c>
      <c r="J328" s="3" t="str">
        <f>IFERROR(MID(VLOOKUP($B328,Seqs!$A:$B,2,0),K328,1),"")</f>
        <v>S</v>
      </c>
      <c r="K328" s="23">
        <v>170</v>
      </c>
      <c r="L328" s="3" t="str">
        <f>IFERROR(MID(VLOOKUP($B328,Seqs!$A:$B,2,0),M328,1),"")</f>
        <v>C</v>
      </c>
      <c r="M328" s="3">
        <v>171</v>
      </c>
      <c r="N328" s="3" t="str">
        <f>IFERROR(MID(VLOOKUP($B328,Seqs!$A:$B,2,0),O328,1),"")</f>
        <v>V</v>
      </c>
      <c r="O328" s="3">
        <v>198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V</v>
      </c>
      <c r="U328" s="3">
        <v>210</v>
      </c>
      <c r="V328" s="3" t="str">
        <f>IFERROR(MID(VLOOKUP($B328,Seqs!$A:$B,2,0),W328,1),"")</f>
        <v>V</v>
      </c>
      <c r="W328" s="3">
        <v>243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H</v>
      </c>
      <c r="AC328" s="3">
        <v>251</v>
      </c>
      <c r="AD328" s="3" t="str">
        <f>IFERROR(MID(VLOOKUP($B328,Seqs!$A:$B,2,0),AE328,1),"")</f>
        <v>Y</v>
      </c>
      <c r="AE328" s="3">
        <v>277</v>
      </c>
      <c r="AF328" s="3" t="str">
        <f>IFERROR(MID(VLOOKUP($B328,Seqs!$A:$B,2,0),AG328,1),"")</f>
        <v>C</v>
      </c>
      <c r="AG328" s="3">
        <v>282</v>
      </c>
      <c r="AH328" s="3" t="str">
        <f>IFERROR(MID(VLOOKUP($B328,Seqs!$A:$B,2,0),AI328,1),"")</f>
        <v>I</v>
      </c>
      <c r="AI328" s="3">
        <v>284</v>
      </c>
      <c r="AJ328" s="3" t="str">
        <f>IFERROR(MID(VLOOKUP($B328,Seqs!$A:$B,2,0),AK328,1),"")</f>
        <v>L</v>
      </c>
      <c r="AK328" s="3">
        <v>290</v>
      </c>
      <c r="AL328" s="3" t="str">
        <f>IFERROR(MID(VLOOKUP($B328,Seqs!$A:$B,2,0),AM328,1),"")</f>
        <v>K</v>
      </c>
      <c r="AM328" s="3">
        <v>321</v>
      </c>
      <c r="AN328" s="3" t="str">
        <f>IFERROR(MID(VLOOKUP($B328,Seqs!$A:$B,2,0),AO328,1),"")</f>
        <v>Y</v>
      </c>
      <c r="AO328" s="3">
        <v>331</v>
      </c>
      <c r="AP328" s="3" t="str">
        <f>IFERROR(MID(VLOOKUP($B328,Seqs!$A:$B,2,0),AQ328,1),"")</f>
        <v>W</v>
      </c>
      <c r="AQ328" s="3">
        <v>354</v>
      </c>
      <c r="AR328" s="3" t="str">
        <f>IFERROR(MID(VLOOKUP($B328,Seqs!$A:$B,2,0),AS328,1),"")</f>
        <v>K</v>
      </c>
      <c r="AS328" s="3">
        <v>359</v>
      </c>
      <c r="AT328" s="3" t="str">
        <f>IFERROR(MID(VLOOKUP($B328,Seqs!$A:$B,2,0),AU328,1),"")</f>
        <v>F</v>
      </c>
      <c r="AU328" s="3">
        <v>387</v>
      </c>
      <c r="AV328" s="3" t="str">
        <f>IFERROR(MID(VLOOKUP($B328,Seqs!$A:$B,2,0),AW328,1),"")</f>
        <v>N</v>
      </c>
      <c r="AW328" s="3">
        <v>388</v>
      </c>
      <c r="AX328" s="3" t="str">
        <f>IFERROR(MID(VLOOKUP($B328,Seqs!$A:$B,2,0),AY328,1),"")</f>
        <v>S</v>
      </c>
      <c r="AY328" s="3">
        <v>413</v>
      </c>
      <c r="AZ328" s="77" t="str">
        <f>VLOOKUP(B328,Classification!A:D,2,0)</f>
        <v>B1</v>
      </c>
      <c r="BA328" s="94" t="str">
        <f>VLOOKUP(B328,Classification!A:D,4,0)</f>
        <v>Calcitonin</v>
      </c>
      <c r="BB328" s="27" t="b">
        <f t="shared" ref="BB328" si="2041">AND(E328&lt;G328,OR(G328&lt;I328,I328="-"),OR(I328&lt;K328,I328="-"),OR(K328&lt;M328,K328="-"),M328&lt;O328,OR(O328&lt;Q328,Q328="-"),OR(Q328&lt;S328,Q328="-"),OR(S328&lt;U328,S328="-"),U328&lt;W328,OR(W328&lt;Y328,Y328="-"),OR(Y328&lt;AA328,Y328="-"),OR(AA328&lt;AC328,AA328="-"),AC328&lt;AE328,OR(AE328&lt;AG328,AG328="-"),OR(AG328&lt;AI328,AG328="-"),OR(AI328&lt;AK328,AI328="-"),AK328&lt;AM328,AM328&lt;AO328,AO328&lt;AQ328,AQ328&lt;AS328,AS328&lt;AU328,OR(AU328&lt;AW328,AW328="-"),OR(AW328&lt;AY328,AW328="-"))</f>
        <v>1</v>
      </c>
      <c r="BC328" s="23">
        <f t="shared" ref="BC328" si="2042">_xlfn.AGGREGATE(9,6,CH328:CS328)-_xlfn.AGGREGATE(9,6,BV328:CG328)+12</f>
        <v>246</v>
      </c>
      <c r="BD328" s="4" t="s">
        <v>23</v>
      </c>
      <c r="BE328" s="3" t="s">
        <v>23</v>
      </c>
      <c r="BF328" s="119" t="s">
        <v>23</v>
      </c>
      <c r="BG328" s="49" t="s">
        <v>1377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ref="BV328" si="2043">E328</f>
        <v>130</v>
      </c>
      <c r="BW328" s="71">
        <f t="shared" ref="BW328" si="2044">I328</f>
        <v>167</v>
      </c>
      <c r="BX328" s="72">
        <f t="shared" ref="BX328" si="2045">M328</f>
        <v>171</v>
      </c>
      <c r="BY328" s="71" t="str">
        <f t="shared" ref="BY328" si="2046">Q328</f>
        <v>-</v>
      </c>
      <c r="BZ328" s="72">
        <f t="shared" ref="BZ328" si="2047">U328</f>
        <v>210</v>
      </c>
      <c r="CA328" s="71" t="str">
        <f t="shared" ref="CA328" si="2048">Y328</f>
        <v>-</v>
      </c>
      <c r="CB328" s="72">
        <f t="shared" ref="CB328" si="2049">AC328</f>
        <v>251</v>
      </c>
      <c r="CC328" s="71">
        <f t="shared" ref="CC328" si="2050">AG328</f>
        <v>282</v>
      </c>
      <c r="CD328" s="72">
        <f t="shared" ref="CD328" si="2051">AK328</f>
        <v>290</v>
      </c>
      <c r="CE328" s="71">
        <f t="shared" ref="CE328" si="2052">AO328</f>
        <v>331</v>
      </c>
      <c r="CF328" s="72">
        <f t="shared" ref="CF328" si="2053">AS328</f>
        <v>359</v>
      </c>
      <c r="CG328" s="71">
        <f t="shared" ref="CG328" si="2054">AW328</f>
        <v>388</v>
      </c>
      <c r="CH328" s="70">
        <f t="shared" ref="CH328" si="2055">G328</f>
        <v>166</v>
      </c>
      <c r="CI328" s="71">
        <f t="shared" ref="CI328" si="2056">K328</f>
        <v>170</v>
      </c>
      <c r="CJ328" s="72">
        <f t="shared" ref="CJ328" si="2057">O328</f>
        <v>198</v>
      </c>
      <c r="CK328" s="72" t="str">
        <f t="shared" ref="CK328" si="2058">S328</f>
        <v>-</v>
      </c>
      <c r="CL328" s="72">
        <f t="shared" ref="CL328" si="2059">W328</f>
        <v>243</v>
      </c>
      <c r="CM328" s="72" t="str">
        <f t="shared" ref="CM328" si="2060">AA328</f>
        <v>-</v>
      </c>
      <c r="CN328" s="72">
        <f t="shared" ref="CN328" si="2061">AE328</f>
        <v>277</v>
      </c>
      <c r="CO328" s="72">
        <f t="shared" ref="CO328" si="2062">AI328</f>
        <v>284</v>
      </c>
      <c r="CP328" s="72">
        <f t="shared" ref="CP328" si="2063">AM328</f>
        <v>321</v>
      </c>
      <c r="CQ328" s="72">
        <f t="shared" ref="CQ328" si="2064">AQ328</f>
        <v>354</v>
      </c>
      <c r="CR328" s="72">
        <f t="shared" ref="CR328" si="2065">AU328</f>
        <v>387</v>
      </c>
      <c r="CS328" s="72">
        <f t="shared" ref="CS328" si="2066">AY328</f>
        <v>413</v>
      </c>
      <c r="CT328" s="23">
        <f t="shared" ref="CT328" si="2067">M328-K328</f>
        <v>1</v>
      </c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r="SQ328" s="6"/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r="UL328" s="6"/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6"/>
      <c r="VM328" s="6"/>
      <c r="VN328" s="6"/>
      <c r="VO328" s="6"/>
      <c r="VP328" s="6"/>
      <c r="VQ328" s="6"/>
      <c r="VR328" s="6"/>
      <c r="VS328" s="6"/>
      <c r="VT328" s="6"/>
      <c r="VU328" s="6"/>
      <c r="VV328" s="6"/>
      <c r="VW328" s="6"/>
      <c r="VX328" s="6"/>
      <c r="VY328" s="6"/>
      <c r="VZ328" s="6"/>
      <c r="WA328" s="6"/>
      <c r="WB328" s="6"/>
      <c r="WC328" s="6"/>
      <c r="WD328" s="6"/>
      <c r="WE328" s="6"/>
      <c r="WF328" s="6"/>
      <c r="WG328" s="6"/>
      <c r="WH328" s="6"/>
      <c r="WI328" s="6"/>
      <c r="WJ328" s="6"/>
      <c r="WK328" s="6"/>
      <c r="WL328" s="6"/>
      <c r="WM328" s="6"/>
      <c r="WN328" s="6"/>
      <c r="WO328" s="6"/>
      <c r="WP328" s="6"/>
      <c r="WQ328" s="6"/>
      <c r="WR328" s="6"/>
      <c r="WS328" s="6"/>
      <c r="WT328" s="6"/>
      <c r="WU328" s="6"/>
      <c r="WV328" s="6"/>
      <c r="WW328" s="6"/>
      <c r="WX328" s="6"/>
      <c r="WY328" s="6"/>
      <c r="WZ328" s="6"/>
      <c r="XA328" s="6"/>
      <c r="XB328" s="6"/>
      <c r="XC328" s="6"/>
      <c r="XD328" s="6"/>
      <c r="XE328" s="6"/>
      <c r="XF328" s="6"/>
      <c r="XG328" s="6"/>
      <c r="XH328" s="6"/>
      <c r="XI328" s="6"/>
      <c r="XJ328" s="6"/>
      <c r="XK328" s="6"/>
      <c r="XL328" s="6"/>
      <c r="XM328" s="6"/>
      <c r="XN328" s="6"/>
      <c r="XO328" s="6"/>
      <c r="XP328" s="6"/>
      <c r="XQ328" s="6"/>
      <c r="XR328" s="6"/>
      <c r="XS328" s="6"/>
      <c r="XT328" s="6"/>
      <c r="XU328" s="6"/>
      <c r="XV328" s="6"/>
      <c r="XW328" s="6"/>
      <c r="XX328" s="6"/>
      <c r="XY328" s="6"/>
      <c r="XZ328" s="6"/>
      <c r="YA328" s="6"/>
      <c r="YB328" s="6"/>
      <c r="YC328" s="6"/>
      <c r="YD328" s="6"/>
      <c r="YE328" s="6"/>
      <c r="YF328" s="6"/>
      <c r="YG328" s="6"/>
      <c r="YH328" s="6"/>
      <c r="YI328" s="6"/>
      <c r="YJ328" s="6"/>
      <c r="YK328" s="6"/>
      <c r="YL328" s="6"/>
      <c r="YM328" s="6"/>
      <c r="YN328" s="6"/>
      <c r="YO328" s="6"/>
      <c r="YP328" s="6"/>
      <c r="YQ328" s="6"/>
      <c r="YR328" s="6"/>
      <c r="YS328" s="6"/>
      <c r="YT328" s="6"/>
      <c r="YU328" s="6"/>
      <c r="YV328" s="6"/>
      <c r="YW328" s="6"/>
      <c r="YX328" s="6"/>
      <c r="YY328" s="6"/>
      <c r="YZ328" s="6"/>
      <c r="ZA328" s="6"/>
      <c r="ZB328" s="6"/>
      <c r="ZC328" s="6"/>
      <c r="ZD328" s="6"/>
      <c r="ZE328" s="6"/>
      <c r="ZF328" s="6"/>
      <c r="ZG328" s="6"/>
      <c r="ZH328" s="6"/>
      <c r="ZI328" s="6"/>
      <c r="ZJ328" s="6"/>
      <c r="ZK328" s="6"/>
      <c r="ZL328" s="6"/>
      <c r="ZM328" s="6"/>
      <c r="ZN328" s="6"/>
      <c r="ZO328" s="6"/>
      <c r="ZP328" s="6"/>
      <c r="ZQ328" s="6"/>
      <c r="ZR328" s="6"/>
      <c r="ZS328" s="6"/>
      <c r="ZT328" s="6"/>
      <c r="ZU328" s="6"/>
      <c r="ZV328" s="6"/>
      <c r="ZW328" s="6"/>
      <c r="ZX328" s="6"/>
      <c r="ZY328" s="6"/>
      <c r="ZZ328" s="6"/>
      <c r="AAA328" s="6"/>
      <c r="AAB328" s="6"/>
      <c r="AAC328" s="6"/>
      <c r="AAD328" s="6"/>
      <c r="AAE328" s="6"/>
      <c r="AAF328" s="6"/>
      <c r="AAG328" s="6"/>
      <c r="AAH328" s="6"/>
      <c r="AAI328" s="6"/>
      <c r="AAJ328" s="6"/>
      <c r="AAK328" s="6"/>
      <c r="AAL328" s="6"/>
      <c r="AAM328" s="6"/>
      <c r="AAN328" s="6"/>
      <c r="AAO328" s="6"/>
      <c r="AAP328" s="6"/>
      <c r="AAQ328" s="6"/>
      <c r="AAR328" s="6"/>
      <c r="AAS328" s="6"/>
      <c r="AAT328" s="6"/>
      <c r="AAU328" s="6"/>
      <c r="AAV328" s="6"/>
      <c r="AAW328" s="6"/>
      <c r="AAX328" s="6"/>
      <c r="AAY328" s="6"/>
      <c r="AAZ328" s="6"/>
      <c r="ABA328" s="6"/>
      <c r="ABB328" s="6"/>
      <c r="ABC328" s="6"/>
      <c r="ABD328" s="6"/>
      <c r="ABE328" s="6"/>
      <c r="ABF328" s="6"/>
      <c r="ABG328" s="6"/>
      <c r="ABH328" s="6"/>
      <c r="ABI328" s="6"/>
      <c r="ABJ328" s="6"/>
      <c r="ABK328" s="6"/>
      <c r="ABL328" s="6"/>
      <c r="ABM328" s="6"/>
      <c r="ABN328" s="6"/>
      <c r="ABO328" s="6"/>
      <c r="ABP328" s="6"/>
      <c r="ABQ328" s="6"/>
      <c r="ABR328" s="6"/>
      <c r="ABS328" s="6"/>
      <c r="ABT328" s="6"/>
      <c r="ABU328" s="6"/>
      <c r="ABV328" s="6"/>
      <c r="ABW328" s="6"/>
      <c r="ABX328" s="6"/>
      <c r="ABY328" s="6"/>
      <c r="ABZ328" s="6"/>
      <c r="ACA328" s="6"/>
      <c r="ACB328" s="6"/>
      <c r="ACC328" s="6"/>
      <c r="ACD328" s="6"/>
      <c r="ACE328" s="6"/>
      <c r="ACF328" s="6"/>
      <c r="ACG328" s="6"/>
      <c r="ACH328" s="6"/>
      <c r="ACI328" s="6"/>
      <c r="ACJ328" s="6"/>
      <c r="ACK328" s="6"/>
      <c r="ACL328" s="6"/>
      <c r="ACM328" s="6"/>
      <c r="ACN328" s="6"/>
      <c r="ACO328" s="6"/>
      <c r="ACP328" s="6"/>
      <c r="ACQ328" s="6"/>
      <c r="ACR328" s="6"/>
      <c r="ACS328" s="6"/>
      <c r="ACT328" s="6"/>
      <c r="ACU328" s="6"/>
      <c r="ACV328" s="6"/>
      <c r="ACW328" s="6"/>
      <c r="ACX328" s="6"/>
      <c r="ACY328" s="6"/>
      <c r="ACZ328" s="6"/>
      <c r="ADA328" s="6"/>
      <c r="ADB328" s="6"/>
      <c r="ADC328" s="6"/>
      <c r="ADD328" s="6"/>
      <c r="ADE328" s="6"/>
      <c r="ADF328" s="6"/>
      <c r="ADG328" s="6"/>
      <c r="ADH328" s="6"/>
      <c r="ADI328" s="6"/>
      <c r="ADJ328" s="6"/>
      <c r="ADK328" s="6"/>
      <c r="ADL328" s="6"/>
      <c r="ADM328" s="6"/>
      <c r="ADN328" s="6"/>
      <c r="ADO328" s="6"/>
      <c r="ADP328" s="6"/>
      <c r="ADQ328" s="6"/>
      <c r="ADR328" s="6"/>
      <c r="ADS328" s="6"/>
      <c r="ADT328" s="6"/>
      <c r="ADU328" s="6"/>
      <c r="ADV328" s="6"/>
      <c r="ADW328" s="6"/>
      <c r="ADX328" s="6"/>
      <c r="ADY328" s="6"/>
      <c r="ADZ328" s="6"/>
      <c r="AEA328" s="6"/>
      <c r="AEB328" s="6"/>
      <c r="AEC328" s="6"/>
      <c r="AED328" s="6"/>
      <c r="AEE328" s="6"/>
      <c r="AEF328" s="6"/>
      <c r="AEG328" s="6"/>
      <c r="AEH328" s="6"/>
      <c r="AEI328" s="6"/>
      <c r="AEJ328" s="6"/>
      <c r="AEK328" s="6"/>
      <c r="AEL328" s="6"/>
      <c r="AEM328" s="6"/>
      <c r="AEN328" s="6"/>
      <c r="AEO328" s="6"/>
      <c r="AEP328" s="6"/>
      <c r="AEQ328" s="6"/>
      <c r="AER328" s="6"/>
      <c r="AES328" s="6"/>
      <c r="AET328" s="6"/>
      <c r="AEU328" s="6"/>
      <c r="AEV328" s="6"/>
      <c r="AEW328" s="6"/>
      <c r="AEX328" s="6"/>
      <c r="AEY328" s="6"/>
      <c r="AEZ328" s="6"/>
      <c r="AFA328" s="6"/>
      <c r="AFB328" s="6"/>
      <c r="AFC328" s="6"/>
      <c r="AFD328" s="6"/>
      <c r="AFE328" s="6"/>
      <c r="AFF328" s="6"/>
      <c r="AFG328" s="6"/>
      <c r="AFH328" s="6"/>
      <c r="AFI328" s="6"/>
      <c r="AFJ328" s="6"/>
      <c r="AFK328" s="6"/>
      <c r="AFL328" s="6"/>
      <c r="AFM328" s="6"/>
      <c r="AFN328" s="6"/>
      <c r="AFO328" s="6"/>
      <c r="AFP328" s="6"/>
      <c r="AFQ328" s="6"/>
      <c r="AFR328" s="6"/>
      <c r="AFS328" s="6"/>
      <c r="AFT328" s="6"/>
      <c r="AFU328" s="6"/>
      <c r="AFV328" s="6"/>
      <c r="AFW328" s="6"/>
      <c r="AFX328" s="6"/>
      <c r="AFY328" s="6"/>
      <c r="AFZ328" s="6"/>
      <c r="AGA328" s="6"/>
      <c r="AGB328" s="6"/>
      <c r="AGC328" s="6"/>
      <c r="AGD328" s="6"/>
      <c r="AGE328" s="6"/>
      <c r="AGF328" s="6"/>
      <c r="AGG328" s="6"/>
      <c r="AGH328" s="6"/>
      <c r="AGI328" s="6"/>
      <c r="AGJ328" s="6"/>
      <c r="AGK328" s="6"/>
      <c r="AGL328" s="6"/>
      <c r="AGM328" s="6"/>
      <c r="AGN328" s="6"/>
      <c r="AGO328" s="6"/>
      <c r="AGP328" s="6"/>
      <c r="AGQ328" s="6"/>
      <c r="AGR328" s="6"/>
      <c r="AGS328" s="6"/>
      <c r="AGT328" s="6"/>
      <c r="AGU328" s="6"/>
      <c r="AGV328" s="6"/>
      <c r="AGW328" s="6"/>
      <c r="AGX328" s="6"/>
      <c r="AGY328" s="6"/>
      <c r="AGZ328" s="6"/>
      <c r="AHA328" s="6"/>
      <c r="AHB328" s="6"/>
      <c r="AHC328" s="6"/>
      <c r="AHD328" s="6"/>
      <c r="AHE328" s="6"/>
      <c r="AHF328" s="6"/>
      <c r="AHG328" s="6"/>
      <c r="AHH328" s="6"/>
      <c r="AHI328" s="6"/>
      <c r="AHJ328" s="6"/>
      <c r="AHK328" s="6"/>
      <c r="AHL328" s="6"/>
      <c r="AHM328" s="6"/>
      <c r="AHN328" s="6"/>
      <c r="AHO328" s="6"/>
      <c r="AHP328" s="6"/>
      <c r="AHQ328" s="6"/>
      <c r="AHR328" s="6"/>
      <c r="AHS328" s="6"/>
      <c r="AHT328" s="6"/>
      <c r="AHU328" s="6"/>
      <c r="AHV328" s="6"/>
      <c r="AHW328" s="6"/>
      <c r="AHX328" s="6"/>
      <c r="AHY328" s="6"/>
      <c r="AHZ328" s="6"/>
      <c r="AIA328" s="6"/>
      <c r="AIB328" s="6"/>
      <c r="AIC328" s="6"/>
      <c r="AID328" s="6"/>
      <c r="AIE328" s="6"/>
      <c r="AIF328" s="6"/>
      <c r="AIG328" s="6"/>
      <c r="AIH328" s="6"/>
      <c r="AII328" s="6"/>
      <c r="AIJ328" s="6"/>
      <c r="AIK328" s="6"/>
      <c r="AIL328" s="6"/>
      <c r="AIM328" s="6"/>
      <c r="AIN328" s="6"/>
      <c r="AIO328" s="6"/>
      <c r="AIP328" s="6"/>
      <c r="AIQ328" s="6"/>
      <c r="AIR328" s="6"/>
      <c r="AIS328" s="6"/>
      <c r="AIT328" s="6"/>
      <c r="AIU328" s="6"/>
      <c r="AIV328" s="6"/>
      <c r="AIW328" s="6"/>
      <c r="AIX328" s="6"/>
      <c r="AIY328" s="6"/>
      <c r="AIZ328" s="6"/>
      <c r="AJA328" s="6"/>
      <c r="AJB328" s="6"/>
      <c r="AJC328" s="6"/>
      <c r="AJD328" s="6"/>
      <c r="AJE328" s="6"/>
      <c r="AJF328" s="6"/>
      <c r="AJG328" s="6"/>
      <c r="AJH328" s="6"/>
      <c r="AJI328" s="6"/>
      <c r="AJJ328" s="6"/>
      <c r="AJK328" s="6"/>
      <c r="AJL328" s="6"/>
      <c r="AJM328" s="6"/>
      <c r="AJN328" s="6"/>
      <c r="AJO328" s="6"/>
      <c r="AJP328" s="6"/>
      <c r="AJQ328" s="6"/>
      <c r="AJR328" s="6"/>
      <c r="AJS328" s="6"/>
      <c r="AJT328" s="6"/>
      <c r="AJU328" s="6"/>
      <c r="AJV328" s="6"/>
      <c r="AJW328" s="6"/>
      <c r="AJX328" s="6"/>
      <c r="AJY328" s="6"/>
      <c r="AJZ328" s="6"/>
      <c r="AKA328" s="6"/>
      <c r="AKB328" s="6"/>
      <c r="AKC328" s="6"/>
      <c r="AKD328" s="6"/>
      <c r="AKE328" s="6"/>
      <c r="AKF328" s="6"/>
      <c r="AKG328" s="6"/>
      <c r="AKH328" s="6"/>
      <c r="AKI328" s="6"/>
      <c r="AKJ328" s="6"/>
      <c r="AKK328" s="6"/>
      <c r="AKL328" s="6"/>
      <c r="AKM328" s="6"/>
      <c r="AKN328" s="6"/>
      <c r="AKO328" s="6"/>
      <c r="AKP328" s="6"/>
      <c r="AKQ328" s="6"/>
      <c r="AKR328" s="6"/>
      <c r="AKS328" s="6"/>
      <c r="AKT328" s="6"/>
      <c r="AKU328" s="6"/>
      <c r="AKV328" s="6"/>
      <c r="AKW328" s="6"/>
      <c r="AKX328" s="6"/>
      <c r="AKY328" s="6"/>
      <c r="AKZ328" s="6"/>
      <c r="ALA328" s="6"/>
      <c r="ALB328" s="6"/>
      <c r="ALC328" s="6"/>
      <c r="ALD328" s="6"/>
      <c r="ALE328" s="6"/>
      <c r="ALF328" s="6"/>
      <c r="ALG328" s="6"/>
      <c r="ALH328" s="6"/>
      <c r="ALI328" s="6"/>
      <c r="ALJ328" s="6"/>
      <c r="ALK328" s="6"/>
      <c r="ALL328" s="6"/>
      <c r="ALM328" s="6"/>
      <c r="ALN328" s="6"/>
      <c r="ALO328" s="6"/>
      <c r="ALP328" s="6"/>
      <c r="ALQ328" s="6"/>
      <c r="ALR328" s="6"/>
      <c r="ALS328" s="6"/>
      <c r="ALT328" s="6"/>
      <c r="ALU328" s="6"/>
      <c r="ALV328" s="6"/>
      <c r="ALW328" s="6"/>
      <c r="ALX328" s="6"/>
      <c r="ALY328" s="6"/>
      <c r="ALZ328" s="6"/>
      <c r="AMA328" s="6"/>
      <c r="AMB328" s="6"/>
      <c r="AMC328" s="6"/>
      <c r="AMD328" s="6"/>
      <c r="AME328" s="6"/>
      <c r="AMF328" s="6"/>
      <c r="AMG328" s="6"/>
      <c r="AMH328" s="6"/>
      <c r="AMI328" s="6"/>
      <c r="AMJ328" s="6"/>
      <c r="AMK328" s="6"/>
      <c r="AML328" s="6"/>
      <c r="AMM328" s="6"/>
      <c r="AMN328" s="6"/>
      <c r="AMO328" s="6"/>
      <c r="AMP328" s="6"/>
    </row>
    <row r="329" spans="1:1030" x14ac:dyDescent="0.2">
      <c r="A329" s="3" t="str">
        <f t="shared" si="1956"/>
        <v>calrl_human_6E3Y</v>
      </c>
      <c r="B329" s="2" t="s">
        <v>402</v>
      </c>
      <c r="C329" s="3" t="s">
        <v>1516</v>
      </c>
      <c r="D329" s="3" t="str">
        <f>IFERROR(MID(VLOOKUP($B329,Seqs!$A:$B,2,0),E329,1),"")</f>
        <v>N</v>
      </c>
      <c r="E329" s="3">
        <v>130</v>
      </c>
      <c r="F329" s="3" t="str">
        <f>IFERROR(MID(VLOOKUP($B329,Seqs!$A:$B,2,0),G329,1),"")</f>
        <v>F</v>
      </c>
      <c r="G329" s="3">
        <v>166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C</v>
      </c>
      <c r="M329" s="3">
        <v>171</v>
      </c>
      <c r="N329" s="3" t="str">
        <f>IFERROR(MID(VLOOKUP($B329,Seqs!$A:$B,2,0),O329,1),"")</f>
        <v>V</v>
      </c>
      <c r="O329" s="3">
        <v>198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V</v>
      </c>
      <c r="U329" s="3">
        <v>210</v>
      </c>
      <c r="V329" s="3" t="str">
        <f>IFERROR(MID(VLOOKUP($B329,Seqs!$A:$B,2,0),W329,1),"")</f>
        <v>V</v>
      </c>
      <c r="W329" s="3">
        <v>242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M</v>
      </c>
      <c r="AC329" s="3">
        <v>253</v>
      </c>
      <c r="AD329" s="3" t="str">
        <f>IFERROR(MID(VLOOKUP($B329,Seqs!$A:$B,2,0),AE329,1),"")</f>
        <v>Y</v>
      </c>
      <c r="AE329" s="3">
        <v>277</v>
      </c>
      <c r="AF329" s="3" t="str">
        <f>IFERROR(MID(VLOOKUP($B329,Seqs!$A:$B,2,0),AG329,1),"")</f>
        <v>C</v>
      </c>
      <c r="AG329" s="3">
        <v>282</v>
      </c>
      <c r="AH329" s="3" t="str">
        <f>IFERROR(MID(VLOOKUP($B329,Seqs!$A:$B,2,0),AI329,1),"")</f>
        <v>I</v>
      </c>
      <c r="AI329" s="3">
        <v>284</v>
      </c>
      <c r="AJ329" s="3" t="str">
        <f>IFERROR(MID(VLOOKUP($B329,Seqs!$A:$B,2,0),AK329,1),"")</f>
        <v>L</v>
      </c>
      <c r="AK329" s="3">
        <v>290</v>
      </c>
      <c r="AL329" s="3" t="str">
        <f>IFERROR(MID(VLOOKUP($B329,Seqs!$A:$B,2,0),AM329,1),"")</f>
        <v>K</v>
      </c>
      <c r="AM329" s="3">
        <v>321</v>
      </c>
      <c r="AN329" s="3" t="str">
        <f>IFERROR(MID(VLOOKUP($B329,Seqs!$A:$B,2,0),AO329,1),"")</f>
        <v>N</v>
      </c>
      <c r="AO329" s="3">
        <v>329</v>
      </c>
      <c r="AP329" s="3" t="str">
        <f>IFERROR(MID(VLOOKUP($B329,Seqs!$A:$B,2,0),AQ329,1),"")</f>
        <v>V</v>
      </c>
      <c r="AQ329" s="3">
        <v>350</v>
      </c>
      <c r="AR329" s="3" t="str">
        <f>IFERROR(MID(VLOOKUP($B329,Seqs!$A:$B,2,0),AS329,1),"")</f>
        <v>V</v>
      </c>
      <c r="AS329" s="3">
        <v>364</v>
      </c>
      <c r="AT329" s="3" t="str">
        <f>IFERROR(MID(VLOOKUP($B329,Seqs!$A:$B,2,0),AU329,1),"")</f>
        <v>F</v>
      </c>
      <c r="AU329" s="3">
        <v>387</v>
      </c>
      <c r="AV329" s="3" t="str">
        <f>IFERROR(MID(VLOOKUP($B329,Seqs!$A:$B,2,0),AW329,1),"")</f>
        <v>N</v>
      </c>
      <c r="AW329" s="3">
        <v>388</v>
      </c>
      <c r="AX329" s="3" t="str">
        <f>IFERROR(MID(VLOOKUP($B329,Seqs!$A:$B,2,0),AY329,1),"")</f>
        <v>W</v>
      </c>
      <c r="AY329" s="3">
        <v>399</v>
      </c>
      <c r="AZ329" s="77" t="str">
        <f>VLOOKUP(B329,Classification!A:D,2,0)</f>
        <v>B1</v>
      </c>
      <c r="BA329" s="94" t="str">
        <f>VLOOKUP(B329,Classification!A:D,4,0)</f>
        <v>Calcitonin</v>
      </c>
      <c r="BB329" s="27" t="b">
        <f t="shared" ref="BB329" si="2068"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 t="shared" ref="BC329" si="2069">_xlfn.AGGREGATE(9,6,CH329:CS329)-_xlfn.AGGREGATE(9,6,BV329:CG329)+12</f>
        <v>219</v>
      </c>
      <c r="BD329" s="4" t="s">
        <v>1375</v>
      </c>
      <c r="BE329" s="3" t="s">
        <v>1291</v>
      </c>
      <c r="BF329" s="119">
        <v>3.3</v>
      </c>
      <c r="BG329" s="49" t="s">
        <v>1422</v>
      </c>
      <c r="BH329" s="49" t="s">
        <v>1422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ref="BV329" si="2070">E329</f>
        <v>130</v>
      </c>
      <c r="BW329" s="71" t="str">
        <f t="shared" ref="BW329" si="2071">I329</f>
        <v>-</v>
      </c>
      <c r="BX329" s="72">
        <f t="shared" ref="BX329" si="2072">M329</f>
        <v>171</v>
      </c>
      <c r="BY329" s="71" t="str">
        <f t="shared" ref="BY329" si="2073">Q329</f>
        <v>-</v>
      </c>
      <c r="BZ329" s="72">
        <f t="shared" ref="BZ329" si="2074">U329</f>
        <v>210</v>
      </c>
      <c r="CA329" s="71" t="str">
        <f t="shared" ref="CA329" si="2075">Y329</f>
        <v>-</v>
      </c>
      <c r="CB329" s="72">
        <f t="shared" ref="CB329" si="2076">AC329</f>
        <v>253</v>
      </c>
      <c r="CC329" s="71">
        <f t="shared" ref="CC329" si="2077">AG329</f>
        <v>282</v>
      </c>
      <c r="CD329" s="72">
        <f t="shared" ref="CD329" si="2078">AK329</f>
        <v>290</v>
      </c>
      <c r="CE329" s="71">
        <f t="shared" ref="CE329" si="2079">AO329</f>
        <v>329</v>
      </c>
      <c r="CF329" s="72">
        <f t="shared" ref="CF329" si="2080">AS329</f>
        <v>364</v>
      </c>
      <c r="CG329" s="71">
        <f t="shared" ref="CG329" si="2081">AW329</f>
        <v>388</v>
      </c>
      <c r="CH329" s="70">
        <f t="shared" ref="CH329" si="2082">G329</f>
        <v>166</v>
      </c>
      <c r="CI329" s="71" t="str">
        <f t="shared" ref="CI329" si="2083">K329</f>
        <v>-</v>
      </c>
      <c r="CJ329" s="72">
        <f t="shared" ref="CJ329" si="2084">O329</f>
        <v>198</v>
      </c>
      <c r="CK329" s="72" t="str">
        <f t="shared" ref="CK329" si="2085">S329</f>
        <v>-</v>
      </c>
      <c r="CL329" s="72">
        <f t="shared" ref="CL329" si="2086">W329</f>
        <v>242</v>
      </c>
      <c r="CM329" s="72" t="str">
        <f t="shared" ref="CM329" si="2087">AA329</f>
        <v>-</v>
      </c>
      <c r="CN329" s="72">
        <f t="shared" ref="CN329" si="2088">AE329</f>
        <v>277</v>
      </c>
      <c r="CO329" s="72">
        <f t="shared" ref="CO329" si="2089">AI329</f>
        <v>284</v>
      </c>
      <c r="CP329" s="72">
        <f t="shared" ref="CP329" si="2090">AM329</f>
        <v>321</v>
      </c>
      <c r="CQ329" s="72">
        <f t="shared" ref="CQ329" si="2091">AQ329</f>
        <v>350</v>
      </c>
      <c r="CR329" s="72">
        <f t="shared" ref="CR329" si="2092">AU329</f>
        <v>387</v>
      </c>
      <c r="CS329" s="72">
        <f t="shared" ref="CS329" si="2093">AY329</f>
        <v>399</v>
      </c>
      <c r="CT329" s="23" t="e">
        <f t="shared" ref="CT329" si="2094">M329-K329</f>
        <v>#VALUE!</v>
      </c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6"/>
      <c r="ACQ329" s="6"/>
      <c r="ACR329" s="6"/>
      <c r="ACS329" s="6"/>
      <c r="ACT329" s="6"/>
      <c r="ACU329" s="6"/>
      <c r="ACV329" s="6"/>
      <c r="ACW329" s="6"/>
      <c r="ACX329" s="6"/>
      <c r="ACY329" s="6"/>
      <c r="ACZ329" s="6"/>
      <c r="ADA329" s="6"/>
      <c r="ADB329" s="6"/>
      <c r="ADC329" s="6"/>
      <c r="ADD329" s="6"/>
      <c r="ADE329" s="6"/>
      <c r="ADF329" s="6"/>
      <c r="ADG329" s="6"/>
      <c r="ADH329" s="6"/>
      <c r="ADI329" s="6"/>
      <c r="ADJ329" s="6"/>
      <c r="ADK329" s="6"/>
      <c r="ADL329" s="6"/>
      <c r="ADM329" s="6"/>
      <c r="ADN329" s="6"/>
      <c r="ADO329" s="6"/>
      <c r="ADP329" s="6"/>
      <c r="ADQ329" s="6"/>
      <c r="ADR329" s="6"/>
      <c r="ADS329" s="6"/>
      <c r="ADT329" s="6"/>
      <c r="ADU329" s="6"/>
      <c r="ADV329" s="6"/>
      <c r="ADW329" s="6"/>
      <c r="ADX329" s="6"/>
      <c r="ADY329" s="6"/>
      <c r="ADZ329" s="6"/>
      <c r="AEA329" s="6"/>
      <c r="AEB329" s="6"/>
      <c r="AEC329" s="6"/>
      <c r="AED329" s="6"/>
      <c r="AEE329" s="6"/>
      <c r="AEF329" s="6"/>
      <c r="AEG329" s="6"/>
      <c r="AEH329" s="6"/>
      <c r="AEI329" s="6"/>
      <c r="AEJ329" s="6"/>
      <c r="AEK329" s="6"/>
      <c r="AEL329" s="6"/>
      <c r="AEM329" s="6"/>
      <c r="AEN329" s="6"/>
      <c r="AEO329" s="6"/>
      <c r="AEP329" s="6"/>
      <c r="AEQ329" s="6"/>
      <c r="AER329" s="6"/>
      <c r="AES329" s="6"/>
      <c r="AET329" s="6"/>
      <c r="AEU329" s="6"/>
      <c r="AEV329" s="6"/>
      <c r="AEW329" s="6"/>
      <c r="AEX329" s="6"/>
      <c r="AEY329" s="6"/>
      <c r="AEZ329" s="6"/>
      <c r="AFA329" s="6"/>
      <c r="AFB329" s="6"/>
      <c r="AFC329" s="6"/>
      <c r="AFD329" s="6"/>
      <c r="AFE329" s="6"/>
      <c r="AFF329" s="6"/>
      <c r="AFG329" s="6"/>
      <c r="AFH329" s="6"/>
      <c r="AFI329" s="6"/>
      <c r="AFJ329" s="6"/>
      <c r="AFK329" s="6"/>
      <c r="AFL329" s="6"/>
      <c r="AFM329" s="6"/>
      <c r="AFN329" s="6"/>
      <c r="AFO329" s="6"/>
      <c r="AFP329" s="6"/>
      <c r="AFQ329" s="6"/>
      <c r="AFR329" s="6"/>
      <c r="AFS329" s="6"/>
      <c r="AFT329" s="6"/>
      <c r="AFU329" s="6"/>
      <c r="AFV329" s="6"/>
      <c r="AFW329" s="6"/>
      <c r="AFX329" s="6"/>
      <c r="AFY329" s="6"/>
      <c r="AFZ329" s="6"/>
      <c r="AGA329" s="6"/>
      <c r="AGB329" s="6"/>
      <c r="AGC329" s="6"/>
      <c r="AGD329" s="6"/>
      <c r="AGE329" s="6"/>
      <c r="AGF329" s="6"/>
      <c r="AGG329" s="6"/>
      <c r="AGH329" s="6"/>
      <c r="AGI329" s="6"/>
      <c r="AGJ329" s="6"/>
      <c r="AGK329" s="6"/>
      <c r="AGL329" s="6"/>
      <c r="AGM329" s="6"/>
      <c r="AGN329" s="6"/>
      <c r="AGO329" s="6"/>
      <c r="AGP329" s="6"/>
      <c r="AGQ329" s="6"/>
      <c r="AGR329" s="6"/>
      <c r="AGS329" s="6"/>
      <c r="AGT329" s="6"/>
      <c r="AGU329" s="6"/>
      <c r="AGV329" s="6"/>
      <c r="AGW329" s="6"/>
      <c r="AGX329" s="6"/>
      <c r="AGY329" s="6"/>
      <c r="AGZ329" s="6"/>
      <c r="AHA329" s="6"/>
      <c r="AHB329" s="6"/>
      <c r="AHC329" s="6"/>
      <c r="AHD329" s="6"/>
      <c r="AHE329" s="6"/>
      <c r="AHF329" s="6"/>
      <c r="AHG329" s="6"/>
      <c r="AHH329" s="6"/>
      <c r="AHI329" s="6"/>
      <c r="AHJ329" s="6"/>
      <c r="AHK329" s="6"/>
      <c r="AHL329" s="6"/>
      <c r="AHM329" s="6"/>
      <c r="AHN329" s="6"/>
      <c r="AHO329" s="6"/>
      <c r="AHP329" s="6"/>
      <c r="AHQ329" s="6"/>
      <c r="AHR329" s="6"/>
      <c r="AHS329" s="6"/>
      <c r="AHT329" s="6"/>
      <c r="AHU329" s="6"/>
      <c r="AHV329" s="6"/>
      <c r="AHW329" s="6"/>
      <c r="AHX329" s="6"/>
      <c r="AHY329" s="6"/>
      <c r="AHZ329" s="6"/>
      <c r="AIA329" s="6"/>
      <c r="AIB329" s="6"/>
      <c r="AIC329" s="6"/>
      <c r="AID329" s="6"/>
      <c r="AIE329" s="6"/>
      <c r="AIF329" s="6"/>
      <c r="AIG329" s="6"/>
      <c r="AIH329" s="6"/>
      <c r="AII329" s="6"/>
      <c r="AIJ329" s="6"/>
      <c r="AIK329" s="6"/>
      <c r="AIL329" s="6"/>
      <c r="AIM329" s="6"/>
      <c r="AIN329" s="6"/>
      <c r="AIO329" s="6"/>
      <c r="AIP329" s="6"/>
      <c r="AIQ329" s="6"/>
      <c r="AIR329" s="6"/>
      <c r="AIS329" s="6"/>
      <c r="AIT329" s="6"/>
      <c r="AIU329" s="6"/>
      <c r="AIV329" s="6"/>
      <c r="AIW329" s="6"/>
      <c r="AIX329" s="6"/>
      <c r="AIY329" s="6"/>
      <c r="AIZ329" s="6"/>
      <c r="AJA329" s="6"/>
      <c r="AJB329" s="6"/>
      <c r="AJC329" s="6"/>
      <c r="AJD329" s="6"/>
      <c r="AJE329" s="6"/>
      <c r="AJF329" s="6"/>
      <c r="AJG329" s="6"/>
      <c r="AJH329" s="6"/>
      <c r="AJI329" s="6"/>
      <c r="AJJ329" s="6"/>
      <c r="AJK329" s="6"/>
      <c r="AJL329" s="6"/>
      <c r="AJM329" s="6"/>
      <c r="AJN329" s="6"/>
      <c r="AJO329" s="6"/>
      <c r="AJP329" s="6"/>
      <c r="AJQ329" s="6"/>
      <c r="AJR329" s="6"/>
      <c r="AJS329" s="6"/>
      <c r="AJT329" s="6"/>
      <c r="AJU329" s="6"/>
      <c r="AJV329" s="6"/>
      <c r="AJW329" s="6"/>
      <c r="AJX329" s="6"/>
      <c r="AJY329" s="6"/>
      <c r="AJZ329" s="6"/>
      <c r="AKA329" s="6"/>
      <c r="AKB329" s="6"/>
      <c r="AKC329" s="6"/>
      <c r="AKD329" s="6"/>
      <c r="AKE329" s="6"/>
      <c r="AKF329" s="6"/>
      <c r="AKG329" s="6"/>
      <c r="AKH329" s="6"/>
      <c r="AKI329" s="6"/>
      <c r="AKJ329" s="6"/>
      <c r="AKK329" s="6"/>
      <c r="AKL329" s="6"/>
      <c r="AKM329" s="6"/>
      <c r="AKN329" s="6"/>
      <c r="AKO329" s="6"/>
      <c r="AKP329" s="6"/>
      <c r="AKQ329" s="6"/>
      <c r="AKR329" s="6"/>
      <c r="AKS329" s="6"/>
      <c r="AKT329" s="6"/>
      <c r="AKU329" s="6"/>
      <c r="AKV329" s="6"/>
      <c r="AKW329" s="6"/>
      <c r="AKX329" s="6"/>
      <c r="AKY329" s="6"/>
      <c r="AKZ329" s="6"/>
      <c r="ALA329" s="6"/>
      <c r="ALB329" s="6"/>
      <c r="ALC329" s="6"/>
      <c r="ALD329" s="6"/>
      <c r="ALE329" s="6"/>
      <c r="ALF329" s="6"/>
      <c r="ALG329" s="6"/>
      <c r="ALH329" s="6"/>
      <c r="ALI329" s="6"/>
      <c r="ALJ329" s="6"/>
      <c r="ALK329" s="6"/>
      <c r="ALL329" s="6"/>
      <c r="ALM329" s="6"/>
      <c r="ALN329" s="6"/>
      <c r="ALO329" s="6"/>
      <c r="ALP329" s="6"/>
      <c r="ALQ329" s="6"/>
      <c r="ALR329" s="6"/>
      <c r="ALS329" s="6"/>
      <c r="ALT329" s="6"/>
      <c r="ALU329" s="6"/>
      <c r="ALV329" s="6"/>
      <c r="ALW329" s="6"/>
      <c r="ALX329" s="6"/>
      <c r="ALY329" s="6"/>
      <c r="ALZ329" s="6"/>
      <c r="AMA329" s="6"/>
      <c r="AMB329" s="6"/>
      <c r="AMC329" s="6"/>
      <c r="AMD329" s="6"/>
      <c r="AME329" s="6"/>
      <c r="AMF329" s="6"/>
      <c r="AMG329" s="6"/>
      <c r="AMH329" s="6"/>
      <c r="AMI329" s="6"/>
      <c r="AMJ329" s="6"/>
      <c r="AMK329" s="6"/>
      <c r="AML329" s="6"/>
      <c r="AMM329" s="6"/>
      <c r="AMN329" s="6"/>
      <c r="AMO329" s="6"/>
      <c r="AMP329" s="6"/>
    </row>
    <row r="330" spans="1:1030" x14ac:dyDescent="0.2">
      <c r="A330" s="3" t="str">
        <f t="shared" si="1591"/>
        <v>crfr1_human__wt</v>
      </c>
      <c r="B330" s="3" t="s">
        <v>38</v>
      </c>
      <c r="C330" s="3" t="s">
        <v>100</v>
      </c>
      <c r="D330" s="3" t="str">
        <f>IFERROR(MID(VLOOKUP($B330,Seqs!$A:$B,2,0),E330,1),"")</f>
        <v>Q</v>
      </c>
      <c r="E330" s="3">
        <v>103</v>
      </c>
      <c r="F330" s="3" t="str">
        <f>IFERROR(MID(VLOOKUP($B330,Seqs!$A:$B,2,0),G330,1),"")</f>
        <v>L</v>
      </c>
      <c r="G330" s="3">
        <v>144</v>
      </c>
      <c r="H330" s="3" t="str">
        <f>IFERROR(MID(VLOOKUP($B330,Seqs!$A:$B,2,0),I330,1),"")</f>
        <v>R</v>
      </c>
      <c r="I330" s="23">
        <v>145</v>
      </c>
      <c r="J330" s="3" t="str">
        <f>IFERROR(MID(VLOOKUP($B330,Seqs!$A:$B,2,0),K330,1),"")</f>
        <v>R</v>
      </c>
      <c r="K330" s="23">
        <v>148</v>
      </c>
      <c r="L330" s="3" t="str">
        <f>IFERROR(MID(VLOOKUP($B330,Seqs!$A:$B,2,0),M330,1),"")</f>
        <v>C</v>
      </c>
      <c r="M330" s="23">
        <v>149</v>
      </c>
      <c r="N330" s="3" t="str">
        <f>IFERROR(MID(VLOOKUP($B330,Seqs!$A:$B,2,0),O330,1),"")</f>
        <v>T</v>
      </c>
      <c r="O330" s="3">
        <v>175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V</v>
      </c>
      <c r="U330" s="3">
        <v>185</v>
      </c>
      <c r="V330" s="3" t="str">
        <f>IFERROR(MID(VLOOKUP($B330,Seqs!$A:$B,2,0),W330,1),"")</f>
        <v>L</v>
      </c>
      <c r="W330" s="3">
        <v>219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L</v>
      </c>
      <c r="AC330" s="9">
        <v>226</v>
      </c>
      <c r="AD330" s="3" t="str">
        <f>IFERROR(MID(VLOOKUP($B330,Seqs!$A:$B,2,0),AE330,1),"")</f>
        <v>D</v>
      </c>
      <c r="AE330" s="3">
        <v>254</v>
      </c>
      <c r="AF330" s="3" t="str">
        <f>IFERROR(MID(VLOOKUP($B330,Seqs!$A:$B,2,0),AG330,1),"")</f>
        <v>C</v>
      </c>
      <c r="AG330" s="3">
        <v>258</v>
      </c>
      <c r="AH330" s="3" t="str">
        <f>IFERROR(MID(VLOOKUP($B330,Seqs!$A:$B,2,0),AI330,1),"")</f>
        <v>F</v>
      </c>
      <c r="AI330" s="3">
        <v>260</v>
      </c>
      <c r="AJ330" s="3" t="str">
        <f>IFERROR(MID(VLOOKUP($B330,Seqs!$A:$B,2,0),AK330,1),"")</f>
        <v>T</v>
      </c>
      <c r="AK330" s="3">
        <v>268</v>
      </c>
      <c r="AL330" s="3" t="str">
        <f>IFERROR(MID(VLOOKUP($B330,Seqs!$A:$B,2,0),AM330,1),"")</f>
        <v>L</v>
      </c>
      <c r="AM330" s="3">
        <v>298</v>
      </c>
      <c r="AN330" s="3" t="str">
        <f>IFERROR(MID(VLOOKUP($B330,Seqs!$A:$B,2,0),AO330,1),"")</f>
        <v>S</v>
      </c>
      <c r="AO330" s="3">
        <v>304</v>
      </c>
      <c r="AP330" s="3" t="str">
        <f>IFERROR(MID(VLOOKUP($B330,Seqs!$A:$B,2,0),AQ330,1),"")</f>
        <v>V</v>
      </c>
      <c r="AQ330" s="3">
        <v>332</v>
      </c>
      <c r="AR330" s="3" t="str">
        <f>IFERROR(MID(VLOOKUP($B330,Seqs!$A:$B,2,0),AS330,1),"")</f>
        <v>V</v>
      </c>
      <c r="AS330" s="3">
        <v>339</v>
      </c>
      <c r="AT330" s="3" t="str">
        <f>IFERROR(MID(VLOOKUP($B330,Seqs!$A:$B,2,0),AU330,1),"")</f>
        <v>L</v>
      </c>
      <c r="AU330" s="3">
        <v>366</v>
      </c>
      <c r="AV330" s="3" t="str">
        <f>IFERROR(MID(VLOOKUP($B330,Seqs!$A:$B,2,0),AW330,1),"")</f>
        <v>N</v>
      </c>
      <c r="AW330" s="3">
        <v>367</v>
      </c>
      <c r="AX330" s="3" t="str">
        <f>IFERROR(MID(VLOOKUP($B330,Seqs!$A:$B,2,0),AY330,1),"")</f>
        <v>A</v>
      </c>
      <c r="AY330" s="3">
        <v>392</v>
      </c>
      <c r="AZ330" s="77" t="str">
        <f>VLOOKUP(B330,Classification!A:D,2,0)</f>
        <v>B1</v>
      </c>
      <c r="BA330" s="94" t="str">
        <f>VLOOKUP(B330,Classification!A:D,4,0)</f>
        <v>Corticotropin-releasingfact</v>
      </c>
      <c r="BB330" s="27" t="b">
        <f t="shared" si="1592"/>
        <v>1</v>
      </c>
      <c r="BC330" s="23">
        <f t="shared" ref="BC330:BC373" si="2095">_xlfn.AGGREGATE(9,6,CH330:CS330)-_xlfn.AGGREGATE(9,6,BV330:CG330)+12</f>
        <v>256</v>
      </c>
      <c r="BD330" s="56" t="s">
        <v>23</v>
      </c>
      <c r="BE330" s="3" t="s">
        <v>23</v>
      </c>
      <c r="BF330" s="119" t="s">
        <v>23</v>
      </c>
      <c r="BG330" s="49" t="s">
        <v>1372</v>
      </c>
      <c r="BH330" s="49" t="s">
        <v>1377</v>
      </c>
      <c r="BI330" s="1"/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ref="BV330:BV373" si="2096">E330</f>
        <v>103</v>
      </c>
      <c r="BW330" s="71">
        <f t="shared" ref="BW330:BW373" si="2097">I330</f>
        <v>145</v>
      </c>
      <c r="BX330" s="72">
        <f t="shared" ref="BX330:BX373" si="2098">M330</f>
        <v>149</v>
      </c>
      <c r="BY330" s="71" t="str">
        <f t="shared" ref="BY330:BY373" si="2099">Q330</f>
        <v>-</v>
      </c>
      <c r="BZ330" s="72">
        <f t="shared" ref="BZ330:BZ373" si="2100">U330</f>
        <v>185</v>
      </c>
      <c r="CA330" s="71" t="str">
        <f t="shared" ref="CA330:CA373" si="2101">Y330</f>
        <v>-</v>
      </c>
      <c r="CB330" s="72">
        <f t="shared" ref="CB330:CB373" si="2102">AC330</f>
        <v>226</v>
      </c>
      <c r="CC330" s="71">
        <f t="shared" ref="CC330:CC373" si="2103">AG330</f>
        <v>258</v>
      </c>
      <c r="CD330" s="72">
        <f t="shared" ref="CD330:CD373" si="2104">AK330</f>
        <v>268</v>
      </c>
      <c r="CE330" s="71">
        <f t="shared" ref="CE330:CE373" si="2105">AO330</f>
        <v>304</v>
      </c>
      <c r="CF330" s="72">
        <f t="shared" ref="CF330:CF373" si="2106">AS330</f>
        <v>339</v>
      </c>
      <c r="CG330" s="71">
        <f t="shared" ref="CG330:CG373" si="2107">AW330</f>
        <v>367</v>
      </c>
      <c r="CH330" s="70">
        <f t="shared" ref="CH330:CH373" si="2108">G330</f>
        <v>144</v>
      </c>
      <c r="CI330" s="71">
        <f t="shared" ref="CI330:CI373" si="2109">K330</f>
        <v>148</v>
      </c>
      <c r="CJ330" s="72">
        <f t="shared" ref="CJ330:CJ373" si="2110">O330</f>
        <v>175</v>
      </c>
      <c r="CK330" s="72" t="str">
        <f t="shared" ref="CK330:CK373" si="2111">S330</f>
        <v>-</v>
      </c>
      <c r="CL330" s="72">
        <f t="shared" ref="CL330:CL373" si="2112">W330</f>
        <v>219</v>
      </c>
      <c r="CM330" s="72" t="str">
        <f t="shared" ref="CM330:CM373" si="2113">AA330</f>
        <v>-</v>
      </c>
      <c r="CN330" s="72">
        <f t="shared" ref="CN330:CN373" si="2114">AE330</f>
        <v>254</v>
      </c>
      <c r="CO330" s="72">
        <f t="shared" ref="CO330:CO373" si="2115">AI330</f>
        <v>260</v>
      </c>
      <c r="CP330" s="72">
        <f t="shared" ref="CP330:CP373" si="2116">AM330</f>
        <v>298</v>
      </c>
      <c r="CQ330" s="72">
        <f t="shared" ref="CQ330:CQ373" si="2117">AQ330</f>
        <v>332</v>
      </c>
      <c r="CR330" s="72">
        <f t="shared" ref="CR330:CR373" si="2118">AU330</f>
        <v>366</v>
      </c>
      <c r="CS330" s="72">
        <f t="shared" ref="CS330:CS373" si="2119">AY330</f>
        <v>392</v>
      </c>
      <c r="CT330" s="23">
        <f t="shared" ref="CT330:CT373" si="2120">M330-K330</f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1591"/>
        <v>crfr1_human_4K5Y</v>
      </c>
      <c r="B331" s="3" t="s">
        <v>38</v>
      </c>
      <c r="C331" s="3" t="s">
        <v>95</v>
      </c>
      <c r="D331" s="3" t="str">
        <f>IFERROR(MID(VLOOKUP($B331,Seqs!$A:$B,2,0),E331,1),"")</f>
        <v>H</v>
      </c>
      <c r="E331" s="3">
        <v>117</v>
      </c>
      <c r="F331" s="3" t="str">
        <f>IFERROR(MID(VLOOKUP($B331,Seqs!$A:$B,2,0),G331,1),"")</f>
        <v>L</v>
      </c>
      <c r="G331" s="3">
        <v>144</v>
      </c>
      <c r="H331" s="3" t="str">
        <f>IFERROR(MID(VLOOKUP($B331,Seqs!$A:$B,2,0),I331,1),"")</f>
        <v>R</v>
      </c>
      <c r="I331" s="23">
        <v>145</v>
      </c>
      <c r="J331" s="3" t="str">
        <f>IFERROR(MID(VLOOKUP($B331,Seqs!$A:$B,2,0),K331,1),"")</f>
        <v>R</v>
      </c>
      <c r="K331" s="23">
        <v>148</v>
      </c>
      <c r="L331" s="3" t="str">
        <f>IFERROR(MID(VLOOKUP($B331,Seqs!$A:$B,2,0),M331,1),"")</f>
        <v>C</v>
      </c>
      <c r="M331" s="23">
        <v>149</v>
      </c>
      <c r="N331" s="3" t="str">
        <f>IFERROR(MID(VLOOKUP($B331,Seqs!$A:$B,2,0),O331,1),"")</f>
        <v>T</v>
      </c>
      <c r="O331" s="3">
        <v>175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V</v>
      </c>
      <c r="U331" s="3">
        <v>185</v>
      </c>
      <c r="V331" s="3" t="str">
        <f>IFERROR(MID(VLOOKUP($B331,Seqs!$A:$B,2,0),W331,1),"")</f>
        <v>L</v>
      </c>
      <c r="W331" s="3">
        <v>219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L</v>
      </c>
      <c r="AC331" s="9">
        <v>226</v>
      </c>
      <c r="AD331" s="3" t="str">
        <f>IFERROR(MID(VLOOKUP($B331,Seqs!$A:$B,2,0),AE331,1),"")</f>
        <v>D</v>
      </c>
      <c r="AE331" s="3">
        <v>254</v>
      </c>
      <c r="AF331" s="3" t="str">
        <f>IFERROR(MID(VLOOKUP($B331,Seqs!$A:$B,2,0),AG331,1),"")</f>
        <v>C</v>
      </c>
      <c r="AG331" s="3">
        <v>258</v>
      </c>
      <c r="AH331" s="3" t="str">
        <f>IFERROR(MID(VLOOKUP($B331,Seqs!$A:$B,2,0),AI331,1),"")</f>
        <v>F</v>
      </c>
      <c r="AI331" s="3">
        <v>260</v>
      </c>
      <c r="AJ331" s="3" t="str">
        <f>IFERROR(MID(VLOOKUP($B331,Seqs!$A:$B,2,0),AK331,1),"")</f>
        <v>T</v>
      </c>
      <c r="AK331" s="3">
        <v>268</v>
      </c>
      <c r="AL331" s="3" t="str">
        <f>IFERROR(MID(VLOOKUP($B331,Seqs!$A:$B,2,0),AM331,1),"")</f>
        <v>L</v>
      </c>
      <c r="AM331" s="3">
        <v>298</v>
      </c>
      <c r="AN331" s="3" t="str">
        <f>IFERROR(MID(VLOOKUP($B331,Seqs!$A:$B,2,0),AO331,1),"")</f>
        <v>S</v>
      </c>
      <c r="AO331" s="3">
        <v>304</v>
      </c>
      <c r="AP331" s="3" t="str">
        <f>IFERROR(MID(VLOOKUP($B331,Seqs!$A:$B,2,0),AQ331,1),"")</f>
        <v>V</v>
      </c>
      <c r="AQ331" s="3">
        <v>332</v>
      </c>
      <c r="AR331" s="3" t="str">
        <f>IFERROR(MID(VLOOKUP($B331,Seqs!$A:$B,2,0),AS331,1),"")</f>
        <v>V</v>
      </c>
      <c r="AS331" s="3">
        <v>339</v>
      </c>
      <c r="AT331" s="3" t="str">
        <f>IFERROR(MID(VLOOKUP($B331,Seqs!$A:$B,2,0),AU331,1),"")</f>
        <v>F</v>
      </c>
      <c r="AU331" s="3">
        <v>362</v>
      </c>
      <c r="AV331" s="3" t="str">
        <f>IFERROR(MID(VLOOKUP($B331,Seqs!$A:$B,2,0),AW331,1),"")</f>
        <v/>
      </c>
      <c r="AW331" s="3" t="s">
        <v>23</v>
      </c>
      <c r="AX331" s="3" t="str">
        <f>IFERROR(MID(VLOOKUP($B331,Seqs!$A:$B,2,0),AY331,1),"")</f>
        <v/>
      </c>
      <c r="AY331" s="3" t="s">
        <v>23</v>
      </c>
      <c r="AZ331" s="77" t="str">
        <f>VLOOKUP(B331,Classification!A:D,2,0)</f>
        <v>B1</v>
      </c>
      <c r="BA331" s="94" t="str">
        <f>VLOOKUP(B331,Classification!A:D,4,0)</f>
        <v>Corticotropin-releasingfact</v>
      </c>
      <c r="BB331" s="27" t="b">
        <f t="shared" si="1592"/>
        <v>1</v>
      </c>
      <c r="BC331" s="23">
        <f t="shared" si="2095"/>
        <v>213</v>
      </c>
      <c r="BD331" s="4" t="s">
        <v>23</v>
      </c>
      <c r="BE331" s="3" t="s">
        <v>1374</v>
      </c>
      <c r="BF331" s="119">
        <v>2.98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si="2096"/>
        <v>117</v>
      </c>
      <c r="BW331" s="71">
        <f t="shared" si="2097"/>
        <v>145</v>
      </c>
      <c r="BX331" s="72">
        <f t="shared" si="2098"/>
        <v>149</v>
      </c>
      <c r="BY331" s="71" t="str">
        <f t="shared" si="2099"/>
        <v>-</v>
      </c>
      <c r="BZ331" s="72">
        <f t="shared" si="2100"/>
        <v>185</v>
      </c>
      <c r="CA331" s="71" t="str">
        <f t="shared" si="2101"/>
        <v>-</v>
      </c>
      <c r="CB331" s="72">
        <f t="shared" si="2102"/>
        <v>226</v>
      </c>
      <c r="CC331" s="71">
        <f t="shared" si="2103"/>
        <v>258</v>
      </c>
      <c r="CD331" s="72">
        <f t="shared" si="2104"/>
        <v>268</v>
      </c>
      <c r="CE331" s="71">
        <f t="shared" si="2105"/>
        <v>304</v>
      </c>
      <c r="CF331" s="72">
        <f t="shared" si="2106"/>
        <v>339</v>
      </c>
      <c r="CG331" s="71" t="str">
        <f t="shared" si="2107"/>
        <v>-</v>
      </c>
      <c r="CH331" s="70">
        <f t="shared" si="2108"/>
        <v>144</v>
      </c>
      <c r="CI331" s="71">
        <f t="shared" si="2109"/>
        <v>148</v>
      </c>
      <c r="CJ331" s="72">
        <f t="shared" si="2110"/>
        <v>175</v>
      </c>
      <c r="CK331" s="72" t="str">
        <f t="shared" si="2111"/>
        <v>-</v>
      </c>
      <c r="CL331" s="72">
        <f t="shared" si="2112"/>
        <v>219</v>
      </c>
      <c r="CM331" s="72" t="str">
        <f t="shared" si="2113"/>
        <v>-</v>
      </c>
      <c r="CN331" s="72">
        <f t="shared" si="2114"/>
        <v>254</v>
      </c>
      <c r="CO331" s="72">
        <f t="shared" si="2115"/>
        <v>260</v>
      </c>
      <c r="CP331" s="72">
        <f t="shared" si="2116"/>
        <v>298</v>
      </c>
      <c r="CQ331" s="72">
        <f t="shared" si="2117"/>
        <v>332</v>
      </c>
      <c r="CR331" s="72">
        <f t="shared" si="2118"/>
        <v>362</v>
      </c>
      <c r="CS331" s="72" t="str">
        <f t="shared" si="2119"/>
        <v>-</v>
      </c>
      <c r="CT331" s="23">
        <f t="shared" si="2120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1591"/>
        <v>crfr1_human_4K5Y_dist</v>
      </c>
      <c r="B332" s="3" t="s">
        <v>38</v>
      </c>
      <c r="C332" s="3" t="s">
        <v>1160</v>
      </c>
      <c r="D332" s="3" t="str">
        <f>IFERROR(MID(VLOOKUP($B332,Seqs!$A:$B,2,0),E332,1),"")</f>
        <v>H</v>
      </c>
      <c r="E332" s="3">
        <v>117</v>
      </c>
      <c r="F332" s="3" t="str">
        <f>IFERROR(MID(VLOOKUP($B332,Seqs!$A:$B,2,0),G332,1),"")</f>
        <v>L</v>
      </c>
      <c r="G332" s="3">
        <v>144</v>
      </c>
      <c r="H332" s="3" t="str">
        <f>IFERROR(MID(VLOOKUP($B332,Seqs!$A:$B,2,0),I332,1),"")</f>
        <v>R</v>
      </c>
      <c r="I332" s="23">
        <v>145</v>
      </c>
      <c r="J332" s="3" t="str">
        <f>IFERROR(MID(VLOOKUP($B332,Seqs!$A:$B,2,0),K332,1),"")</f>
        <v>R</v>
      </c>
      <c r="K332" s="23">
        <v>148</v>
      </c>
      <c r="L332" s="3" t="str">
        <f>IFERROR(MID(VLOOKUP($B332,Seqs!$A:$B,2,0),M332,1),"")</f>
        <v>C</v>
      </c>
      <c r="M332" s="23">
        <v>149</v>
      </c>
      <c r="N332" s="3" t="str">
        <f>IFERROR(MID(VLOOKUP($B332,Seqs!$A:$B,2,0),O332,1),"")</f>
        <v>T</v>
      </c>
      <c r="O332" s="3">
        <v>175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V</v>
      </c>
      <c r="U332" s="3">
        <v>185</v>
      </c>
      <c r="V332" s="3" t="str">
        <f>IFERROR(MID(VLOOKUP($B332,Seqs!$A:$B,2,0),W332,1),"")</f>
        <v>L</v>
      </c>
      <c r="W332" s="3">
        <v>219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L</v>
      </c>
      <c r="AC332" s="9">
        <v>226</v>
      </c>
      <c r="AD332" s="3" t="str">
        <f>IFERROR(MID(VLOOKUP($B332,Seqs!$A:$B,2,0),AE332,1),"")</f>
        <v>D</v>
      </c>
      <c r="AE332" s="3">
        <v>254</v>
      </c>
      <c r="AF332" s="3" t="str">
        <f>IFERROR(MID(VLOOKUP($B332,Seqs!$A:$B,2,0),AG332,1),"")</f>
        <v>C</v>
      </c>
      <c r="AG332" s="3">
        <v>258</v>
      </c>
      <c r="AH332" s="3" t="str">
        <f>IFERROR(MID(VLOOKUP($B332,Seqs!$A:$B,2,0),AI332,1),"")</f>
        <v>F</v>
      </c>
      <c r="AI332" s="3">
        <v>260</v>
      </c>
      <c r="AJ332" s="3" t="str">
        <f>IFERROR(MID(VLOOKUP($B332,Seqs!$A:$B,2,0),AK332,1),"")</f>
        <v>T</v>
      </c>
      <c r="AK332" s="3">
        <v>268</v>
      </c>
      <c r="AL332" s="3" t="str">
        <f>IFERROR(MID(VLOOKUP($B332,Seqs!$A:$B,2,0),AM332,1),"")</f>
        <v>L</v>
      </c>
      <c r="AM332" s="3">
        <v>298</v>
      </c>
      <c r="AN332" s="3" t="str">
        <f>IFERROR(MID(VLOOKUP($B332,Seqs!$A:$B,2,0),AO332,1),"")</f>
        <v>S</v>
      </c>
      <c r="AO332" s="3">
        <v>304</v>
      </c>
      <c r="AP332" s="3" t="str">
        <f>IFERROR(MID(VLOOKUP($B332,Seqs!$A:$B,2,0),AQ332,1),"")</f>
        <v>V</v>
      </c>
      <c r="AQ332" s="3">
        <v>332</v>
      </c>
      <c r="AR332" s="3" t="str">
        <f>IFERROR(MID(VLOOKUP($B332,Seqs!$A:$B,2,0),AS332,1),"")</f>
        <v>V</v>
      </c>
      <c r="AS332" s="3">
        <v>339</v>
      </c>
      <c r="AT332" s="3" t="str">
        <f>IFERROR(MID(VLOOKUP($B332,Seqs!$A:$B,2,0),AU332,1),"")</f>
        <v>L</v>
      </c>
      <c r="AU332" s="3">
        <v>366</v>
      </c>
      <c r="AV332" s="3" t="str">
        <f>IFERROR(MID(VLOOKUP($B332,Seqs!$A:$B,2,0),AW332,1),"")</f>
        <v/>
      </c>
      <c r="AW332" s="3" t="s">
        <v>23</v>
      </c>
      <c r="AX332" s="3" t="str">
        <f>IFERROR(MID(VLOOKUP($B332,Seqs!$A:$B,2,0),AY332,1),"")</f>
        <v/>
      </c>
      <c r="AY332" s="3" t="s">
        <v>23</v>
      </c>
      <c r="AZ332" s="77" t="str">
        <f>VLOOKUP(B332,Classification!A:D,2,0)</f>
        <v>B1</v>
      </c>
      <c r="BA332" s="94" t="str">
        <f>VLOOKUP(B332,Classification!A:D,4,0)</f>
        <v>Corticotropin-releasingfact</v>
      </c>
      <c r="BB332" s="27" t="b">
        <f t="shared" si="1592"/>
        <v>1</v>
      </c>
      <c r="BC332" s="23">
        <f t="shared" si="2095"/>
        <v>217</v>
      </c>
      <c r="BD332" s="56" t="s">
        <v>23</v>
      </c>
      <c r="BE332" s="3" t="s">
        <v>1374</v>
      </c>
      <c r="BF332" s="119">
        <v>2.98</v>
      </c>
      <c r="BG332" s="49" t="s">
        <v>1377</v>
      </c>
      <c r="BH332" s="49" t="s">
        <v>1377</v>
      </c>
      <c r="BI332" s="3" t="s">
        <v>1162</v>
      </c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2096"/>
        <v>117</v>
      </c>
      <c r="BW332" s="71">
        <f t="shared" si="2097"/>
        <v>145</v>
      </c>
      <c r="BX332" s="72">
        <f t="shared" si="2098"/>
        <v>149</v>
      </c>
      <c r="BY332" s="71" t="str">
        <f t="shared" si="2099"/>
        <v>-</v>
      </c>
      <c r="BZ332" s="72">
        <f t="shared" si="2100"/>
        <v>185</v>
      </c>
      <c r="CA332" s="71" t="str">
        <f t="shared" si="2101"/>
        <v>-</v>
      </c>
      <c r="CB332" s="72">
        <f t="shared" si="2102"/>
        <v>226</v>
      </c>
      <c r="CC332" s="71">
        <f t="shared" si="2103"/>
        <v>258</v>
      </c>
      <c r="CD332" s="72">
        <f t="shared" si="2104"/>
        <v>268</v>
      </c>
      <c r="CE332" s="71">
        <f t="shared" si="2105"/>
        <v>304</v>
      </c>
      <c r="CF332" s="72">
        <f t="shared" si="2106"/>
        <v>339</v>
      </c>
      <c r="CG332" s="71" t="str">
        <f t="shared" si="2107"/>
        <v>-</v>
      </c>
      <c r="CH332" s="70">
        <f t="shared" si="2108"/>
        <v>144</v>
      </c>
      <c r="CI332" s="71">
        <f t="shared" si="2109"/>
        <v>148</v>
      </c>
      <c r="CJ332" s="72">
        <f t="shared" si="2110"/>
        <v>175</v>
      </c>
      <c r="CK332" s="72" t="str">
        <f t="shared" si="2111"/>
        <v>-</v>
      </c>
      <c r="CL332" s="72">
        <f t="shared" si="2112"/>
        <v>219</v>
      </c>
      <c r="CM332" s="72" t="str">
        <f t="shared" si="2113"/>
        <v>-</v>
      </c>
      <c r="CN332" s="72">
        <f t="shared" si="2114"/>
        <v>254</v>
      </c>
      <c r="CO332" s="72">
        <f t="shared" si="2115"/>
        <v>260</v>
      </c>
      <c r="CP332" s="72">
        <f t="shared" si="2116"/>
        <v>298</v>
      </c>
      <c r="CQ332" s="72">
        <f t="shared" si="2117"/>
        <v>332</v>
      </c>
      <c r="CR332" s="72">
        <f t="shared" si="2118"/>
        <v>366</v>
      </c>
      <c r="CS332" s="72" t="str">
        <f t="shared" si="2119"/>
        <v>-</v>
      </c>
      <c r="CT332" s="23">
        <f t="shared" si="2120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1591"/>
        <v>crfr1_human_4Z9G</v>
      </c>
      <c r="B333" s="3" t="s">
        <v>38</v>
      </c>
      <c r="C333" s="3" t="s">
        <v>1059</v>
      </c>
      <c r="D333" s="3" t="str">
        <f>IFERROR(MID(VLOOKUP($B333,Seqs!$A:$B,2,0),E333,1),"")</f>
        <v>S</v>
      </c>
      <c r="E333" s="3">
        <v>112</v>
      </c>
      <c r="F333" s="3" t="str">
        <f>IFERROR(MID(VLOOKUP($B333,Seqs!$A:$B,2,0),G333,1),"")</f>
        <v>L</v>
      </c>
      <c r="G333" s="3">
        <v>144</v>
      </c>
      <c r="H333" s="3" t="str">
        <f>IFERROR(MID(VLOOKUP($B333,Seqs!$A:$B,2,0),I333,1),"")</f>
        <v>R</v>
      </c>
      <c r="I333" s="23">
        <v>145</v>
      </c>
      <c r="J333" s="3" t="str">
        <f>IFERROR(MID(VLOOKUP($B333,Seqs!$A:$B,2,0),K333,1),"")</f>
        <v>R</v>
      </c>
      <c r="K333" s="23">
        <v>148</v>
      </c>
      <c r="L333" s="3" t="str">
        <f>IFERROR(MID(VLOOKUP($B333,Seqs!$A:$B,2,0),M333,1),"")</f>
        <v>C</v>
      </c>
      <c r="M333" s="23">
        <v>149</v>
      </c>
      <c r="N333" s="3" t="str">
        <f>IFERROR(MID(VLOOKUP($B333,Seqs!$A:$B,2,0),O333,1),"")</f>
        <v>T</v>
      </c>
      <c r="O333" s="3">
        <v>175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V</v>
      </c>
      <c r="U333" s="3">
        <v>185</v>
      </c>
      <c r="V333" s="3" t="str">
        <f>IFERROR(MID(VLOOKUP($B333,Seqs!$A:$B,2,0),W333,1),"")</f>
        <v>L</v>
      </c>
      <c r="W333" s="3">
        <v>219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L</v>
      </c>
      <c r="AC333" s="9">
        <v>226</v>
      </c>
      <c r="AD333" s="3" t="str">
        <f>IFERROR(MID(VLOOKUP($B333,Seqs!$A:$B,2,0),AE333,1),"")</f>
        <v>D</v>
      </c>
      <c r="AE333" s="3">
        <v>254</v>
      </c>
      <c r="AF333" s="3" t="str">
        <f>IFERROR(MID(VLOOKUP($B333,Seqs!$A:$B,2,0),AG333,1),"")</f>
        <v>C</v>
      </c>
      <c r="AG333" s="3">
        <v>258</v>
      </c>
      <c r="AH333" s="3" t="str">
        <f>IFERROR(MID(VLOOKUP($B333,Seqs!$A:$B,2,0),AI333,1),"")</f>
        <v>F</v>
      </c>
      <c r="AI333" s="3">
        <v>260</v>
      </c>
      <c r="AJ333" s="3" t="str">
        <f>IFERROR(MID(VLOOKUP($B333,Seqs!$A:$B,2,0),AK333,1),"")</f>
        <v>T</v>
      </c>
      <c r="AK333" s="3">
        <v>268</v>
      </c>
      <c r="AL333" s="3" t="str">
        <f>IFERROR(MID(VLOOKUP($B333,Seqs!$A:$B,2,0),AM333,1),"")</f>
        <v>L</v>
      </c>
      <c r="AM333" s="3">
        <v>298</v>
      </c>
      <c r="AN333" s="3" t="str">
        <f>IFERROR(MID(VLOOKUP($B333,Seqs!$A:$B,2,0),AO333,1),"")</f>
        <v>S</v>
      </c>
      <c r="AO333" s="3">
        <v>304</v>
      </c>
      <c r="AP333" s="3" t="str">
        <f>IFERROR(MID(VLOOKUP($B333,Seqs!$A:$B,2,0),AQ333,1),"")</f>
        <v>V</v>
      </c>
      <c r="AQ333" s="3">
        <v>332</v>
      </c>
      <c r="AR333" s="3" t="str">
        <f>IFERROR(MID(VLOOKUP($B333,Seqs!$A:$B,2,0),AS333,1),"")</f>
        <v>V</v>
      </c>
      <c r="AS333" s="3">
        <v>339</v>
      </c>
      <c r="AT333" s="3" t="str">
        <f>IFERROR(MID(VLOOKUP($B333,Seqs!$A:$B,2,0),AU333,1),"")</f>
        <v>F</v>
      </c>
      <c r="AU333" s="3">
        <v>362</v>
      </c>
      <c r="AV333" s="3" t="str">
        <f>IFERROR(MID(VLOOKUP($B333,Seqs!$A:$B,2,0),AW333,1),"")</f>
        <v/>
      </c>
      <c r="AW333" s="3" t="s">
        <v>23</v>
      </c>
      <c r="AX333" s="3" t="str">
        <f>IFERROR(MID(VLOOKUP($B333,Seqs!$A:$B,2,0),AY333,1),"")</f>
        <v/>
      </c>
      <c r="AY333" s="3" t="s">
        <v>23</v>
      </c>
      <c r="AZ333" s="77" t="str">
        <f>VLOOKUP(B333,Classification!A:D,2,0)</f>
        <v>B1</v>
      </c>
      <c r="BA333" s="94" t="str">
        <f>VLOOKUP(B333,Classification!A:D,4,0)</f>
        <v>Corticotropin-releasingfact</v>
      </c>
      <c r="BB333" s="27" t="b">
        <f t="shared" si="1592"/>
        <v>1</v>
      </c>
      <c r="BC333" s="23">
        <f t="shared" si="2095"/>
        <v>218</v>
      </c>
      <c r="BD333" s="2" t="s">
        <v>1376</v>
      </c>
      <c r="BE333" s="3" t="s">
        <v>1374</v>
      </c>
      <c r="BF333" s="119">
        <v>3.18</v>
      </c>
      <c r="BG333" s="49" t="s">
        <v>1377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si="2096"/>
        <v>112</v>
      </c>
      <c r="BW333" s="71">
        <f t="shared" si="2097"/>
        <v>145</v>
      </c>
      <c r="BX333" s="72">
        <f t="shared" si="2098"/>
        <v>149</v>
      </c>
      <c r="BY333" s="71" t="str">
        <f t="shared" si="2099"/>
        <v>-</v>
      </c>
      <c r="BZ333" s="72">
        <f t="shared" si="2100"/>
        <v>185</v>
      </c>
      <c r="CA333" s="71" t="str">
        <f t="shared" si="2101"/>
        <v>-</v>
      </c>
      <c r="CB333" s="72">
        <f t="shared" si="2102"/>
        <v>226</v>
      </c>
      <c r="CC333" s="71">
        <f t="shared" si="2103"/>
        <v>258</v>
      </c>
      <c r="CD333" s="72">
        <f t="shared" si="2104"/>
        <v>268</v>
      </c>
      <c r="CE333" s="71">
        <f t="shared" si="2105"/>
        <v>304</v>
      </c>
      <c r="CF333" s="72">
        <f t="shared" si="2106"/>
        <v>339</v>
      </c>
      <c r="CG333" s="71" t="str">
        <f t="shared" si="2107"/>
        <v>-</v>
      </c>
      <c r="CH333" s="70">
        <f t="shared" si="2108"/>
        <v>144</v>
      </c>
      <c r="CI333" s="71">
        <f t="shared" si="2109"/>
        <v>148</v>
      </c>
      <c r="CJ333" s="72">
        <f t="shared" si="2110"/>
        <v>175</v>
      </c>
      <c r="CK333" s="72" t="str">
        <f t="shared" si="2111"/>
        <v>-</v>
      </c>
      <c r="CL333" s="72">
        <f t="shared" si="2112"/>
        <v>219</v>
      </c>
      <c r="CM333" s="72" t="str">
        <f t="shared" si="2113"/>
        <v>-</v>
      </c>
      <c r="CN333" s="72">
        <f t="shared" si="2114"/>
        <v>254</v>
      </c>
      <c r="CO333" s="72">
        <f t="shared" si="2115"/>
        <v>260</v>
      </c>
      <c r="CP333" s="72">
        <f t="shared" si="2116"/>
        <v>298</v>
      </c>
      <c r="CQ333" s="72">
        <f t="shared" si="2117"/>
        <v>332</v>
      </c>
      <c r="CR333" s="72">
        <f t="shared" si="2118"/>
        <v>362</v>
      </c>
      <c r="CS333" s="72" t="str">
        <f t="shared" si="2119"/>
        <v>-</v>
      </c>
      <c r="CT333" s="23">
        <f t="shared" si="2120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1591"/>
        <v>crfr1_human_4Z9G_dist</v>
      </c>
      <c r="B334" s="3" t="s">
        <v>38</v>
      </c>
      <c r="C334" s="3" t="s">
        <v>1161</v>
      </c>
      <c r="D334" s="3" t="str">
        <f>IFERROR(MID(VLOOKUP($B334,Seqs!$A:$B,2,0),E334,1),"")</f>
        <v>S</v>
      </c>
      <c r="E334" s="3">
        <v>112</v>
      </c>
      <c r="F334" s="3" t="str">
        <f>IFERROR(MID(VLOOKUP($B334,Seqs!$A:$B,2,0),G334,1),"")</f>
        <v>L</v>
      </c>
      <c r="G334" s="3">
        <v>144</v>
      </c>
      <c r="H334" s="3" t="str">
        <f>IFERROR(MID(VLOOKUP($B334,Seqs!$A:$B,2,0),I334,1),"")</f>
        <v>R</v>
      </c>
      <c r="I334" s="23">
        <v>145</v>
      </c>
      <c r="J334" s="3" t="str">
        <f>IFERROR(MID(VLOOKUP($B334,Seqs!$A:$B,2,0),K334,1),"")</f>
        <v>R</v>
      </c>
      <c r="K334" s="23">
        <v>148</v>
      </c>
      <c r="L334" s="3" t="str">
        <f>IFERROR(MID(VLOOKUP($B334,Seqs!$A:$B,2,0),M334,1),"")</f>
        <v>C</v>
      </c>
      <c r="M334" s="23">
        <v>149</v>
      </c>
      <c r="N334" s="3" t="str">
        <f>IFERROR(MID(VLOOKUP($B334,Seqs!$A:$B,2,0),O334,1),"")</f>
        <v>T</v>
      </c>
      <c r="O334" s="3">
        <v>175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V</v>
      </c>
      <c r="U334" s="3">
        <v>185</v>
      </c>
      <c r="V334" s="3" t="str">
        <f>IFERROR(MID(VLOOKUP($B334,Seqs!$A:$B,2,0),W334,1),"")</f>
        <v>L</v>
      </c>
      <c r="W334" s="3">
        <v>219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L</v>
      </c>
      <c r="AC334" s="9">
        <v>226</v>
      </c>
      <c r="AD334" s="3" t="str">
        <f>IFERROR(MID(VLOOKUP($B334,Seqs!$A:$B,2,0),AE334,1),"")</f>
        <v>D</v>
      </c>
      <c r="AE334" s="3">
        <v>254</v>
      </c>
      <c r="AF334" s="3" t="str">
        <f>IFERROR(MID(VLOOKUP($B334,Seqs!$A:$B,2,0),AG334,1),"")</f>
        <v>C</v>
      </c>
      <c r="AG334" s="3">
        <v>258</v>
      </c>
      <c r="AH334" s="3" t="str">
        <f>IFERROR(MID(VLOOKUP($B334,Seqs!$A:$B,2,0),AI334,1),"")</f>
        <v>F</v>
      </c>
      <c r="AI334" s="3">
        <v>260</v>
      </c>
      <c r="AJ334" s="3" t="str">
        <f>IFERROR(MID(VLOOKUP($B334,Seqs!$A:$B,2,0),AK334,1),"")</f>
        <v>T</v>
      </c>
      <c r="AK334" s="3">
        <v>268</v>
      </c>
      <c r="AL334" s="3" t="str">
        <f>IFERROR(MID(VLOOKUP($B334,Seqs!$A:$B,2,0),AM334,1),"")</f>
        <v>L</v>
      </c>
      <c r="AM334" s="3">
        <v>298</v>
      </c>
      <c r="AN334" s="3" t="str">
        <f>IFERROR(MID(VLOOKUP($B334,Seqs!$A:$B,2,0),AO334,1),"")</f>
        <v>S</v>
      </c>
      <c r="AO334" s="3">
        <v>304</v>
      </c>
      <c r="AP334" s="3" t="str">
        <f>IFERROR(MID(VLOOKUP($B334,Seqs!$A:$B,2,0),AQ334,1),"")</f>
        <v>V</v>
      </c>
      <c r="AQ334" s="3">
        <v>332</v>
      </c>
      <c r="AR334" s="3" t="str">
        <f>IFERROR(MID(VLOOKUP($B334,Seqs!$A:$B,2,0),AS334,1),"")</f>
        <v>V</v>
      </c>
      <c r="AS334" s="3">
        <v>339</v>
      </c>
      <c r="AT334" s="3" t="str">
        <f>IFERROR(MID(VLOOKUP($B334,Seqs!$A:$B,2,0),AU334,1),"")</f>
        <v>E</v>
      </c>
      <c r="AU334" s="3">
        <v>369</v>
      </c>
      <c r="AV334" s="3" t="str">
        <f>IFERROR(MID(VLOOKUP($B334,Seqs!$A:$B,2,0),AW334,1),"")</f>
        <v/>
      </c>
      <c r="AW334" s="3" t="s">
        <v>23</v>
      </c>
      <c r="AX334" s="3" t="str">
        <f>IFERROR(MID(VLOOKUP($B334,Seqs!$A:$B,2,0),AY334,1),"")</f>
        <v/>
      </c>
      <c r="AY334" s="3" t="s">
        <v>23</v>
      </c>
      <c r="AZ334" s="77" t="str">
        <f>VLOOKUP(B334,Classification!A:D,2,0)</f>
        <v>B1</v>
      </c>
      <c r="BA334" s="94" t="str">
        <f>VLOOKUP(B334,Classification!A:D,4,0)</f>
        <v>Corticotropin-releasingfact</v>
      </c>
      <c r="BB334" s="27" t="b">
        <f t="shared" si="1592"/>
        <v>1</v>
      </c>
      <c r="BC334" s="23">
        <f t="shared" si="2095"/>
        <v>225</v>
      </c>
      <c r="BD334" s="56" t="s">
        <v>23</v>
      </c>
      <c r="BE334" s="3" t="s">
        <v>1374</v>
      </c>
      <c r="BF334" s="119">
        <v>3.18</v>
      </c>
      <c r="BG334" s="49" t="s">
        <v>1377</v>
      </c>
      <c r="BH334" s="49" t="s">
        <v>1377</v>
      </c>
      <c r="BI334" s="3" t="s">
        <v>1162</v>
      </c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si="2096"/>
        <v>112</v>
      </c>
      <c r="BW334" s="71">
        <f t="shared" si="2097"/>
        <v>145</v>
      </c>
      <c r="BX334" s="72">
        <f t="shared" si="2098"/>
        <v>149</v>
      </c>
      <c r="BY334" s="71" t="str">
        <f t="shared" si="2099"/>
        <v>-</v>
      </c>
      <c r="BZ334" s="72">
        <f t="shared" si="2100"/>
        <v>185</v>
      </c>
      <c r="CA334" s="71" t="str">
        <f t="shared" si="2101"/>
        <v>-</v>
      </c>
      <c r="CB334" s="72">
        <f t="shared" si="2102"/>
        <v>226</v>
      </c>
      <c r="CC334" s="71">
        <f t="shared" si="2103"/>
        <v>258</v>
      </c>
      <c r="CD334" s="72">
        <f t="shared" si="2104"/>
        <v>268</v>
      </c>
      <c r="CE334" s="71">
        <f t="shared" si="2105"/>
        <v>304</v>
      </c>
      <c r="CF334" s="72">
        <f t="shared" si="2106"/>
        <v>339</v>
      </c>
      <c r="CG334" s="71" t="str">
        <f t="shared" si="2107"/>
        <v>-</v>
      </c>
      <c r="CH334" s="70">
        <f t="shared" si="2108"/>
        <v>144</v>
      </c>
      <c r="CI334" s="71">
        <f t="shared" si="2109"/>
        <v>148</v>
      </c>
      <c r="CJ334" s="72">
        <f t="shared" si="2110"/>
        <v>175</v>
      </c>
      <c r="CK334" s="72" t="str">
        <f t="shared" si="2111"/>
        <v>-</v>
      </c>
      <c r="CL334" s="72">
        <f t="shared" si="2112"/>
        <v>219</v>
      </c>
      <c r="CM334" s="72" t="str">
        <f t="shared" si="2113"/>
        <v>-</v>
      </c>
      <c r="CN334" s="72">
        <f t="shared" si="2114"/>
        <v>254</v>
      </c>
      <c r="CO334" s="72">
        <f t="shared" si="2115"/>
        <v>260</v>
      </c>
      <c r="CP334" s="72">
        <f t="shared" si="2116"/>
        <v>298</v>
      </c>
      <c r="CQ334" s="72">
        <f t="shared" si="2117"/>
        <v>332</v>
      </c>
      <c r="CR334" s="72">
        <f t="shared" si="2118"/>
        <v>369</v>
      </c>
      <c r="CS334" s="72" t="str">
        <f t="shared" si="2119"/>
        <v>-</v>
      </c>
      <c r="CT334" s="23">
        <f t="shared" si="2120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1591"/>
        <v>glr_human__wt</v>
      </c>
      <c r="B335" s="3" t="s">
        <v>32</v>
      </c>
      <c r="C335" s="3" t="s">
        <v>100</v>
      </c>
      <c r="D335" s="3" t="str">
        <f>IFERROR(MID(VLOOKUP($B335,Seqs!$A:$B,2,0),E335,1),"")</f>
        <v>Q</v>
      </c>
      <c r="E335" s="105">
        <v>131</v>
      </c>
      <c r="F335" s="3" t="str">
        <f>IFERROR(MID(VLOOKUP($B335,Seqs!$A:$B,2,0),G335,1),"")</f>
        <v>L</v>
      </c>
      <c r="G335" s="3">
        <v>166</v>
      </c>
      <c r="H335" s="3" t="str">
        <f>IFERROR(MID(VLOOKUP($B335,Seqs!$A:$B,2,0),I335,1),"")</f>
        <v>S</v>
      </c>
      <c r="I335" s="23">
        <v>167</v>
      </c>
      <c r="J335" s="3" t="str">
        <f>IFERROR(MID(VLOOKUP($B335,Seqs!$A:$B,2,0),K335,1),"")</f>
        <v>H</v>
      </c>
      <c r="K335" s="23">
        <v>170</v>
      </c>
      <c r="L335" s="3" t="str">
        <f>IFERROR(MID(VLOOKUP($B335,Seqs!$A:$B,2,0),M335,1),"")</f>
        <v>C</v>
      </c>
      <c r="M335" s="23">
        <v>171</v>
      </c>
      <c r="N335" s="3" t="str">
        <f>IFERROR(MID(VLOOKUP($B335,Seqs!$A:$B,2,0),O335,1),"")</f>
        <v>S</v>
      </c>
      <c r="O335" s="105">
        <v>203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A</v>
      </c>
      <c r="U335" s="3">
        <v>220</v>
      </c>
      <c r="V335" s="3" t="str">
        <f>IFERROR(MID(VLOOKUP($B335,Seqs!$A:$B,2,0),W335,1),"")</f>
        <v>L</v>
      </c>
      <c r="W335" s="3">
        <v>255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S</v>
      </c>
      <c r="AC335" s="9">
        <v>262</v>
      </c>
      <c r="AD335" s="3" t="str">
        <f>IFERROR(MID(VLOOKUP($B335,Seqs!$A:$B,2,0),AE335,1),"")</f>
        <v>E</v>
      </c>
      <c r="AE335" s="3">
        <v>290</v>
      </c>
      <c r="AF335" s="3" t="str">
        <f>IFERROR(MID(VLOOKUP($B335,Seqs!$A:$B,2,0),AG335,1),"")</f>
        <v>C</v>
      </c>
      <c r="AG335" s="3">
        <v>294</v>
      </c>
      <c r="AH335" s="3" t="str">
        <f>IFERROR(MID(VLOOKUP($B335,Seqs!$A:$B,2,0),AI335,1),"")</f>
        <v>T</v>
      </c>
      <c r="AI335" s="3">
        <v>296</v>
      </c>
      <c r="AJ335" s="3" t="str">
        <f>IFERROR(MID(VLOOKUP($B335,Seqs!$A:$B,2,0),AK335,1),"")</f>
        <v>N</v>
      </c>
      <c r="AK335" s="3">
        <v>300</v>
      </c>
      <c r="AL335" s="3" t="str">
        <f>IFERROR(MID(VLOOKUP($B335,Seqs!$A:$B,2,0),AM335,1),"")</f>
        <v>A</v>
      </c>
      <c r="AM335" s="3">
        <v>335</v>
      </c>
      <c r="AN335" s="3" t="str">
        <f>IFERROR(MID(VLOOKUP($B335,Seqs!$A:$B,2,0),AO335,1),"")</f>
        <v>D</v>
      </c>
      <c r="AO335" s="3">
        <v>342</v>
      </c>
      <c r="AP335" s="3" t="str">
        <f>IFERROR(MID(VLOOKUP($B335,Seqs!$A:$B,2,0),AQ335,1),"")</f>
        <v>F</v>
      </c>
      <c r="AQ335" s="3">
        <v>367</v>
      </c>
      <c r="AR335" s="3" t="str">
        <f>IFERROR(MID(VLOOKUP($B335,Seqs!$A:$B,2,0),AS335,1),"")</f>
        <v>Q</v>
      </c>
      <c r="AS335" s="3">
        <v>374</v>
      </c>
      <c r="AT335" s="3" t="str">
        <f>IFERROR(MID(VLOOKUP($B335,Seqs!$A:$B,2,0),AU335,1),"")</f>
        <v>L</v>
      </c>
      <c r="AU335" s="3">
        <v>403</v>
      </c>
      <c r="AV335" s="3" t="str">
        <f>IFERROR(MID(VLOOKUP($B335,Seqs!$A:$B,2,0),AW335,1),"")</f>
        <v>N</v>
      </c>
      <c r="AW335" s="3">
        <v>404</v>
      </c>
      <c r="AX335" s="3" t="str">
        <f>IFERROR(MID(VLOOKUP($B335,Seqs!$A:$B,2,0),AY335,1),"")</f>
        <v>N</v>
      </c>
      <c r="AY335" s="3">
        <v>429</v>
      </c>
      <c r="AZ335" s="77" t="str">
        <f>VLOOKUP(B335,Classification!A:D,2,0)</f>
        <v>B1</v>
      </c>
      <c r="BA335" s="94" t="str">
        <f>VLOOKUP(B335,Classification!A:D,4,0)</f>
        <v>Glucagonreceptorfamily</v>
      </c>
      <c r="BB335" s="27" t="b">
        <f t="shared" si="1592"/>
        <v>1</v>
      </c>
      <c r="BC335" s="23">
        <f t="shared" si="2095"/>
        <v>261</v>
      </c>
      <c r="BD335" s="56" t="s">
        <v>23</v>
      </c>
      <c r="BE335" s="3" t="s">
        <v>23</v>
      </c>
      <c r="BF335" s="119" t="s">
        <v>23</v>
      </c>
      <c r="BG335" s="49" t="s">
        <v>1372</v>
      </c>
      <c r="BH335" s="49" t="s">
        <v>1377</v>
      </c>
      <c r="BI335" s="1"/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si="2096"/>
        <v>131</v>
      </c>
      <c r="BW335" s="71">
        <f t="shared" si="2097"/>
        <v>167</v>
      </c>
      <c r="BX335" s="72">
        <f t="shared" si="2098"/>
        <v>171</v>
      </c>
      <c r="BY335" s="71" t="str">
        <f t="shared" si="2099"/>
        <v>-</v>
      </c>
      <c r="BZ335" s="72">
        <f t="shared" si="2100"/>
        <v>220</v>
      </c>
      <c r="CA335" s="71" t="str">
        <f t="shared" si="2101"/>
        <v>-</v>
      </c>
      <c r="CB335" s="72">
        <f t="shared" si="2102"/>
        <v>262</v>
      </c>
      <c r="CC335" s="71">
        <f t="shared" si="2103"/>
        <v>294</v>
      </c>
      <c r="CD335" s="72">
        <f t="shared" si="2104"/>
        <v>300</v>
      </c>
      <c r="CE335" s="71">
        <f t="shared" si="2105"/>
        <v>342</v>
      </c>
      <c r="CF335" s="72">
        <f t="shared" si="2106"/>
        <v>374</v>
      </c>
      <c r="CG335" s="71">
        <f t="shared" si="2107"/>
        <v>404</v>
      </c>
      <c r="CH335" s="70">
        <f t="shared" si="2108"/>
        <v>166</v>
      </c>
      <c r="CI335" s="71">
        <f t="shared" si="2109"/>
        <v>170</v>
      </c>
      <c r="CJ335" s="72">
        <f t="shared" si="2110"/>
        <v>203</v>
      </c>
      <c r="CK335" s="72" t="str">
        <f t="shared" si="2111"/>
        <v>-</v>
      </c>
      <c r="CL335" s="72">
        <f t="shared" si="2112"/>
        <v>255</v>
      </c>
      <c r="CM335" s="72" t="str">
        <f t="shared" si="2113"/>
        <v>-</v>
      </c>
      <c r="CN335" s="72">
        <f t="shared" si="2114"/>
        <v>290</v>
      </c>
      <c r="CO335" s="72">
        <f t="shared" si="2115"/>
        <v>296</v>
      </c>
      <c r="CP335" s="72">
        <f t="shared" si="2116"/>
        <v>335</v>
      </c>
      <c r="CQ335" s="72">
        <f t="shared" si="2117"/>
        <v>367</v>
      </c>
      <c r="CR335" s="72">
        <f t="shared" si="2118"/>
        <v>403</v>
      </c>
      <c r="CS335" s="72">
        <f t="shared" si="2119"/>
        <v>429</v>
      </c>
      <c r="CT335" s="23">
        <f t="shared" si="2120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1591"/>
        <v>glr_human_4L6R</v>
      </c>
      <c r="B336" s="3" t="s">
        <v>32</v>
      </c>
      <c r="C336" s="3" t="s">
        <v>51</v>
      </c>
      <c r="D336" s="3" t="str">
        <f>IFERROR(MID(VLOOKUP($B336,Seqs!$A:$B,2,0),E336,1),"")</f>
        <v>G</v>
      </c>
      <c r="E336" s="3">
        <v>125</v>
      </c>
      <c r="F336" s="3" t="str">
        <f>IFERROR(MID(VLOOKUP($B336,Seqs!$A:$B,2,0),G336,1),"")</f>
        <v>G</v>
      </c>
      <c r="G336" s="3">
        <v>164</v>
      </c>
      <c r="H336" s="3" t="str">
        <f>IFERROR(MID(VLOOKUP($B336,Seqs!$A:$B,2,0),I336,1),"")</f>
        <v>S</v>
      </c>
      <c r="I336" s="23">
        <v>167</v>
      </c>
      <c r="J336" s="3" t="str">
        <f>IFERROR(MID(VLOOKUP($B336,Seqs!$A:$B,2,0),K336,1),"")</f>
        <v>H</v>
      </c>
      <c r="K336" s="23">
        <v>170</v>
      </c>
      <c r="L336" s="3" t="str">
        <f>IFERROR(MID(VLOOKUP($B336,Seqs!$A:$B,2,0),M336,1),"")</f>
        <v>C</v>
      </c>
      <c r="M336" s="23">
        <v>171</v>
      </c>
      <c r="N336" s="3" t="str">
        <f>IFERROR(MID(VLOOKUP($B336,Seqs!$A:$B,2,0),O336,1),"")</f>
        <v>R</v>
      </c>
      <c r="O336" s="3">
        <v>199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S</v>
      </c>
      <c r="U336" s="3">
        <v>217</v>
      </c>
      <c r="V336" s="3" t="str">
        <f>IFERROR(MID(VLOOKUP($B336,Seqs!$A:$B,2,0),W336,1),"")</f>
        <v>L</v>
      </c>
      <c r="W336" s="3">
        <v>255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A</v>
      </c>
      <c r="AC336" s="9">
        <v>274</v>
      </c>
      <c r="AD336" s="3" t="str">
        <f>IFERROR(MID(VLOOKUP($B336,Seqs!$A:$B,2,0),AE336,1),"")</f>
        <v>E</v>
      </c>
      <c r="AE336" s="3">
        <v>290</v>
      </c>
      <c r="AF336" s="3" t="str">
        <f>IFERROR(MID(VLOOKUP($B336,Seqs!$A:$B,2,0),AG336,1),"")</f>
        <v>C</v>
      </c>
      <c r="AG336" s="3">
        <v>294</v>
      </c>
      <c r="AH336" s="3" t="str">
        <f>IFERROR(MID(VLOOKUP($B336,Seqs!$A:$B,2,0),AI336,1),"")</f>
        <v>T</v>
      </c>
      <c r="AI336" s="3">
        <v>296</v>
      </c>
      <c r="AJ336" s="3" t="str">
        <f>IFERROR(MID(VLOOKUP($B336,Seqs!$A:$B,2,0),AK336,1),"")</f>
        <v>N</v>
      </c>
      <c r="AK336" s="3">
        <v>300</v>
      </c>
      <c r="AL336" s="3" t="str">
        <f>IFERROR(MID(VLOOKUP($B336,Seqs!$A:$B,2,0),AM336,1),"")</f>
        <v>A</v>
      </c>
      <c r="AM336" s="3">
        <v>335</v>
      </c>
      <c r="AN336" s="3" t="str">
        <f>IFERROR(MID(VLOOKUP($B336,Seqs!$A:$B,2,0),AO336,1),"")</f>
        <v>D</v>
      </c>
      <c r="AO336" s="3">
        <v>342</v>
      </c>
      <c r="AP336" s="3" t="str">
        <f>IFERROR(MID(VLOOKUP($B336,Seqs!$A:$B,2,0),AQ336,1),"")</f>
        <v>F</v>
      </c>
      <c r="AQ336" s="3">
        <v>367</v>
      </c>
      <c r="AR336" s="3" t="str">
        <f>IFERROR(MID(VLOOKUP($B336,Seqs!$A:$B,2,0),AS336,1),"")</f>
        <v>Q</v>
      </c>
      <c r="AS336" s="3">
        <v>374</v>
      </c>
      <c r="AT336" s="3" t="str">
        <f>IFERROR(MID(VLOOKUP($B336,Seqs!$A:$B,2,0),AU336,1),"")</f>
        <v>L</v>
      </c>
      <c r="AU336" s="3">
        <v>403</v>
      </c>
      <c r="AV336" s="3" t="str">
        <f>IFERROR(MID(VLOOKUP($B336,Seqs!$A:$B,2,0),AW336,1),"")</f>
        <v>N</v>
      </c>
      <c r="AW336" s="3">
        <v>404</v>
      </c>
      <c r="AX336" s="3" t="str">
        <f>IFERROR(MID(VLOOKUP($B336,Seqs!$A:$B,2,0),AY336,1),"")</f>
        <v>N</v>
      </c>
      <c r="AY336" s="3">
        <v>429</v>
      </c>
      <c r="AZ336" s="77" t="str">
        <f>VLOOKUP(B336,Classification!A:D,2,0)</f>
        <v>B1</v>
      </c>
      <c r="BA336" s="94" t="str">
        <f>VLOOKUP(B336,Classification!A:D,4,0)</f>
        <v>Glucagonreceptorfamily</v>
      </c>
      <c r="BB336" s="27" t="b">
        <f t="shared" si="1592"/>
        <v>1</v>
      </c>
      <c r="BC336" s="23">
        <f t="shared" si="2095"/>
        <v>252</v>
      </c>
      <c r="BD336" s="2" t="s">
        <v>23</v>
      </c>
      <c r="BE336" s="3" t="s">
        <v>1374</v>
      </c>
      <c r="BF336" s="119">
        <v>3.3</v>
      </c>
      <c r="BG336" s="49" t="s">
        <v>1377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2096"/>
        <v>125</v>
      </c>
      <c r="BW336" s="71">
        <f t="shared" si="2097"/>
        <v>167</v>
      </c>
      <c r="BX336" s="72">
        <f t="shared" si="2098"/>
        <v>171</v>
      </c>
      <c r="BY336" s="71" t="str">
        <f t="shared" si="2099"/>
        <v>-</v>
      </c>
      <c r="BZ336" s="72">
        <f t="shared" si="2100"/>
        <v>217</v>
      </c>
      <c r="CA336" s="71" t="str">
        <f t="shared" si="2101"/>
        <v>-</v>
      </c>
      <c r="CB336" s="72">
        <f t="shared" si="2102"/>
        <v>274</v>
      </c>
      <c r="CC336" s="71">
        <f t="shared" si="2103"/>
        <v>294</v>
      </c>
      <c r="CD336" s="72">
        <f t="shared" si="2104"/>
        <v>300</v>
      </c>
      <c r="CE336" s="71">
        <f t="shared" si="2105"/>
        <v>342</v>
      </c>
      <c r="CF336" s="72">
        <f t="shared" si="2106"/>
        <v>374</v>
      </c>
      <c r="CG336" s="71">
        <f t="shared" si="2107"/>
        <v>404</v>
      </c>
      <c r="CH336" s="70">
        <f t="shared" si="2108"/>
        <v>164</v>
      </c>
      <c r="CI336" s="71">
        <f t="shared" si="2109"/>
        <v>170</v>
      </c>
      <c r="CJ336" s="72">
        <f t="shared" si="2110"/>
        <v>199</v>
      </c>
      <c r="CK336" s="72" t="str">
        <f t="shared" si="2111"/>
        <v>-</v>
      </c>
      <c r="CL336" s="72">
        <f t="shared" si="2112"/>
        <v>255</v>
      </c>
      <c r="CM336" s="72" t="str">
        <f t="shared" si="2113"/>
        <v>-</v>
      </c>
      <c r="CN336" s="72">
        <f t="shared" si="2114"/>
        <v>290</v>
      </c>
      <c r="CO336" s="72">
        <f t="shared" si="2115"/>
        <v>296</v>
      </c>
      <c r="CP336" s="72">
        <f t="shared" si="2116"/>
        <v>335</v>
      </c>
      <c r="CQ336" s="72">
        <f t="shared" si="2117"/>
        <v>367</v>
      </c>
      <c r="CR336" s="72">
        <f t="shared" si="2118"/>
        <v>403</v>
      </c>
      <c r="CS336" s="72">
        <f t="shared" si="2119"/>
        <v>429</v>
      </c>
      <c r="CT336" s="23">
        <f t="shared" si="2120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1591"/>
        <v>glr_human_4L6R_dist</v>
      </c>
      <c r="B337" s="3" t="s">
        <v>32</v>
      </c>
      <c r="C337" s="3" t="s">
        <v>1276</v>
      </c>
      <c r="D337" s="3" t="str">
        <f>IFERROR(MID(VLOOKUP($B337,Seqs!$A:$B,2,0),E337,1),"")</f>
        <v>G</v>
      </c>
      <c r="E337" s="3">
        <v>125</v>
      </c>
      <c r="F337" s="3" t="str">
        <f>IFERROR(MID(VLOOKUP($B337,Seqs!$A:$B,2,0),G337,1),"")</f>
        <v>G</v>
      </c>
      <c r="G337" s="3">
        <v>164</v>
      </c>
      <c r="H337" s="3" t="str">
        <f>IFERROR(MID(VLOOKUP($B337,Seqs!$A:$B,2,0),I337,1),"")</f>
        <v>S</v>
      </c>
      <c r="I337" s="23">
        <v>167</v>
      </c>
      <c r="J337" s="3" t="str">
        <f>IFERROR(MID(VLOOKUP($B337,Seqs!$A:$B,2,0),K337,1),"")</f>
        <v>H</v>
      </c>
      <c r="K337" s="23">
        <v>170</v>
      </c>
      <c r="L337" s="3" t="str">
        <f>IFERROR(MID(VLOOKUP($B337,Seqs!$A:$B,2,0),M337,1),"")</f>
        <v>C</v>
      </c>
      <c r="M337" s="23">
        <v>171</v>
      </c>
      <c r="N337" s="3" t="str">
        <f>IFERROR(MID(VLOOKUP($B337,Seqs!$A:$B,2,0),O337,1),"")</f>
        <v>R</v>
      </c>
      <c r="O337" s="3">
        <v>199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S</v>
      </c>
      <c r="U337" s="3">
        <v>217</v>
      </c>
      <c r="V337" s="3" t="str">
        <f>IFERROR(MID(VLOOKUP($B337,Seqs!$A:$B,2,0),W337,1),"")</f>
        <v>L</v>
      </c>
      <c r="W337" s="3">
        <v>255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S</v>
      </c>
      <c r="AC337" s="9">
        <v>262</v>
      </c>
      <c r="AD337" s="3" t="str">
        <f>IFERROR(MID(VLOOKUP($B337,Seqs!$A:$B,2,0),AE337,1),"")</f>
        <v>E</v>
      </c>
      <c r="AE337" s="3">
        <v>290</v>
      </c>
      <c r="AF337" s="3" t="str">
        <f>IFERROR(MID(VLOOKUP($B337,Seqs!$A:$B,2,0),AG337,1),"")</f>
        <v>C</v>
      </c>
      <c r="AG337" s="3">
        <v>294</v>
      </c>
      <c r="AH337" s="3" t="str">
        <f>IFERROR(MID(VLOOKUP($B337,Seqs!$A:$B,2,0),AI337,1),"")</f>
        <v>T</v>
      </c>
      <c r="AI337" s="3">
        <v>296</v>
      </c>
      <c r="AJ337" s="3" t="str">
        <f>IFERROR(MID(VLOOKUP($B337,Seqs!$A:$B,2,0),AK337,1),"")</f>
        <v>N</v>
      </c>
      <c r="AK337" s="3">
        <v>300</v>
      </c>
      <c r="AL337" s="3" t="str">
        <f>IFERROR(MID(VLOOKUP($B337,Seqs!$A:$B,2,0),AM337,1),"")</f>
        <v>A</v>
      </c>
      <c r="AM337" s="3">
        <v>335</v>
      </c>
      <c r="AN337" s="3" t="str">
        <f>IFERROR(MID(VLOOKUP($B337,Seqs!$A:$B,2,0),AO337,1),"")</f>
        <v>D</v>
      </c>
      <c r="AO337" s="3">
        <v>342</v>
      </c>
      <c r="AP337" s="3" t="str">
        <f>IFERROR(MID(VLOOKUP($B337,Seqs!$A:$B,2,0),AQ337,1),"")</f>
        <v>F</v>
      </c>
      <c r="AQ337" s="3">
        <v>367</v>
      </c>
      <c r="AR337" s="3" t="str">
        <f>IFERROR(MID(VLOOKUP($B337,Seqs!$A:$B,2,0),AS337,1),"")</f>
        <v>Q</v>
      </c>
      <c r="AS337" s="3">
        <v>374</v>
      </c>
      <c r="AT337" s="3" t="str">
        <f>IFERROR(MID(VLOOKUP($B337,Seqs!$A:$B,2,0),AU337,1),"")</f>
        <v>L</v>
      </c>
      <c r="AU337" s="3">
        <v>403</v>
      </c>
      <c r="AV337" s="3" t="str">
        <f>IFERROR(MID(VLOOKUP($B337,Seqs!$A:$B,2,0),AW337,1),"")</f>
        <v>N</v>
      </c>
      <c r="AW337" s="3">
        <v>404</v>
      </c>
      <c r="AX337" s="3" t="str">
        <f>IFERROR(MID(VLOOKUP($B337,Seqs!$A:$B,2,0),AY337,1),"")</f>
        <v>N</v>
      </c>
      <c r="AY337" s="3">
        <v>429</v>
      </c>
      <c r="AZ337" s="77" t="str">
        <f>VLOOKUP(B337,Classification!A:D,2,0)</f>
        <v>B1</v>
      </c>
      <c r="BA337" s="94" t="str">
        <f>VLOOKUP(B337,Classification!A:D,4,0)</f>
        <v>Glucagonreceptorfamily</v>
      </c>
      <c r="BB337" s="27" t="b">
        <f t="shared" si="1592"/>
        <v>1</v>
      </c>
      <c r="BC337" s="23">
        <f t="shared" si="2095"/>
        <v>264</v>
      </c>
      <c r="BD337" s="56" t="s">
        <v>23</v>
      </c>
      <c r="BE337" s="3" t="s">
        <v>1374</v>
      </c>
      <c r="BF337" s="119">
        <v>3.3</v>
      </c>
      <c r="BG337" s="49" t="s">
        <v>1377</v>
      </c>
      <c r="BH337" s="49" t="s">
        <v>1377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si="2096"/>
        <v>125</v>
      </c>
      <c r="BW337" s="71">
        <f t="shared" si="2097"/>
        <v>167</v>
      </c>
      <c r="BX337" s="72">
        <f t="shared" si="2098"/>
        <v>171</v>
      </c>
      <c r="BY337" s="71" t="str">
        <f t="shared" si="2099"/>
        <v>-</v>
      </c>
      <c r="BZ337" s="72">
        <f t="shared" si="2100"/>
        <v>217</v>
      </c>
      <c r="CA337" s="71" t="str">
        <f t="shared" si="2101"/>
        <v>-</v>
      </c>
      <c r="CB337" s="72">
        <f t="shared" si="2102"/>
        <v>262</v>
      </c>
      <c r="CC337" s="71">
        <f t="shared" si="2103"/>
        <v>294</v>
      </c>
      <c r="CD337" s="72">
        <f t="shared" si="2104"/>
        <v>300</v>
      </c>
      <c r="CE337" s="71">
        <f t="shared" si="2105"/>
        <v>342</v>
      </c>
      <c r="CF337" s="72">
        <f t="shared" si="2106"/>
        <v>374</v>
      </c>
      <c r="CG337" s="71">
        <f t="shared" si="2107"/>
        <v>404</v>
      </c>
      <c r="CH337" s="70">
        <f t="shared" si="2108"/>
        <v>164</v>
      </c>
      <c r="CI337" s="71">
        <f t="shared" si="2109"/>
        <v>170</v>
      </c>
      <c r="CJ337" s="72">
        <f t="shared" si="2110"/>
        <v>199</v>
      </c>
      <c r="CK337" s="72" t="str">
        <f t="shared" si="2111"/>
        <v>-</v>
      </c>
      <c r="CL337" s="72">
        <f t="shared" si="2112"/>
        <v>255</v>
      </c>
      <c r="CM337" s="72" t="str">
        <f t="shared" si="2113"/>
        <v>-</v>
      </c>
      <c r="CN337" s="72">
        <f t="shared" si="2114"/>
        <v>290</v>
      </c>
      <c r="CO337" s="72">
        <f t="shared" si="2115"/>
        <v>296</v>
      </c>
      <c r="CP337" s="72">
        <f t="shared" si="2116"/>
        <v>335</v>
      </c>
      <c r="CQ337" s="72">
        <f t="shared" si="2117"/>
        <v>367</v>
      </c>
      <c r="CR337" s="72">
        <f t="shared" si="2118"/>
        <v>403</v>
      </c>
      <c r="CS337" s="72">
        <f t="shared" si="2119"/>
        <v>429</v>
      </c>
      <c r="CT337" s="23">
        <f t="shared" si="2120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ref="A338:A373" si="2121">CONCATENATE(B338,"_",C338)</f>
        <v>glr_human_5EE7</v>
      </c>
      <c r="B338" s="3" t="s">
        <v>32</v>
      </c>
      <c r="C338" s="3" t="s">
        <v>49</v>
      </c>
      <c r="D338" s="3" t="str">
        <f>IFERROR(MID(VLOOKUP($B338,Seqs!$A:$B,2,0),E338,1),"")</f>
        <v>Y</v>
      </c>
      <c r="E338" s="3">
        <v>138</v>
      </c>
      <c r="F338" s="3" t="str">
        <f>IFERROR(MID(VLOOKUP($B338,Seqs!$A:$B,2,0),G338,1),"")</f>
        <v>L</v>
      </c>
      <c r="G338" s="3">
        <v>166</v>
      </c>
      <c r="H338" s="3" t="str">
        <f>IFERROR(MID(VLOOKUP($B338,Seqs!$A:$B,2,0),I338,1),"")</f>
        <v>S</v>
      </c>
      <c r="I338" s="23">
        <v>167</v>
      </c>
      <c r="J338" s="3" t="str">
        <f>IFERROR(MID(VLOOKUP($B338,Seqs!$A:$B,2,0),K338,1),"")</f>
        <v>H</v>
      </c>
      <c r="K338" s="23">
        <v>170</v>
      </c>
      <c r="L338" s="3" t="str">
        <f>IFERROR(MID(VLOOKUP($B338,Seqs!$A:$B,2,0),M338,1),"")</f>
        <v>C</v>
      </c>
      <c r="M338" s="23">
        <v>171</v>
      </c>
      <c r="N338" s="3" t="str">
        <f>IFERROR(MID(VLOOKUP($B338,Seqs!$A:$B,2,0),O338,1),"")</f>
        <v>R</v>
      </c>
      <c r="O338" s="3">
        <v>199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D</v>
      </c>
      <c r="U338" s="3">
        <v>218</v>
      </c>
      <c r="V338" s="3" t="str">
        <f>IFERROR(MID(VLOOKUP($B338,Seqs!$A:$B,2,0),W338,1),"")</f>
        <v>G</v>
      </c>
      <c r="W338" s="3">
        <v>254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S</v>
      </c>
      <c r="AC338" s="9">
        <v>262</v>
      </c>
      <c r="AD338" s="3" t="str">
        <f>IFERROR(MID(VLOOKUP($B338,Seqs!$A:$B,2,0),AE338,1),"")</f>
        <v>E</v>
      </c>
      <c r="AE338" s="3">
        <v>290</v>
      </c>
      <c r="AF338" s="3" t="str">
        <f>IFERROR(MID(VLOOKUP($B338,Seqs!$A:$B,2,0),AG338,1),"")</f>
        <v>C</v>
      </c>
      <c r="AG338" s="3">
        <v>294</v>
      </c>
      <c r="AH338" s="3" t="str">
        <f>IFERROR(MID(VLOOKUP($B338,Seqs!$A:$B,2,0),AI338,1),"")</f>
        <v>T</v>
      </c>
      <c r="AI338" s="3">
        <v>296</v>
      </c>
      <c r="AJ338" s="3" t="str">
        <f>IFERROR(MID(VLOOKUP($B338,Seqs!$A:$B,2,0),AK338,1),"")</f>
        <v>R</v>
      </c>
      <c r="AK338" s="105">
        <v>308</v>
      </c>
      <c r="AL338" s="3" t="str">
        <f>IFERROR(MID(VLOOKUP($B338,Seqs!$A:$B,2,0),AM338,1),"")</f>
        <v>A</v>
      </c>
      <c r="AM338" s="3">
        <v>335</v>
      </c>
      <c r="AN338" s="3" t="str">
        <f>IFERROR(MID(VLOOKUP($B338,Seqs!$A:$B,2,0),AO338,1),"")</f>
        <v>D</v>
      </c>
      <c r="AO338" s="3">
        <v>342</v>
      </c>
      <c r="AP338" s="3" t="str">
        <f>IFERROR(MID(VLOOKUP($B338,Seqs!$A:$B,2,0),AQ338,1),"")</f>
        <v>D</v>
      </c>
      <c r="AQ338" s="3">
        <v>370</v>
      </c>
      <c r="AR338" s="3" t="str">
        <f>IFERROR(MID(VLOOKUP($B338,Seqs!$A:$B,2,0),AS338,1),"")</f>
        <v>S</v>
      </c>
      <c r="AS338" s="3">
        <v>379</v>
      </c>
      <c r="AT338" s="3" t="str">
        <f>IFERROR(MID(VLOOKUP($B338,Seqs!$A:$B,2,0),AU338,1),"")</f>
        <v>F</v>
      </c>
      <c r="AU338" s="3">
        <v>402</v>
      </c>
      <c r="AV338" s="3" t="str">
        <f>IFERROR(MID(VLOOKUP($B338,Seqs!$A:$B,2,0),AW338,1),"")</f>
        <v>N</v>
      </c>
      <c r="AW338" s="3">
        <v>404</v>
      </c>
      <c r="AX338" s="3" t="str">
        <f>IFERROR(MID(VLOOKUP($B338,Seqs!$A:$B,2,0),AY338,1),"")</f>
        <v>R</v>
      </c>
      <c r="AY338" s="3">
        <v>417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ref="BB338:BB373" si="2122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 t="shared" si="2095"/>
        <v>228</v>
      </c>
      <c r="BD338" s="4" t="s">
        <v>23</v>
      </c>
      <c r="BE338" s="3" t="s">
        <v>1374</v>
      </c>
      <c r="BF338" s="119">
        <v>2.5</v>
      </c>
      <c r="BG338" s="49" t="s">
        <v>1377</v>
      </c>
      <c r="BH338" s="49" t="s">
        <v>1377</v>
      </c>
      <c r="BI338" s="1"/>
      <c r="BJ338" s="70" t="s">
        <v>1287</v>
      </c>
      <c r="BK338" s="57" t="s">
        <v>1287</v>
      </c>
      <c r="BL338" s="57" t="s">
        <v>1287</v>
      </c>
      <c r="BM338" s="57" t="s">
        <v>1287</v>
      </c>
      <c r="BN338" s="57" t="s">
        <v>1287</v>
      </c>
      <c r="BO338" s="57" t="s">
        <v>1287</v>
      </c>
      <c r="BP338" s="57" t="s">
        <v>1287</v>
      </c>
      <c r="BQ338" s="57" t="s">
        <v>1287</v>
      </c>
      <c r="BR338" s="57" t="s">
        <v>1287</v>
      </c>
      <c r="BS338" s="57" t="s">
        <v>1287</v>
      </c>
      <c r="BT338" s="57" t="s">
        <v>1287</v>
      </c>
      <c r="BU338" s="57" t="s">
        <v>1287</v>
      </c>
      <c r="BV338" s="70">
        <f t="shared" si="2096"/>
        <v>138</v>
      </c>
      <c r="BW338" s="71">
        <f t="shared" si="2097"/>
        <v>167</v>
      </c>
      <c r="BX338" s="72">
        <f t="shared" si="2098"/>
        <v>171</v>
      </c>
      <c r="BY338" s="71" t="str">
        <f t="shared" si="2099"/>
        <v>-</v>
      </c>
      <c r="BZ338" s="72">
        <f t="shared" si="2100"/>
        <v>218</v>
      </c>
      <c r="CA338" s="71" t="str">
        <f t="shared" si="2101"/>
        <v>-</v>
      </c>
      <c r="CB338" s="72">
        <f t="shared" si="2102"/>
        <v>262</v>
      </c>
      <c r="CC338" s="71">
        <f t="shared" si="2103"/>
        <v>294</v>
      </c>
      <c r="CD338" s="72">
        <f t="shared" si="2104"/>
        <v>308</v>
      </c>
      <c r="CE338" s="71">
        <f t="shared" si="2105"/>
        <v>342</v>
      </c>
      <c r="CF338" s="72">
        <f t="shared" si="2106"/>
        <v>379</v>
      </c>
      <c r="CG338" s="71">
        <f t="shared" si="2107"/>
        <v>404</v>
      </c>
      <c r="CH338" s="70">
        <f t="shared" si="2108"/>
        <v>166</v>
      </c>
      <c r="CI338" s="71">
        <f t="shared" si="2109"/>
        <v>170</v>
      </c>
      <c r="CJ338" s="72">
        <f t="shared" si="2110"/>
        <v>199</v>
      </c>
      <c r="CK338" s="72" t="str">
        <f t="shared" si="2111"/>
        <v>-</v>
      </c>
      <c r="CL338" s="72">
        <f t="shared" si="2112"/>
        <v>254</v>
      </c>
      <c r="CM338" s="72" t="str">
        <f t="shared" si="2113"/>
        <v>-</v>
      </c>
      <c r="CN338" s="72">
        <f t="shared" si="2114"/>
        <v>290</v>
      </c>
      <c r="CO338" s="72">
        <f t="shared" si="2115"/>
        <v>296</v>
      </c>
      <c r="CP338" s="72">
        <f t="shared" si="2116"/>
        <v>335</v>
      </c>
      <c r="CQ338" s="72">
        <f t="shared" si="2117"/>
        <v>370</v>
      </c>
      <c r="CR338" s="72">
        <f t="shared" si="2118"/>
        <v>402</v>
      </c>
      <c r="CS338" s="72">
        <f t="shared" si="2119"/>
        <v>417</v>
      </c>
      <c r="CT338" s="23">
        <f t="shared" si="2120"/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ref="A339:A348" si="2123">CONCATENATE(B339,"_",C339)</f>
        <v>glr_human_5XEZ</v>
      </c>
      <c r="B339" s="3" t="s">
        <v>32</v>
      </c>
      <c r="C339" s="3" t="s">
        <v>1409</v>
      </c>
      <c r="D339" s="3" t="str">
        <f>IFERROR(MID(VLOOKUP($B339,Seqs!$A:$B,2,0),E339,1),"")</f>
        <v>Q</v>
      </c>
      <c r="E339" s="3">
        <v>131</v>
      </c>
      <c r="F339" s="3" t="str">
        <f>IFERROR(MID(VLOOKUP($B339,Seqs!$A:$B,2,0),G339,1),"")</f>
        <v>G</v>
      </c>
      <c r="G339" s="3">
        <v>164</v>
      </c>
      <c r="H339" s="3" t="str">
        <f>IFERROR(MID(VLOOKUP($B339,Seqs!$A:$B,2,0),I339,1),"")</f>
        <v>S</v>
      </c>
      <c r="I339" s="23">
        <v>167</v>
      </c>
      <c r="J339" s="3" t="str">
        <f>IFERROR(MID(VLOOKUP($B339,Seqs!$A:$B,2,0),K339,1),"")</f>
        <v>H</v>
      </c>
      <c r="K339" s="23">
        <v>170</v>
      </c>
      <c r="L339" s="3" t="str">
        <f>IFERROR(MID(VLOOKUP($B339,Seqs!$A:$B,2,0),M339,1),"")</f>
        <v>C</v>
      </c>
      <c r="M339" s="23">
        <v>171</v>
      </c>
      <c r="N339" s="3" t="str">
        <f>IFERROR(MID(VLOOKUP($B339,Seqs!$A:$B,2,0),O339,1),"")</f>
        <v>R</v>
      </c>
      <c r="O339" s="3">
        <v>201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S</v>
      </c>
      <c r="U339" s="3">
        <v>217</v>
      </c>
      <c r="V339" s="3" t="str">
        <f>IFERROR(MID(VLOOKUP($B339,Seqs!$A:$B,2,0),W339,1),"")</f>
        <v>L</v>
      </c>
      <c r="W339" s="3">
        <v>255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E</v>
      </c>
      <c r="AC339" s="3">
        <v>260</v>
      </c>
      <c r="AD339" s="3" t="str">
        <f>IFERROR(MID(VLOOKUP($B339,Seqs!$A:$B,2,0),AE339,1),"")</f>
        <v>E</v>
      </c>
      <c r="AE339" s="3">
        <v>290</v>
      </c>
      <c r="AF339" s="3" t="str">
        <f>IFERROR(MID(VLOOKUP($B339,Seqs!$A:$B,2,0),AG339,1),"")</f>
        <v>C</v>
      </c>
      <c r="AG339" s="3">
        <v>294</v>
      </c>
      <c r="AH339" s="3" t="str">
        <f>IFERROR(MID(VLOOKUP($B339,Seqs!$A:$B,2,0),AI339,1),"")</f>
        <v>T</v>
      </c>
      <c r="AI339" s="3">
        <v>296</v>
      </c>
      <c r="AJ339" s="3" t="str">
        <f>IFERROR(MID(VLOOKUP($B339,Seqs!$A:$B,2,0),AK339,1),"")</f>
        <v>G</v>
      </c>
      <c r="AK339" s="3">
        <v>302</v>
      </c>
      <c r="AL339" s="3" t="str">
        <f>IFERROR(MID(VLOOKUP($B339,Seqs!$A:$B,2,0),AM339,1),"")</f>
        <v>R</v>
      </c>
      <c r="AM339" s="3">
        <v>334</v>
      </c>
      <c r="AN339" s="3" t="str">
        <f>IFERROR(MID(VLOOKUP($B339,Seqs!$A:$B,2,0),AO339,1),"")</f>
        <v>D</v>
      </c>
      <c r="AO339" s="3">
        <v>342</v>
      </c>
      <c r="AP339" s="3" t="str">
        <f>IFERROR(MID(VLOOKUP($B339,Seqs!$A:$B,2,0),AQ339,1),"")</f>
        <v>F</v>
      </c>
      <c r="AQ339" s="3">
        <v>367</v>
      </c>
      <c r="AR339" s="3" t="str">
        <f>IFERROR(MID(VLOOKUP($B339,Seqs!$A:$B,2,0),AS339,1),"")</f>
        <v>G</v>
      </c>
      <c r="AS339" s="3">
        <v>375</v>
      </c>
      <c r="AT339" s="3" t="str">
        <f>IFERROR(MID(VLOOKUP($B339,Seqs!$A:$B,2,0),AU339,1),"")</f>
        <v>L</v>
      </c>
      <c r="AU339" s="3">
        <v>403</v>
      </c>
      <c r="AV339" s="3" t="str">
        <f>IFERROR(MID(VLOOKUP($B339,Seqs!$A:$B,2,0),AW339,1),"")</f>
        <v>N</v>
      </c>
      <c r="AW339" s="3">
        <v>404</v>
      </c>
      <c r="AX339" s="3" t="str">
        <f>IFERROR(MID(VLOOKUP($B339,Seqs!$A:$B,2,0),AY339,1),"")</f>
        <v>W</v>
      </c>
      <c r="AY339" s="3">
        <v>415</v>
      </c>
      <c r="AZ339" s="77" t="str">
        <f>VLOOKUP(B339,Classification!A:D,2,0)</f>
        <v>B1</v>
      </c>
      <c r="BA339" s="94" t="str">
        <f>VLOOKUP(B339,Classification!A:D,4,0)</f>
        <v>Glucagonreceptorfamily</v>
      </c>
      <c r="BB339" s="27" t="b">
        <f t="shared" ref="BB339:BB348" si="2124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:BC348" si="2125">_xlfn.AGGREGATE(9,6,CH339:CS339)-_xlfn.AGGREGATE(9,6,BV339:CG339)+12</f>
        <v>244</v>
      </c>
      <c r="BD339" s="4" t="s">
        <v>1376</v>
      </c>
      <c r="BE339" s="3" t="s">
        <v>1374</v>
      </c>
      <c r="BF339" s="119">
        <v>3</v>
      </c>
      <c r="BG339" s="49" t="s">
        <v>1281</v>
      </c>
      <c r="BH339" s="49" t="s">
        <v>1281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ref="BV339:BV348" si="2126">E339</f>
        <v>131</v>
      </c>
      <c r="BW339" s="71">
        <f t="shared" ref="BW339:BW348" si="2127">I339</f>
        <v>167</v>
      </c>
      <c r="BX339" s="72">
        <f t="shared" ref="BX339:BX348" si="2128">M339</f>
        <v>171</v>
      </c>
      <c r="BY339" s="71" t="str">
        <f t="shared" ref="BY339:BY348" si="2129">Q339</f>
        <v>-</v>
      </c>
      <c r="BZ339" s="72">
        <f t="shared" ref="BZ339:BZ348" si="2130">U339</f>
        <v>217</v>
      </c>
      <c r="CA339" s="71" t="str">
        <f t="shared" ref="CA339:CA348" si="2131">Y339</f>
        <v>-</v>
      </c>
      <c r="CB339" s="72">
        <f t="shared" ref="CB339:CB348" si="2132">AC339</f>
        <v>260</v>
      </c>
      <c r="CC339" s="71">
        <f t="shared" ref="CC339:CC348" si="2133">AG339</f>
        <v>294</v>
      </c>
      <c r="CD339" s="72">
        <f t="shared" ref="CD339:CD348" si="2134">AK339</f>
        <v>302</v>
      </c>
      <c r="CE339" s="71">
        <f t="shared" ref="CE339:CE348" si="2135">AO339</f>
        <v>342</v>
      </c>
      <c r="CF339" s="72">
        <f t="shared" ref="CF339:CF348" si="2136">AS339</f>
        <v>375</v>
      </c>
      <c r="CG339" s="71">
        <f t="shared" ref="CG339:CG348" si="2137">AW339</f>
        <v>404</v>
      </c>
      <c r="CH339" s="70">
        <f t="shared" ref="CH339:CH348" si="2138">G339</f>
        <v>164</v>
      </c>
      <c r="CI339" s="71">
        <f t="shared" ref="CI339:CI348" si="2139">K339</f>
        <v>170</v>
      </c>
      <c r="CJ339" s="72">
        <f t="shared" ref="CJ339:CJ348" si="2140">O339</f>
        <v>201</v>
      </c>
      <c r="CK339" s="72" t="str">
        <f t="shared" ref="CK339:CK348" si="2141">S339</f>
        <v>-</v>
      </c>
      <c r="CL339" s="72">
        <f t="shared" ref="CL339:CL348" si="2142">W339</f>
        <v>255</v>
      </c>
      <c r="CM339" s="72" t="str">
        <f t="shared" ref="CM339:CM348" si="2143">AA339</f>
        <v>-</v>
      </c>
      <c r="CN339" s="72">
        <f t="shared" ref="CN339:CN348" si="2144">AE339</f>
        <v>290</v>
      </c>
      <c r="CO339" s="72">
        <f t="shared" ref="CO339:CO348" si="2145">AI339</f>
        <v>296</v>
      </c>
      <c r="CP339" s="72">
        <f t="shared" ref="CP339:CP348" si="2146">AM339</f>
        <v>334</v>
      </c>
      <c r="CQ339" s="72">
        <f t="shared" ref="CQ339:CQ348" si="2147">AQ339</f>
        <v>367</v>
      </c>
      <c r="CR339" s="72">
        <f t="shared" ref="CR339:CR348" si="2148">AU339</f>
        <v>403</v>
      </c>
      <c r="CS339" s="72">
        <f t="shared" ref="CS339:CS348" si="2149">AY339</f>
        <v>415</v>
      </c>
      <c r="CT339" s="23">
        <f t="shared" ref="CT339:CT348" si="2150">M339-K339</f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123"/>
        <v>glr_human_5XF1</v>
      </c>
      <c r="B340" s="3" t="s">
        <v>32</v>
      </c>
      <c r="C340" s="3" t="s">
        <v>1410</v>
      </c>
      <c r="D340" s="3" t="str">
        <f>IFERROR(MID(VLOOKUP($B340,Seqs!$A:$B,2,0),E340,1),"")</f>
        <v>Q</v>
      </c>
      <c r="E340" s="3">
        <v>131</v>
      </c>
      <c r="F340" s="3" t="str">
        <f>IFERROR(MID(VLOOKUP($B340,Seqs!$A:$B,2,0),G340,1),"")</f>
        <v>L</v>
      </c>
      <c r="G340" s="3">
        <v>166</v>
      </c>
      <c r="H340" s="3" t="str">
        <f>IFERROR(MID(VLOOKUP($B340,Seqs!$A:$B,2,0),I340,1),"")</f>
        <v>S</v>
      </c>
      <c r="I340" s="23">
        <v>167</v>
      </c>
      <c r="J340" s="3" t="str">
        <f>IFERROR(MID(VLOOKUP($B340,Seqs!$A:$B,2,0),K340,1),"")</f>
        <v>H</v>
      </c>
      <c r="K340" s="23">
        <v>170</v>
      </c>
      <c r="L340" s="3" t="str">
        <f>IFERROR(MID(VLOOKUP($B340,Seqs!$A:$B,2,0),M340,1),"")</f>
        <v>N</v>
      </c>
      <c r="M340" s="23">
        <v>174</v>
      </c>
      <c r="N340" s="3" t="str">
        <f>IFERROR(MID(VLOOKUP($B340,Seqs!$A:$B,2,0),O340,1),"")</f>
        <v>R</v>
      </c>
      <c r="O340" s="3">
        <v>201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S</v>
      </c>
      <c r="U340" s="3">
        <v>217</v>
      </c>
      <c r="V340" s="3" t="str">
        <f>IFERROR(MID(VLOOKUP($B340,Seqs!$A:$B,2,0),W340,1),"")</f>
        <v>L</v>
      </c>
      <c r="W340" s="3">
        <v>255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R</v>
      </c>
      <c r="AC340" s="3">
        <v>261</v>
      </c>
      <c r="AD340" s="3" t="str">
        <f>IFERROR(MID(VLOOKUP($B340,Seqs!$A:$B,2,0),AE340,1),"")</f>
        <v>F</v>
      </c>
      <c r="AE340" s="3">
        <v>289</v>
      </c>
      <c r="AF340" s="3" t="str">
        <f>IFERROR(MID(VLOOKUP($B340,Seqs!$A:$B,2,0),AG340,1),"")</f>
        <v>C</v>
      </c>
      <c r="AG340" s="3">
        <v>294</v>
      </c>
      <c r="AH340" s="3" t="str">
        <f>IFERROR(MID(VLOOKUP($B340,Seqs!$A:$B,2,0),AI340,1),"")</f>
        <v>T</v>
      </c>
      <c r="AI340" s="3">
        <v>296</v>
      </c>
      <c r="AJ340" s="3" t="str">
        <f>IFERROR(MID(VLOOKUP($B340,Seqs!$A:$B,2,0),AK340,1),"")</f>
        <v>D</v>
      </c>
      <c r="AK340" s="3">
        <v>299</v>
      </c>
      <c r="AL340" s="3" t="str">
        <f>IFERROR(MID(VLOOKUP($B340,Seqs!$A:$B,2,0),AM340,1),"")</f>
        <v>L</v>
      </c>
      <c r="AM340" s="3">
        <v>333</v>
      </c>
      <c r="AN340" s="3" t="str">
        <f>IFERROR(MID(VLOOKUP($B340,Seqs!$A:$B,2,0),AO340,1),"")</f>
        <v>D</v>
      </c>
      <c r="AO340" s="3">
        <v>342</v>
      </c>
      <c r="AP340" s="3" t="str">
        <f>IFERROR(MID(VLOOKUP($B340,Seqs!$A:$B,2,0),AQ340,1),"")</f>
        <v>V</v>
      </c>
      <c r="AQ340" s="3">
        <v>368</v>
      </c>
      <c r="AR340" s="3" t="str">
        <f>IFERROR(MID(VLOOKUP($B340,Seqs!$A:$B,2,0),AS340,1),"")</f>
        <v>L</v>
      </c>
      <c r="AS340" s="3">
        <v>377</v>
      </c>
      <c r="AT340" s="3" t="str">
        <f>IFERROR(MID(VLOOKUP($B340,Seqs!$A:$B,2,0),AU340,1),"")</f>
        <v>L</v>
      </c>
      <c r="AU340" s="3">
        <v>403</v>
      </c>
      <c r="AV340" s="3" t="str">
        <f>IFERROR(MID(VLOOKUP($B340,Seqs!$A:$B,2,0),AW340,1),"")</f>
        <v>N</v>
      </c>
      <c r="AW340" s="3">
        <v>404</v>
      </c>
      <c r="AX340" s="3" t="str">
        <f>IFERROR(MID(VLOOKUP($B340,Seqs!$A:$B,2,0),AY340,1),"")</f>
        <v>W</v>
      </c>
      <c r="AY340" s="3">
        <v>415</v>
      </c>
      <c r="AZ340" s="77" t="str">
        <f>VLOOKUP(B340,Classification!A:D,2,0)</f>
        <v>B1</v>
      </c>
      <c r="BA340" s="94" t="str">
        <f>VLOOKUP(B340,Classification!A:D,4,0)</f>
        <v>Glucagonreceptorfamily</v>
      </c>
      <c r="BB340" s="27" t="b">
        <f t="shared" si="2124"/>
        <v>1</v>
      </c>
      <c r="BC340" s="23">
        <f t="shared" si="2125"/>
        <v>242</v>
      </c>
      <c r="BD340" s="4" t="s">
        <v>23</v>
      </c>
      <c r="BE340" s="3" t="s">
        <v>1374</v>
      </c>
      <c r="BF340" s="119">
        <v>3.19</v>
      </c>
      <c r="BG340" s="49" t="s">
        <v>1281</v>
      </c>
      <c r="BH340" s="49" t="s">
        <v>1281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si="2126"/>
        <v>131</v>
      </c>
      <c r="BW340" s="71">
        <f t="shared" si="2127"/>
        <v>167</v>
      </c>
      <c r="BX340" s="72">
        <f t="shared" si="2128"/>
        <v>174</v>
      </c>
      <c r="BY340" s="71" t="str">
        <f t="shared" si="2129"/>
        <v>-</v>
      </c>
      <c r="BZ340" s="72">
        <f t="shared" si="2130"/>
        <v>217</v>
      </c>
      <c r="CA340" s="71" t="str">
        <f t="shared" si="2131"/>
        <v>-</v>
      </c>
      <c r="CB340" s="72">
        <f t="shared" si="2132"/>
        <v>261</v>
      </c>
      <c r="CC340" s="71">
        <f t="shared" si="2133"/>
        <v>294</v>
      </c>
      <c r="CD340" s="72">
        <f t="shared" si="2134"/>
        <v>299</v>
      </c>
      <c r="CE340" s="71">
        <f t="shared" si="2135"/>
        <v>342</v>
      </c>
      <c r="CF340" s="72">
        <f t="shared" si="2136"/>
        <v>377</v>
      </c>
      <c r="CG340" s="71">
        <f t="shared" si="2137"/>
        <v>404</v>
      </c>
      <c r="CH340" s="70">
        <f t="shared" si="2138"/>
        <v>166</v>
      </c>
      <c r="CI340" s="71">
        <f t="shared" si="2139"/>
        <v>170</v>
      </c>
      <c r="CJ340" s="72">
        <f t="shared" si="2140"/>
        <v>201</v>
      </c>
      <c r="CK340" s="72" t="str">
        <f t="shared" si="2141"/>
        <v>-</v>
      </c>
      <c r="CL340" s="72">
        <f t="shared" si="2142"/>
        <v>255</v>
      </c>
      <c r="CM340" s="72" t="str">
        <f t="shared" si="2143"/>
        <v>-</v>
      </c>
      <c r="CN340" s="72">
        <f t="shared" si="2144"/>
        <v>289</v>
      </c>
      <c r="CO340" s="72">
        <f t="shared" si="2145"/>
        <v>296</v>
      </c>
      <c r="CP340" s="72">
        <f t="shared" si="2146"/>
        <v>333</v>
      </c>
      <c r="CQ340" s="72">
        <f t="shared" si="2147"/>
        <v>368</v>
      </c>
      <c r="CR340" s="72">
        <f t="shared" si="2148"/>
        <v>403</v>
      </c>
      <c r="CS340" s="72">
        <f t="shared" si="2149"/>
        <v>415</v>
      </c>
      <c r="CT340" s="23">
        <f t="shared" si="2150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123"/>
        <v>glr_human_5YQZ</v>
      </c>
      <c r="B341" s="3" t="s">
        <v>32</v>
      </c>
      <c r="C341" s="3" t="s">
        <v>1462</v>
      </c>
      <c r="D341" s="3" t="str">
        <f>IFERROR(MID(VLOOKUP($B341,Seqs!$A:$B,2,0),E341,1),"")</f>
        <v>D</v>
      </c>
      <c r="E341" s="3">
        <v>124</v>
      </c>
      <c r="F341" s="3" t="str">
        <f>IFERROR(MID(VLOOKUP($B341,Seqs!$A:$B,2,0),G341,1),"")</f>
        <v>L</v>
      </c>
      <c r="G341" s="3">
        <v>166</v>
      </c>
      <c r="H341" s="3" t="str">
        <f>IFERROR(MID(VLOOKUP($B341,Seqs!$A:$B,2,0),I341,1),"")</f>
        <v>S</v>
      </c>
      <c r="I341" s="23">
        <v>167</v>
      </c>
      <c r="J341" s="3" t="str">
        <f>IFERROR(MID(VLOOKUP($B341,Seqs!$A:$B,2,0),K341,1),"")</f>
        <v>H</v>
      </c>
      <c r="K341" s="23">
        <v>170</v>
      </c>
      <c r="L341" s="3" t="str">
        <f>IFERROR(MID(VLOOKUP($B341,Seqs!$A:$B,2,0),M341,1),"")</f>
        <v>C</v>
      </c>
      <c r="M341" s="23">
        <v>171</v>
      </c>
      <c r="N341" s="3" t="str">
        <f>IFERROR(MID(VLOOKUP($B341,Seqs!$A:$B,2,0),O341,1),"")</f>
        <v>S</v>
      </c>
      <c r="O341" s="3">
        <v>203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A</v>
      </c>
      <c r="U341" s="3">
        <v>220</v>
      </c>
      <c r="V341" s="3" t="str">
        <f>IFERROR(MID(VLOOKUP($B341,Seqs!$A:$B,2,0),W341,1),"")</f>
        <v>L</v>
      </c>
      <c r="W341" s="3">
        <v>255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F</v>
      </c>
      <c r="AC341" s="3">
        <v>263</v>
      </c>
      <c r="AD341" s="3" t="str">
        <f>IFERROR(MID(VLOOKUP($B341,Seqs!$A:$B,2,0),AE341,1),"")</f>
        <v>E</v>
      </c>
      <c r="AE341" s="3">
        <v>290</v>
      </c>
      <c r="AF341" s="3" t="str">
        <f>IFERROR(MID(VLOOKUP($B341,Seqs!$A:$B,2,0),AG341,1),"")</f>
        <v>C</v>
      </c>
      <c r="AG341" s="3">
        <v>294</v>
      </c>
      <c r="AH341" s="3" t="str">
        <f>IFERROR(MID(VLOOKUP($B341,Seqs!$A:$B,2,0),AI341,1),"")</f>
        <v>T</v>
      </c>
      <c r="AI341" s="3">
        <v>296</v>
      </c>
      <c r="AJ341" s="3" t="str">
        <f>IFERROR(MID(VLOOKUP($B341,Seqs!$A:$B,2,0),AK341,1),"")</f>
        <v>F</v>
      </c>
      <c r="AK341" s="3">
        <v>303</v>
      </c>
      <c r="AL341" s="3" t="str">
        <f>IFERROR(MID(VLOOKUP($B341,Seqs!$A:$B,2,0),AM341,1),"")</f>
        <v>A</v>
      </c>
      <c r="AM341" s="3">
        <v>335</v>
      </c>
      <c r="AN341" s="3" t="str">
        <f>IFERROR(MID(VLOOKUP($B341,Seqs!$A:$B,2,0),AO341,1),"")</f>
        <v>D</v>
      </c>
      <c r="AO341" s="3">
        <v>342</v>
      </c>
      <c r="AP341" s="3" t="str">
        <f>IFERROR(MID(VLOOKUP($B341,Seqs!$A:$B,2,0),AQ341,1),"")</f>
        <v>T</v>
      </c>
      <c r="AQ341" s="3">
        <v>369</v>
      </c>
      <c r="AR341" s="3" t="str">
        <f>IFERROR(MID(VLOOKUP($B341,Seqs!$A:$B,2,0),AS341,1),"")</f>
        <v>G</v>
      </c>
      <c r="AS341" s="3">
        <v>375</v>
      </c>
      <c r="AT341" s="3" t="str">
        <f>IFERROR(MID(VLOOKUP($B341,Seqs!$A:$B,2,0),AU341,1),"")</f>
        <v>L</v>
      </c>
      <c r="AU341" s="3">
        <v>403</v>
      </c>
      <c r="AV341" s="3" t="str">
        <f>IFERROR(MID(VLOOKUP($B341,Seqs!$A:$B,2,0),AW341,1),"")</f>
        <v>N</v>
      </c>
      <c r="AW341" s="3">
        <v>404</v>
      </c>
      <c r="AX341" s="3" t="str">
        <f>IFERROR(MID(VLOOKUP($B341,Seqs!$A:$B,2,0),AY341,1),"")</f>
        <v>E</v>
      </c>
      <c r="AY341" s="3">
        <v>426</v>
      </c>
      <c r="AZ341" s="77" t="str">
        <f>VLOOKUP(B341,Classification!A:D,2,0)</f>
        <v>B1</v>
      </c>
      <c r="BA341" s="94" t="str">
        <f>VLOOKUP(B341,Classification!A:D,4,0)</f>
        <v>Glucagonreceptorfamily</v>
      </c>
      <c r="BB341" s="27" t="b">
        <f t="shared" si="2124"/>
        <v>1</v>
      </c>
      <c r="BC341" s="23">
        <f t="shared" si="2125"/>
        <v>262</v>
      </c>
      <c r="BD341" s="4" t="s">
        <v>23</v>
      </c>
      <c r="BE341" s="3" t="s">
        <v>1374</v>
      </c>
      <c r="BF341" s="119">
        <v>3</v>
      </c>
      <c r="BG341" s="49" t="s">
        <v>1422</v>
      </c>
      <c r="BH341" s="49" t="s">
        <v>1422</v>
      </c>
      <c r="BI341" s="1"/>
      <c r="BJ341" s="70" t="s">
        <v>1287</v>
      </c>
      <c r="BK341" s="57" t="s">
        <v>1287</v>
      </c>
      <c r="BL341" s="57" t="s">
        <v>1287</v>
      </c>
      <c r="BM341" s="57" t="s">
        <v>1287</v>
      </c>
      <c r="BN341" s="57" t="s">
        <v>1287</v>
      </c>
      <c r="BO341" s="57" t="s">
        <v>1287</v>
      </c>
      <c r="BP341" s="57" t="s">
        <v>1287</v>
      </c>
      <c r="BQ341" s="57" t="s">
        <v>1287</v>
      </c>
      <c r="BR341" s="57" t="s">
        <v>1287</v>
      </c>
      <c r="BS341" s="57" t="s">
        <v>1287</v>
      </c>
      <c r="BT341" s="57" t="s">
        <v>1287</v>
      </c>
      <c r="BU341" s="57" t="s">
        <v>1287</v>
      </c>
      <c r="BV341" s="70">
        <f t="shared" si="2126"/>
        <v>124</v>
      </c>
      <c r="BW341" s="71">
        <f t="shared" si="2127"/>
        <v>167</v>
      </c>
      <c r="BX341" s="72">
        <f t="shared" si="2128"/>
        <v>171</v>
      </c>
      <c r="BY341" s="71" t="str">
        <f t="shared" si="2129"/>
        <v>-</v>
      </c>
      <c r="BZ341" s="72">
        <f t="shared" si="2130"/>
        <v>220</v>
      </c>
      <c r="CA341" s="71" t="str">
        <f t="shared" si="2131"/>
        <v>-</v>
      </c>
      <c r="CB341" s="72">
        <f t="shared" si="2132"/>
        <v>263</v>
      </c>
      <c r="CC341" s="71">
        <f t="shared" si="2133"/>
        <v>294</v>
      </c>
      <c r="CD341" s="72">
        <f t="shared" si="2134"/>
        <v>303</v>
      </c>
      <c r="CE341" s="71">
        <f t="shared" si="2135"/>
        <v>342</v>
      </c>
      <c r="CF341" s="72">
        <f t="shared" si="2136"/>
        <v>375</v>
      </c>
      <c r="CG341" s="71">
        <f t="shared" si="2137"/>
        <v>404</v>
      </c>
      <c r="CH341" s="70">
        <f t="shared" si="2138"/>
        <v>166</v>
      </c>
      <c r="CI341" s="71">
        <f t="shared" si="2139"/>
        <v>170</v>
      </c>
      <c r="CJ341" s="72">
        <f t="shared" si="2140"/>
        <v>203</v>
      </c>
      <c r="CK341" s="72" t="str">
        <f t="shared" si="2141"/>
        <v>-</v>
      </c>
      <c r="CL341" s="72">
        <f t="shared" si="2142"/>
        <v>255</v>
      </c>
      <c r="CM341" s="72" t="str">
        <f t="shared" si="2143"/>
        <v>-</v>
      </c>
      <c r="CN341" s="72">
        <f t="shared" si="2144"/>
        <v>290</v>
      </c>
      <c r="CO341" s="72">
        <f t="shared" si="2145"/>
        <v>296</v>
      </c>
      <c r="CP341" s="72">
        <f t="shared" si="2146"/>
        <v>335</v>
      </c>
      <c r="CQ341" s="72">
        <f t="shared" si="2147"/>
        <v>369</v>
      </c>
      <c r="CR341" s="72">
        <f t="shared" si="2148"/>
        <v>403</v>
      </c>
      <c r="CS341" s="72">
        <f t="shared" si="2149"/>
        <v>426</v>
      </c>
      <c r="CT341" s="23">
        <f t="shared" si="2150"/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si="2123"/>
        <v>glp1r_human__wt</v>
      </c>
      <c r="B342" s="3" t="s">
        <v>406</v>
      </c>
      <c r="C342" s="3" t="s">
        <v>100</v>
      </c>
      <c r="D342" s="3" t="str">
        <f>IFERROR(MID(VLOOKUP($B342,Seqs!$A:$B,2,0),E342,1),"")</f>
        <v>E</v>
      </c>
      <c r="E342" s="3">
        <v>138</v>
      </c>
      <c r="F342" s="3" t="str">
        <f>IFERROR(MID(VLOOKUP($B342,Seqs!$A:$B,2,0),G342,1),"")</f>
        <v>F</v>
      </c>
      <c r="G342" s="3">
        <v>169</v>
      </c>
      <c r="H342" s="3" t="str">
        <f>IFERROR(MID(VLOOKUP($B342,Seqs!$A:$B,2,0),I342,1),"")</f>
        <v>R</v>
      </c>
      <c r="I342" s="23">
        <v>170</v>
      </c>
      <c r="J342" s="3" t="str">
        <f>IFERROR(MID(VLOOKUP($B342,Seqs!$A:$B,2,0),K342,1),"")</f>
        <v>H</v>
      </c>
      <c r="K342" s="23">
        <v>173</v>
      </c>
      <c r="L342" s="3" t="str">
        <f>IFERROR(MID(VLOOKUP($B342,Seqs!$A:$B,2,0),M342,1),"")</f>
        <v>C</v>
      </c>
      <c r="M342" s="23">
        <v>174</v>
      </c>
      <c r="N342" s="3" t="str">
        <f>IFERROR(MID(VLOOKUP($B342,Seqs!$A:$B,2,0),O342,1),"")</f>
        <v>S</v>
      </c>
      <c r="O342" s="3">
        <v>206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224</v>
      </c>
      <c r="V342" s="3" t="str">
        <f>IFERROR(MID(VLOOKUP($B342,Seqs!$A:$B,2,0),W342,1),"")</f>
        <v>F</v>
      </c>
      <c r="W342" s="3">
        <v>257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E</v>
      </c>
      <c r="AC342" s="3">
        <v>262</v>
      </c>
      <c r="AD342" s="3" t="str">
        <f>IFERROR(MID(VLOOKUP($B342,Seqs!$A:$B,2,0),AE342,1),"")</f>
        <v>E</v>
      </c>
      <c r="AE342" s="3">
        <v>292</v>
      </c>
      <c r="AF342" s="3" t="str">
        <f>IFERROR(MID(VLOOKUP($B342,Seqs!$A:$B,2,0),AG342,1),"")</f>
        <v>C</v>
      </c>
      <c r="AG342" s="3">
        <v>296</v>
      </c>
      <c r="AH342" s="3" t="str">
        <f>IFERROR(MID(VLOOKUP($B342,Seqs!$A:$B,2,0),AI342,1),"")</f>
        <v>T</v>
      </c>
      <c r="AI342" s="3">
        <v>298</v>
      </c>
      <c r="AJ342" s="3" t="str">
        <f>IFERROR(MID(VLOOKUP($B342,Seqs!$A:$B,2,0),AK342,1),"")</f>
        <v>N</v>
      </c>
      <c r="AK342" s="3">
        <v>302</v>
      </c>
      <c r="AL342" s="3" t="str">
        <f>IFERROR(MID(VLOOKUP($B342,Seqs!$A:$B,2,0),AM342,1),"")</f>
        <v>A</v>
      </c>
      <c r="AM342" s="3">
        <v>337</v>
      </c>
      <c r="AN342" s="3" t="str">
        <f>IFERROR(MID(VLOOKUP($B342,Seqs!$A:$B,2,0),AO342,1),"")</f>
        <v>D</v>
      </c>
      <c r="AO342" s="3">
        <v>344</v>
      </c>
      <c r="AP342" s="3" t="str">
        <f>IFERROR(MID(VLOOKUP($B342,Seqs!$A:$B,2,0),AQ342,1),"")</f>
        <v>F</v>
      </c>
      <c r="AQ342" s="3">
        <v>369</v>
      </c>
      <c r="AR342" s="3" t="str">
        <f>IFERROR(MID(VLOOKUP($B342,Seqs!$A:$B,2,0),AS342,1),"")</f>
        <v>G</v>
      </c>
      <c r="AS342" s="3">
        <v>377</v>
      </c>
      <c r="AT342" s="3" t="str">
        <f>IFERROR(MID(VLOOKUP($B342,Seqs!$A:$B,2,0),AU342,1),"")</f>
        <v>V</v>
      </c>
      <c r="AU342" s="3">
        <v>405</v>
      </c>
      <c r="AV342" s="3" t="str">
        <f>IFERROR(MID(VLOOKUP($B342,Seqs!$A:$B,2,0),AW342,1),"")</f>
        <v>N</v>
      </c>
      <c r="AW342" s="3">
        <v>406</v>
      </c>
      <c r="AX342" s="3" t="str">
        <f>IFERROR(MID(VLOOKUP($B342,Seqs!$A:$B,2,0),AY342,1),"")</f>
        <v>S</v>
      </c>
      <c r="AY342" s="3">
        <v>431</v>
      </c>
      <c r="AZ342" s="77" t="str">
        <f>VLOOKUP(B342,Classification!A:D,2,0)</f>
        <v>B1</v>
      </c>
      <c r="BA342" s="94" t="str">
        <f>VLOOKUP(B342,Classification!A:D,4,0)</f>
        <v>Glucagonreceptorfamily</v>
      </c>
      <c r="BB342" s="27" t="b">
        <f t="shared" si="2124"/>
        <v>1</v>
      </c>
      <c r="BC342" s="23">
        <f t="shared" si="2125"/>
        <v>256</v>
      </c>
      <c r="BD342" s="4" t="s">
        <v>23</v>
      </c>
      <c r="BE342" s="3" t="s">
        <v>23</v>
      </c>
      <c r="BF342" s="119" t="s">
        <v>23</v>
      </c>
      <c r="BG342" s="49" t="s">
        <v>1377</v>
      </c>
      <c r="BH342" s="49" t="s">
        <v>1377</v>
      </c>
      <c r="BI342" s="1"/>
      <c r="BJ342" s="70" t="s">
        <v>1287</v>
      </c>
      <c r="BK342" s="57" t="s">
        <v>1287</v>
      </c>
      <c r="BL342" s="57" t="s">
        <v>1287</v>
      </c>
      <c r="BM342" s="57" t="s">
        <v>1287</v>
      </c>
      <c r="BN342" s="57" t="s">
        <v>1287</v>
      </c>
      <c r="BO342" s="57" t="s">
        <v>1287</v>
      </c>
      <c r="BP342" s="57" t="s">
        <v>1287</v>
      </c>
      <c r="BQ342" s="57" t="s">
        <v>1287</v>
      </c>
      <c r="BR342" s="57" t="s">
        <v>1287</v>
      </c>
      <c r="BS342" s="57" t="s">
        <v>1287</v>
      </c>
      <c r="BT342" s="57" t="s">
        <v>1287</v>
      </c>
      <c r="BU342" s="57" t="s">
        <v>1287</v>
      </c>
      <c r="BV342" s="70">
        <f t="shared" si="2126"/>
        <v>138</v>
      </c>
      <c r="BW342" s="71">
        <f t="shared" si="2127"/>
        <v>170</v>
      </c>
      <c r="BX342" s="72">
        <f t="shared" si="2128"/>
        <v>174</v>
      </c>
      <c r="BY342" s="71" t="str">
        <f t="shared" si="2129"/>
        <v>-</v>
      </c>
      <c r="BZ342" s="72">
        <f t="shared" si="2130"/>
        <v>224</v>
      </c>
      <c r="CA342" s="71" t="str">
        <f t="shared" si="2131"/>
        <v>-</v>
      </c>
      <c r="CB342" s="72">
        <f t="shared" si="2132"/>
        <v>262</v>
      </c>
      <c r="CC342" s="71">
        <f t="shared" si="2133"/>
        <v>296</v>
      </c>
      <c r="CD342" s="72">
        <f t="shared" si="2134"/>
        <v>302</v>
      </c>
      <c r="CE342" s="71">
        <f t="shared" si="2135"/>
        <v>344</v>
      </c>
      <c r="CF342" s="72">
        <f t="shared" si="2136"/>
        <v>377</v>
      </c>
      <c r="CG342" s="71">
        <f t="shared" si="2137"/>
        <v>406</v>
      </c>
      <c r="CH342" s="70">
        <f t="shared" si="2138"/>
        <v>169</v>
      </c>
      <c r="CI342" s="71">
        <f t="shared" si="2139"/>
        <v>173</v>
      </c>
      <c r="CJ342" s="72">
        <f t="shared" si="2140"/>
        <v>206</v>
      </c>
      <c r="CK342" s="72" t="str">
        <f t="shared" si="2141"/>
        <v>-</v>
      </c>
      <c r="CL342" s="72">
        <f t="shared" si="2142"/>
        <v>257</v>
      </c>
      <c r="CM342" s="72" t="str">
        <f t="shared" si="2143"/>
        <v>-</v>
      </c>
      <c r="CN342" s="72">
        <f t="shared" si="2144"/>
        <v>292</v>
      </c>
      <c r="CO342" s="72">
        <f t="shared" si="2145"/>
        <v>298</v>
      </c>
      <c r="CP342" s="72">
        <f t="shared" si="2146"/>
        <v>337</v>
      </c>
      <c r="CQ342" s="72">
        <f t="shared" si="2147"/>
        <v>369</v>
      </c>
      <c r="CR342" s="72">
        <f t="shared" si="2148"/>
        <v>405</v>
      </c>
      <c r="CS342" s="72">
        <f t="shared" si="2149"/>
        <v>431</v>
      </c>
      <c r="CT342" s="23">
        <f t="shared" si="2150"/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si="2123"/>
        <v>glp1r_human_5VEW</v>
      </c>
      <c r="B343" s="3" t="s">
        <v>406</v>
      </c>
      <c r="C343" s="3" t="s">
        <v>1407</v>
      </c>
      <c r="D343" s="3" t="str">
        <f>IFERROR(MID(VLOOKUP($B343,Seqs!$A:$B,2,0),E343,1),"")</f>
        <v>S</v>
      </c>
      <c r="E343" s="3">
        <v>136</v>
      </c>
      <c r="F343" s="3" t="str">
        <f>IFERROR(MID(VLOOKUP($B343,Seqs!$A:$B,2,0),G343,1),"")</f>
        <v>F</v>
      </c>
      <c r="G343" s="3">
        <v>169</v>
      </c>
      <c r="H343" s="3" t="str">
        <f>IFERROR(MID(VLOOKUP($B343,Seqs!$A:$B,2,0),I343,1),"")</f>
        <v>R</v>
      </c>
      <c r="I343" s="23">
        <v>170</v>
      </c>
      <c r="J343" s="3" t="str">
        <f>IFERROR(MID(VLOOKUP($B343,Seqs!$A:$B,2,0),K343,1),"")</f>
        <v>H</v>
      </c>
      <c r="K343" s="23">
        <v>173</v>
      </c>
      <c r="L343" s="3" t="str">
        <f>IFERROR(MID(VLOOKUP($B343,Seqs!$A:$B,2,0),M343,1),"")</f>
        <v>C</v>
      </c>
      <c r="M343" s="23">
        <v>174</v>
      </c>
      <c r="N343" s="3" t="str">
        <f>IFERROR(MID(VLOOKUP($B343,Seqs!$A:$B,2,0),O343,1),"")</f>
        <v>L</v>
      </c>
      <c r="O343" s="3">
        <v>201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224</v>
      </c>
      <c r="V343" s="3" t="str">
        <f>IFERROR(MID(VLOOKUP($B343,Seqs!$A:$B,2,0),W343,1),"")</f>
        <v>F</v>
      </c>
      <c r="W343" s="3">
        <v>257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262</v>
      </c>
      <c r="AD343" s="3" t="str">
        <f>IFERROR(MID(VLOOKUP($B343,Seqs!$A:$B,2,0),AE343,1),"")</f>
        <v>E</v>
      </c>
      <c r="AE343" s="3">
        <v>292</v>
      </c>
      <c r="AF343" s="3" t="str">
        <f>IFERROR(MID(VLOOKUP($B343,Seqs!$A:$B,2,0),AG343,1),"")</f>
        <v>C</v>
      </c>
      <c r="AG343" s="3">
        <v>296</v>
      </c>
      <c r="AH343" s="3" t="str">
        <f>IFERROR(MID(VLOOKUP($B343,Seqs!$A:$B,2,0),AI343,1),"")</f>
        <v>T</v>
      </c>
      <c r="AI343" s="3">
        <v>298</v>
      </c>
      <c r="AJ343" s="3" t="str">
        <f>IFERROR(MID(VLOOKUP($B343,Seqs!$A:$B,2,0),AK343,1),"")</f>
        <v>Y</v>
      </c>
      <c r="AK343" s="3">
        <v>305</v>
      </c>
      <c r="AL343" s="3" t="str">
        <f>IFERROR(MID(VLOOKUP($B343,Seqs!$A:$B,2,0),AM343,1),"")</f>
        <v>A</v>
      </c>
      <c r="AM343" s="3">
        <v>337</v>
      </c>
      <c r="AN343" s="3" t="str">
        <f>IFERROR(MID(VLOOKUP($B343,Seqs!$A:$B,2,0),AO343,1),"")</f>
        <v>D</v>
      </c>
      <c r="AO343" s="3">
        <v>344</v>
      </c>
      <c r="AP343" s="3" t="str">
        <f>IFERROR(MID(VLOOKUP($B343,Seqs!$A:$B,2,0),AQ343,1),"")</f>
        <v>F</v>
      </c>
      <c r="AQ343" s="3">
        <v>367</v>
      </c>
      <c r="AR343" s="3" t="str">
        <f>IFERROR(MID(VLOOKUP($B343,Seqs!$A:$B,2,0),AS343,1),"")</f>
        <v>R</v>
      </c>
      <c r="AS343" s="3">
        <v>380</v>
      </c>
      <c r="AT343" s="3" t="str">
        <f>IFERROR(MID(VLOOKUP($B343,Seqs!$A:$B,2,0),AU343,1),"")</f>
        <v>V</v>
      </c>
      <c r="AU343" s="3">
        <v>405</v>
      </c>
      <c r="AV343" s="3" t="str">
        <f>IFERROR(MID(VLOOKUP($B343,Seqs!$A:$B,2,0),AW343,1),"")</f>
        <v>N</v>
      </c>
      <c r="AW343" s="3">
        <v>406</v>
      </c>
      <c r="AX343" s="3" t="str">
        <f>IFERROR(MID(VLOOKUP($B343,Seqs!$A:$B,2,0),AY343,1),"")</f>
        <v>L</v>
      </c>
      <c r="AY343" s="3">
        <v>422</v>
      </c>
      <c r="AZ343" s="77" t="str">
        <f>VLOOKUP(B343,Classification!A:D,2,0)</f>
        <v>B1</v>
      </c>
      <c r="BA343" s="94" t="str">
        <f>VLOOKUP(B343,Classification!A:D,4,0)</f>
        <v>Glucagonreceptorfamily</v>
      </c>
      <c r="BB343" s="27" t="b">
        <f t="shared" si="2124"/>
        <v>1</v>
      </c>
      <c r="BC343" s="23">
        <f t="shared" si="2125"/>
        <v>236</v>
      </c>
      <c r="BD343" s="4" t="s">
        <v>1376</v>
      </c>
      <c r="BE343" s="3" t="s">
        <v>1374</v>
      </c>
      <c r="BF343" s="119">
        <v>2.7</v>
      </c>
      <c r="BG343" s="49" t="s">
        <v>1281</v>
      </c>
      <c r="BH343" s="49" t="s">
        <v>1281</v>
      </c>
      <c r="BI343" s="1"/>
      <c r="BJ343" s="70" t="s">
        <v>1287</v>
      </c>
      <c r="BK343" s="57" t="s">
        <v>1287</v>
      </c>
      <c r="BL343" s="57" t="s">
        <v>1287</v>
      </c>
      <c r="BM343" s="57" t="s">
        <v>1287</v>
      </c>
      <c r="BN343" s="57" t="s">
        <v>1287</v>
      </c>
      <c r="BO343" s="57" t="s">
        <v>1287</v>
      </c>
      <c r="BP343" s="57" t="s">
        <v>1287</v>
      </c>
      <c r="BQ343" s="57" t="s">
        <v>1287</v>
      </c>
      <c r="BR343" s="57" t="s">
        <v>1287</v>
      </c>
      <c r="BS343" s="57" t="s">
        <v>1287</v>
      </c>
      <c r="BT343" s="57" t="s">
        <v>1287</v>
      </c>
      <c r="BU343" s="57" t="s">
        <v>1287</v>
      </c>
      <c r="BV343" s="70">
        <f t="shared" si="2126"/>
        <v>136</v>
      </c>
      <c r="BW343" s="71">
        <f t="shared" si="2127"/>
        <v>170</v>
      </c>
      <c r="BX343" s="72">
        <f t="shared" si="2128"/>
        <v>174</v>
      </c>
      <c r="BY343" s="71" t="str">
        <f t="shared" si="2129"/>
        <v>-</v>
      </c>
      <c r="BZ343" s="72">
        <f t="shared" si="2130"/>
        <v>224</v>
      </c>
      <c r="CA343" s="71" t="str">
        <f t="shared" si="2131"/>
        <v>-</v>
      </c>
      <c r="CB343" s="72">
        <f t="shared" si="2132"/>
        <v>262</v>
      </c>
      <c r="CC343" s="71">
        <f t="shared" si="2133"/>
        <v>296</v>
      </c>
      <c r="CD343" s="72">
        <f t="shared" si="2134"/>
        <v>305</v>
      </c>
      <c r="CE343" s="71">
        <f t="shared" si="2135"/>
        <v>344</v>
      </c>
      <c r="CF343" s="72">
        <f t="shared" si="2136"/>
        <v>380</v>
      </c>
      <c r="CG343" s="71">
        <f t="shared" si="2137"/>
        <v>406</v>
      </c>
      <c r="CH343" s="70">
        <f t="shared" si="2138"/>
        <v>169</v>
      </c>
      <c r="CI343" s="71">
        <f t="shared" si="2139"/>
        <v>173</v>
      </c>
      <c r="CJ343" s="72">
        <f t="shared" si="2140"/>
        <v>201</v>
      </c>
      <c r="CK343" s="72" t="str">
        <f t="shared" si="2141"/>
        <v>-</v>
      </c>
      <c r="CL343" s="72">
        <f t="shared" si="2142"/>
        <v>257</v>
      </c>
      <c r="CM343" s="72" t="str">
        <f t="shared" si="2143"/>
        <v>-</v>
      </c>
      <c r="CN343" s="72">
        <f t="shared" si="2144"/>
        <v>292</v>
      </c>
      <c r="CO343" s="72">
        <f t="shared" si="2145"/>
        <v>298</v>
      </c>
      <c r="CP343" s="72">
        <f t="shared" si="2146"/>
        <v>337</v>
      </c>
      <c r="CQ343" s="72">
        <f t="shared" si="2147"/>
        <v>367</v>
      </c>
      <c r="CR343" s="72">
        <f t="shared" si="2148"/>
        <v>405</v>
      </c>
      <c r="CS343" s="72">
        <f t="shared" si="2149"/>
        <v>422</v>
      </c>
      <c r="CT343" s="23">
        <f t="shared" si="2150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si="2123"/>
        <v>glp1r_human_5VEX</v>
      </c>
      <c r="B344" s="3" t="s">
        <v>406</v>
      </c>
      <c r="C344" s="3" t="s">
        <v>1406</v>
      </c>
      <c r="D344" s="3" t="str">
        <f>IFERROR(MID(VLOOKUP($B344,Seqs!$A:$B,2,0),E344,1),"")</f>
        <v>S</v>
      </c>
      <c r="E344" s="3">
        <v>136</v>
      </c>
      <c r="F344" s="3" t="str">
        <f>IFERROR(MID(VLOOKUP($B344,Seqs!$A:$B,2,0),G344,1),"")</f>
        <v>F</v>
      </c>
      <c r="G344" s="3">
        <v>169</v>
      </c>
      <c r="H344" s="3" t="str">
        <f>IFERROR(MID(VLOOKUP($B344,Seqs!$A:$B,2,0),I344,1),"")</f>
        <v>R</v>
      </c>
      <c r="I344" s="23">
        <v>170</v>
      </c>
      <c r="J344" s="3" t="str">
        <f>IFERROR(MID(VLOOKUP($B344,Seqs!$A:$B,2,0),K344,1),"")</f>
        <v>H</v>
      </c>
      <c r="K344" s="23">
        <v>173</v>
      </c>
      <c r="L344" s="3" t="str">
        <f>IFERROR(MID(VLOOKUP($B344,Seqs!$A:$B,2,0),M344,1),"")</f>
        <v>C</v>
      </c>
      <c r="M344" s="23">
        <v>174</v>
      </c>
      <c r="N344" s="3" t="str">
        <f>IFERROR(MID(VLOOKUP($B344,Seqs!$A:$B,2,0),O344,1),"")</f>
        <v>L</v>
      </c>
      <c r="O344" s="3">
        <v>201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224</v>
      </c>
      <c r="V344" s="3" t="str">
        <f>IFERROR(MID(VLOOKUP($B344,Seqs!$A:$B,2,0),W344,1),"")</f>
        <v>F</v>
      </c>
      <c r="W344" s="3">
        <v>257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E</v>
      </c>
      <c r="AC344" s="3">
        <v>262</v>
      </c>
      <c r="AD344" s="3" t="str">
        <f>IFERROR(MID(VLOOKUP($B344,Seqs!$A:$B,2,0),AE344,1),"")</f>
        <v>E</v>
      </c>
      <c r="AE344" s="3">
        <v>292</v>
      </c>
      <c r="AF344" s="3" t="str">
        <f>IFERROR(MID(VLOOKUP($B344,Seqs!$A:$B,2,0),AG344,1),"")</f>
        <v>C</v>
      </c>
      <c r="AG344" s="3">
        <v>296</v>
      </c>
      <c r="AH344" s="3" t="str">
        <f>IFERROR(MID(VLOOKUP($B344,Seqs!$A:$B,2,0),AI344,1),"")</f>
        <v>T</v>
      </c>
      <c r="AI344" s="3">
        <v>298</v>
      </c>
      <c r="AJ344" s="3" t="str">
        <f>IFERROR(MID(VLOOKUP($B344,Seqs!$A:$B,2,0),AK344,1),"")</f>
        <v>Y</v>
      </c>
      <c r="AK344" s="3">
        <v>305</v>
      </c>
      <c r="AL344" s="3" t="str">
        <f>IFERROR(MID(VLOOKUP($B344,Seqs!$A:$B,2,0),AM344,1),"")</f>
        <v>A</v>
      </c>
      <c r="AM344" s="3">
        <v>337</v>
      </c>
      <c r="AN344" s="3" t="str">
        <f>IFERROR(MID(VLOOKUP($B344,Seqs!$A:$B,2,0),AO344,1),"")</f>
        <v>D</v>
      </c>
      <c r="AO344" s="3">
        <v>344</v>
      </c>
      <c r="AP344" s="3" t="str">
        <f>IFERROR(MID(VLOOKUP($B344,Seqs!$A:$B,2,0),AQ344,1),"")</f>
        <v>F</v>
      </c>
      <c r="AQ344" s="3">
        <v>367</v>
      </c>
      <c r="AR344" s="3" t="str">
        <f>IFERROR(MID(VLOOKUP($B344,Seqs!$A:$B,2,0),AS344,1),"")</f>
        <v>R</v>
      </c>
      <c r="AS344" s="3">
        <v>380</v>
      </c>
      <c r="AT344" s="3" t="str">
        <f>IFERROR(MID(VLOOKUP($B344,Seqs!$A:$B,2,0),AU344,1),"")</f>
        <v>V</v>
      </c>
      <c r="AU344" s="3">
        <v>405</v>
      </c>
      <c r="AV344" s="3" t="str">
        <f>IFERROR(MID(VLOOKUP($B344,Seqs!$A:$B,2,0),AW344,1),"")</f>
        <v>N</v>
      </c>
      <c r="AW344" s="3">
        <v>406</v>
      </c>
      <c r="AX344" s="3" t="str">
        <f>IFERROR(MID(VLOOKUP($B344,Seqs!$A:$B,2,0),AY344,1),"")</f>
        <v>L</v>
      </c>
      <c r="AY344" s="3">
        <v>422</v>
      </c>
      <c r="AZ344" s="77" t="str">
        <f>VLOOKUP(B344,Classification!A:D,2,0)</f>
        <v>B1</v>
      </c>
      <c r="BA344" s="94" t="str">
        <f>VLOOKUP(B344,Classification!A:D,4,0)</f>
        <v>Glucagonreceptorfamily</v>
      </c>
      <c r="BB344" s="27" t="b">
        <f t="shared" si="2124"/>
        <v>1</v>
      </c>
      <c r="BC344" s="23">
        <f t="shared" si="2125"/>
        <v>236</v>
      </c>
      <c r="BD344" s="4" t="s">
        <v>23</v>
      </c>
      <c r="BE344" s="3" t="s">
        <v>1374</v>
      </c>
      <c r="BF344" s="119">
        <v>3</v>
      </c>
      <c r="BG344" s="49" t="s">
        <v>1</v>
      </c>
      <c r="BH344" s="49" t="s">
        <v>1</v>
      </c>
      <c r="BI344" s="1"/>
      <c r="BJ344" s="70" t="s">
        <v>1287</v>
      </c>
      <c r="BK344" s="57" t="s">
        <v>1287</v>
      </c>
      <c r="BL344" s="57" t="s">
        <v>1287</v>
      </c>
      <c r="BM344" s="57" t="s">
        <v>1287</v>
      </c>
      <c r="BN344" s="57" t="s">
        <v>1287</v>
      </c>
      <c r="BO344" s="57" t="s">
        <v>1287</v>
      </c>
      <c r="BP344" s="57" t="s">
        <v>1287</v>
      </c>
      <c r="BQ344" s="57" t="s">
        <v>1287</v>
      </c>
      <c r="BR344" s="57" t="s">
        <v>1287</v>
      </c>
      <c r="BS344" s="57" t="s">
        <v>1287</v>
      </c>
      <c r="BT344" s="57" t="s">
        <v>1287</v>
      </c>
      <c r="BU344" s="57" t="s">
        <v>1287</v>
      </c>
      <c r="BV344" s="70">
        <f t="shared" si="2126"/>
        <v>136</v>
      </c>
      <c r="BW344" s="71">
        <f t="shared" si="2127"/>
        <v>170</v>
      </c>
      <c r="BX344" s="72">
        <f t="shared" si="2128"/>
        <v>174</v>
      </c>
      <c r="BY344" s="71" t="str">
        <f t="shared" si="2129"/>
        <v>-</v>
      </c>
      <c r="BZ344" s="72">
        <f t="shared" si="2130"/>
        <v>224</v>
      </c>
      <c r="CA344" s="71" t="str">
        <f t="shared" si="2131"/>
        <v>-</v>
      </c>
      <c r="CB344" s="72">
        <f t="shared" si="2132"/>
        <v>262</v>
      </c>
      <c r="CC344" s="71">
        <f t="shared" si="2133"/>
        <v>296</v>
      </c>
      <c r="CD344" s="72">
        <f t="shared" si="2134"/>
        <v>305</v>
      </c>
      <c r="CE344" s="71">
        <f t="shared" si="2135"/>
        <v>344</v>
      </c>
      <c r="CF344" s="72">
        <f t="shared" si="2136"/>
        <v>380</v>
      </c>
      <c r="CG344" s="71">
        <f t="shared" si="2137"/>
        <v>406</v>
      </c>
      <c r="CH344" s="70">
        <f t="shared" si="2138"/>
        <v>169</v>
      </c>
      <c r="CI344" s="71">
        <f t="shared" si="2139"/>
        <v>173</v>
      </c>
      <c r="CJ344" s="72">
        <f t="shared" si="2140"/>
        <v>201</v>
      </c>
      <c r="CK344" s="72" t="str">
        <f t="shared" si="2141"/>
        <v>-</v>
      </c>
      <c r="CL344" s="72">
        <f t="shared" si="2142"/>
        <v>257</v>
      </c>
      <c r="CM344" s="72" t="str">
        <f t="shared" si="2143"/>
        <v>-</v>
      </c>
      <c r="CN344" s="72">
        <f t="shared" si="2144"/>
        <v>292</v>
      </c>
      <c r="CO344" s="72">
        <f t="shared" si="2145"/>
        <v>298</v>
      </c>
      <c r="CP344" s="72">
        <f t="shared" si="2146"/>
        <v>337</v>
      </c>
      <c r="CQ344" s="72">
        <f t="shared" si="2147"/>
        <v>367</v>
      </c>
      <c r="CR344" s="72">
        <f t="shared" si="2148"/>
        <v>405</v>
      </c>
      <c r="CS344" s="72">
        <f t="shared" si="2149"/>
        <v>422</v>
      </c>
      <c r="CT344" s="23">
        <f t="shared" si="215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si="2123"/>
        <v>glp1r_human_5NX2</v>
      </c>
      <c r="B345" s="3" t="s">
        <v>406</v>
      </c>
      <c r="C345" s="3" t="s">
        <v>1418</v>
      </c>
      <c r="D345" s="3" t="str">
        <f>IFERROR(MID(VLOOKUP($B345,Seqs!$A:$B,2,0),E345,1),"")</f>
        <v>E</v>
      </c>
      <c r="E345" s="3">
        <v>138</v>
      </c>
      <c r="F345" s="3" t="str">
        <f>IFERROR(MID(VLOOKUP($B345,Seqs!$A:$B,2,0),G345,1),"")</f>
        <v>F</v>
      </c>
      <c r="G345" s="3">
        <v>169</v>
      </c>
      <c r="H345" s="3" t="str">
        <f>IFERROR(MID(VLOOKUP($B345,Seqs!$A:$B,2,0),I345,1),"")</f>
        <v>R</v>
      </c>
      <c r="I345" s="23">
        <v>170</v>
      </c>
      <c r="J345" s="3" t="str">
        <f>IFERROR(MID(VLOOKUP($B345,Seqs!$A:$B,2,0),K345,1),"")</f>
        <v>H</v>
      </c>
      <c r="K345" s="23">
        <v>173</v>
      </c>
      <c r="L345" s="3" t="str">
        <f>IFERROR(MID(VLOOKUP($B345,Seqs!$A:$B,2,0),M345,1),"")</f>
        <v>C</v>
      </c>
      <c r="M345" s="23">
        <v>174</v>
      </c>
      <c r="N345" s="3" t="str">
        <f>IFERROR(MID(VLOOKUP($B345,Seqs!$A:$B,2,0),O345,1),"")</f>
        <v>S</v>
      </c>
      <c r="O345" s="3">
        <v>206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224</v>
      </c>
      <c r="V345" s="3" t="str">
        <f>IFERROR(MID(VLOOKUP($B345,Seqs!$A:$B,2,0),W345,1),"")</f>
        <v>F</v>
      </c>
      <c r="W345" s="3">
        <v>257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E</v>
      </c>
      <c r="AC345" s="3">
        <v>262</v>
      </c>
      <c r="AD345" s="3" t="str">
        <f>IFERROR(MID(VLOOKUP($B345,Seqs!$A:$B,2,0),AE345,1),"")</f>
        <v>Y</v>
      </c>
      <c r="AE345" s="3">
        <v>291</v>
      </c>
      <c r="AF345" s="3" t="str">
        <f>IFERROR(MID(VLOOKUP($B345,Seqs!$A:$B,2,0),AG345,1),"")</f>
        <v>C</v>
      </c>
      <c r="AG345" s="3">
        <v>296</v>
      </c>
      <c r="AH345" s="3" t="str">
        <f>IFERROR(MID(VLOOKUP($B345,Seqs!$A:$B,2,0),AI345,1),"")</f>
        <v>T</v>
      </c>
      <c r="AI345" s="3">
        <v>298</v>
      </c>
      <c r="AJ345" s="3" t="str">
        <f>IFERROR(MID(VLOOKUP($B345,Seqs!$A:$B,2,0),AK345,1),"")</f>
        <v>N</v>
      </c>
      <c r="AK345" s="3">
        <v>302</v>
      </c>
      <c r="AL345" s="3" t="str">
        <f>IFERROR(MID(VLOOKUP($B345,Seqs!$A:$B,2,0),AM345,1),"")</f>
        <v>L</v>
      </c>
      <c r="AM345" s="3">
        <v>335</v>
      </c>
      <c r="AN345" s="3" t="str">
        <f>IFERROR(MID(VLOOKUP($B345,Seqs!$A:$B,2,0),AO345,1),"")</f>
        <v>M</v>
      </c>
      <c r="AO345" s="3">
        <v>340</v>
      </c>
      <c r="AP345" s="3" t="str">
        <f>IFERROR(MID(VLOOKUP($B345,Seqs!$A:$B,2,0),AQ345,1),"")</f>
        <v>F</v>
      </c>
      <c r="AQ345" s="3">
        <v>369</v>
      </c>
      <c r="AR345" s="3" t="str">
        <f>IFERROR(MID(VLOOKUP($B345,Seqs!$A:$B,2,0),AS345,1),"")</f>
        <v>G</v>
      </c>
      <c r="AS345" s="3">
        <v>377</v>
      </c>
      <c r="AT345" s="3" t="str">
        <f>IFERROR(MID(VLOOKUP($B345,Seqs!$A:$B,2,0),AU345,1),"")</f>
        <v>V</v>
      </c>
      <c r="AU345" s="3">
        <v>405</v>
      </c>
      <c r="AV345" s="3" t="str">
        <f>IFERROR(MID(VLOOKUP($B345,Seqs!$A:$B,2,0),AW345,1),"")</f>
        <v>N</v>
      </c>
      <c r="AW345" s="3">
        <v>406</v>
      </c>
      <c r="AX345" s="3" t="str">
        <f>IFERROR(MID(VLOOKUP($B345,Seqs!$A:$B,2,0),AY345,1),"")</f>
        <v>S</v>
      </c>
      <c r="AY345" s="3">
        <v>416</v>
      </c>
      <c r="AZ345" s="77" t="str">
        <f>VLOOKUP(B345,Classification!A:D,2,0)</f>
        <v>B1</v>
      </c>
      <c r="BA345" s="94" t="str">
        <f>VLOOKUP(B345,Classification!A:D,4,0)</f>
        <v>Glucagonreceptorfamily</v>
      </c>
      <c r="BB345" s="27" t="b">
        <f t="shared" si="2124"/>
        <v>1</v>
      </c>
      <c r="BC345" s="23">
        <f t="shared" si="2125"/>
        <v>242</v>
      </c>
      <c r="BD345" s="4" t="s">
        <v>1429</v>
      </c>
      <c r="BE345" s="3" t="s">
        <v>1428</v>
      </c>
      <c r="BF345" s="119">
        <v>3.7</v>
      </c>
      <c r="BG345" s="49" t="s">
        <v>1</v>
      </c>
      <c r="BH345" s="49" t="s">
        <v>1</v>
      </c>
      <c r="BI345" s="1"/>
      <c r="BJ345" s="70" t="s">
        <v>1287</v>
      </c>
      <c r="BK345" s="57" t="s">
        <v>1287</v>
      </c>
      <c r="BL345" s="57" t="s">
        <v>1287</v>
      </c>
      <c r="BM345" s="57" t="s">
        <v>1287</v>
      </c>
      <c r="BN345" s="57" t="s">
        <v>1287</v>
      </c>
      <c r="BO345" s="57" t="s">
        <v>1287</v>
      </c>
      <c r="BP345" s="57" t="s">
        <v>1287</v>
      </c>
      <c r="BQ345" s="57" t="s">
        <v>1287</v>
      </c>
      <c r="BR345" s="57" t="s">
        <v>1287</v>
      </c>
      <c r="BS345" s="57" t="s">
        <v>1287</v>
      </c>
      <c r="BT345" s="57" t="s">
        <v>1287</v>
      </c>
      <c r="BU345" s="57" t="s">
        <v>1287</v>
      </c>
      <c r="BV345" s="70">
        <f t="shared" si="2126"/>
        <v>138</v>
      </c>
      <c r="BW345" s="71">
        <f t="shared" si="2127"/>
        <v>170</v>
      </c>
      <c r="BX345" s="72">
        <f t="shared" si="2128"/>
        <v>174</v>
      </c>
      <c r="BY345" s="71" t="str">
        <f t="shared" si="2129"/>
        <v>-</v>
      </c>
      <c r="BZ345" s="72">
        <f t="shared" si="2130"/>
        <v>224</v>
      </c>
      <c r="CA345" s="71" t="str">
        <f t="shared" si="2131"/>
        <v>-</v>
      </c>
      <c r="CB345" s="72">
        <f t="shared" si="2132"/>
        <v>262</v>
      </c>
      <c r="CC345" s="71">
        <f t="shared" si="2133"/>
        <v>296</v>
      </c>
      <c r="CD345" s="72">
        <f t="shared" si="2134"/>
        <v>302</v>
      </c>
      <c r="CE345" s="71">
        <f t="shared" si="2135"/>
        <v>340</v>
      </c>
      <c r="CF345" s="72">
        <f t="shared" si="2136"/>
        <v>377</v>
      </c>
      <c r="CG345" s="71">
        <f t="shared" si="2137"/>
        <v>406</v>
      </c>
      <c r="CH345" s="70">
        <f t="shared" si="2138"/>
        <v>169</v>
      </c>
      <c r="CI345" s="71">
        <f t="shared" si="2139"/>
        <v>173</v>
      </c>
      <c r="CJ345" s="72">
        <f t="shared" si="2140"/>
        <v>206</v>
      </c>
      <c r="CK345" s="72" t="str">
        <f t="shared" si="2141"/>
        <v>-</v>
      </c>
      <c r="CL345" s="72">
        <f t="shared" si="2142"/>
        <v>257</v>
      </c>
      <c r="CM345" s="72" t="str">
        <f t="shared" si="2143"/>
        <v>-</v>
      </c>
      <c r="CN345" s="72">
        <f t="shared" si="2144"/>
        <v>291</v>
      </c>
      <c r="CO345" s="72">
        <f t="shared" si="2145"/>
        <v>298</v>
      </c>
      <c r="CP345" s="72">
        <f t="shared" si="2146"/>
        <v>335</v>
      </c>
      <c r="CQ345" s="72">
        <f t="shared" si="2147"/>
        <v>369</v>
      </c>
      <c r="CR345" s="72">
        <f t="shared" si="2148"/>
        <v>405</v>
      </c>
      <c r="CS345" s="72">
        <f t="shared" si="2149"/>
        <v>416</v>
      </c>
      <c r="CT345" s="23">
        <f t="shared" si="215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si="2123"/>
        <v>glp1r_human_6B3J</v>
      </c>
      <c r="B346" s="3" t="s">
        <v>406</v>
      </c>
      <c r="C346" s="3" t="s">
        <v>1473</v>
      </c>
      <c r="D346" s="3" t="str">
        <f>IFERROR(MID(VLOOKUP($B346,Seqs!$A:$B,2,0),E346,1),"")</f>
        <v>E</v>
      </c>
      <c r="E346" s="3">
        <v>138</v>
      </c>
      <c r="F346" s="3" t="str">
        <f>IFERROR(MID(VLOOKUP($B346,Seqs!$A:$B,2,0),G346,1),"")</f>
        <v>F</v>
      </c>
      <c r="G346" s="3">
        <v>169</v>
      </c>
      <c r="H346" s="3" t="str">
        <f>IFERROR(MID(VLOOKUP($B346,Seqs!$A:$B,2,0),I346,1),"")</f>
        <v/>
      </c>
      <c r="I346" s="23" t="s">
        <v>23</v>
      </c>
      <c r="J346" s="3" t="str">
        <f>IFERROR(MID(VLOOKUP($B346,Seqs!$A:$B,2,0),K346,1),"")</f>
        <v/>
      </c>
      <c r="K346" s="23" t="s">
        <v>23</v>
      </c>
      <c r="L346" s="3" t="str">
        <f>IFERROR(MID(VLOOKUP($B346,Seqs!$A:$B,2,0),M346,1),"")</f>
        <v>C</v>
      </c>
      <c r="M346" s="23">
        <v>174</v>
      </c>
      <c r="N346" s="3" t="str">
        <f>IFERROR(MID(VLOOKUP($B346,Seqs!$A:$B,2,0),O346,1),"")</f>
        <v>Y</v>
      </c>
      <c r="O346" s="3">
        <v>205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S</v>
      </c>
      <c r="U346" s="3">
        <v>225</v>
      </c>
      <c r="V346" s="3" t="str">
        <f>IFERROR(MID(VLOOKUP($B346,Seqs!$A:$B,2,0),W346,1),"")</f>
        <v>F</v>
      </c>
      <c r="W346" s="3">
        <v>257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3">
        <v>261</v>
      </c>
      <c r="AD346" s="3" t="str">
        <f>IFERROR(MID(VLOOKUP($B346,Seqs!$A:$B,2,0),AE346,1),"")</f>
        <v>E</v>
      </c>
      <c r="AE346" s="3">
        <v>292</v>
      </c>
      <c r="AF346" s="3" t="str">
        <f>IFERROR(MID(VLOOKUP($B346,Seqs!$A:$B,2,0),AG346,1),"")</f>
        <v>C</v>
      </c>
      <c r="AG346" s="3">
        <v>296</v>
      </c>
      <c r="AH346" s="3" t="str">
        <f>IFERROR(MID(VLOOKUP($B346,Seqs!$A:$B,2,0),AI346,1),"")</f>
        <v>T</v>
      </c>
      <c r="AI346" s="3">
        <v>298</v>
      </c>
      <c r="AJ346" s="3" t="str">
        <f>IFERROR(MID(VLOOKUP($B346,Seqs!$A:$B,2,0),AK346,1),"")</f>
        <v>N</v>
      </c>
      <c r="AK346" s="3">
        <v>302</v>
      </c>
      <c r="AL346" s="3" t="str">
        <f>IFERROR(MID(VLOOKUP($B346,Seqs!$A:$B,2,0),AM346,1),"")</f>
        <v>A</v>
      </c>
      <c r="AM346" s="3">
        <v>337</v>
      </c>
      <c r="AN346" s="3" t="str">
        <f>IFERROR(MID(VLOOKUP($B346,Seqs!$A:$B,2,0),AO346,1),"")</f>
        <v>D</v>
      </c>
      <c r="AO346" s="3">
        <v>344</v>
      </c>
      <c r="AP346" s="3" t="str">
        <f>IFERROR(MID(VLOOKUP($B346,Seqs!$A:$B,2,0),AQ346,1),"")</f>
        <v>F</v>
      </c>
      <c r="AQ346" s="3">
        <v>369</v>
      </c>
      <c r="AR346" s="3" t="str">
        <f>IFERROR(MID(VLOOKUP($B346,Seqs!$A:$B,2,0),AS346,1),"")</f>
        <v>R</v>
      </c>
      <c r="AS346" s="3">
        <v>380</v>
      </c>
      <c r="AT346" s="3" t="str">
        <f>IFERROR(MID(VLOOKUP($B346,Seqs!$A:$B,2,0),AU346,1),"")</f>
        <v>V</v>
      </c>
      <c r="AU346" s="3">
        <v>405</v>
      </c>
      <c r="AV346" s="3" t="str">
        <f>IFERROR(MID(VLOOKUP($B346,Seqs!$A:$B,2,0),AW346,1),"")</f>
        <v>N</v>
      </c>
      <c r="AW346" s="3">
        <v>406</v>
      </c>
      <c r="AX346" s="3" t="str">
        <f>IFERROR(MID(VLOOKUP($B346,Seqs!$A:$B,2,0),AY346,1),"")</f>
        <v>E</v>
      </c>
      <c r="AY346" s="3">
        <v>423</v>
      </c>
      <c r="AZ346" s="77" t="str">
        <f>VLOOKUP(B346,Classification!A:D,2,0)</f>
        <v>B1</v>
      </c>
      <c r="BA346" s="94" t="str">
        <f>VLOOKUP(B346,Classification!A:D,4,0)</f>
        <v>Glucagonreceptorfamily</v>
      </c>
      <c r="BB346" s="27" t="b">
        <f t="shared" si="2124"/>
        <v>1</v>
      </c>
      <c r="BC346" s="23">
        <f t="shared" si="2125"/>
        <v>241</v>
      </c>
      <c r="BD346" s="4" t="s">
        <v>1375</v>
      </c>
      <c r="BE346" s="3" t="s">
        <v>1291</v>
      </c>
      <c r="BF346" s="119">
        <v>3.3</v>
      </c>
      <c r="BG346" s="49" t="s">
        <v>1422</v>
      </c>
      <c r="BH346" s="49" t="s">
        <v>1422</v>
      </c>
      <c r="BI346" s="1"/>
      <c r="BJ346" s="70" t="s">
        <v>1287</v>
      </c>
      <c r="BK346" s="57" t="s">
        <v>1287</v>
      </c>
      <c r="BL346" s="57" t="s">
        <v>1287</v>
      </c>
      <c r="BM346" s="57" t="s">
        <v>1287</v>
      </c>
      <c r="BN346" s="57" t="s">
        <v>1287</v>
      </c>
      <c r="BO346" s="57" t="s">
        <v>1287</v>
      </c>
      <c r="BP346" s="57" t="s">
        <v>1287</v>
      </c>
      <c r="BQ346" s="57" t="s">
        <v>1287</v>
      </c>
      <c r="BR346" s="57" t="s">
        <v>1287</v>
      </c>
      <c r="BS346" s="57" t="s">
        <v>1287</v>
      </c>
      <c r="BT346" s="57" t="s">
        <v>1287</v>
      </c>
      <c r="BU346" s="57" t="s">
        <v>1287</v>
      </c>
      <c r="BV346" s="70">
        <f t="shared" si="2126"/>
        <v>138</v>
      </c>
      <c r="BW346" s="71" t="str">
        <f t="shared" si="2127"/>
        <v>-</v>
      </c>
      <c r="BX346" s="72">
        <f t="shared" si="2128"/>
        <v>174</v>
      </c>
      <c r="BY346" s="71" t="str">
        <f t="shared" si="2129"/>
        <v>-</v>
      </c>
      <c r="BZ346" s="72">
        <f t="shared" si="2130"/>
        <v>225</v>
      </c>
      <c r="CA346" s="71" t="str">
        <f t="shared" si="2131"/>
        <v>-</v>
      </c>
      <c r="CB346" s="72">
        <f t="shared" si="2132"/>
        <v>261</v>
      </c>
      <c r="CC346" s="71">
        <f t="shared" si="2133"/>
        <v>296</v>
      </c>
      <c r="CD346" s="72">
        <f t="shared" si="2134"/>
        <v>302</v>
      </c>
      <c r="CE346" s="71">
        <f t="shared" si="2135"/>
        <v>344</v>
      </c>
      <c r="CF346" s="72">
        <f t="shared" si="2136"/>
        <v>380</v>
      </c>
      <c r="CG346" s="71">
        <f t="shared" si="2137"/>
        <v>406</v>
      </c>
      <c r="CH346" s="70">
        <f t="shared" si="2138"/>
        <v>169</v>
      </c>
      <c r="CI346" s="71" t="str">
        <f t="shared" si="2139"/>
        <v>-</v>
      </c>
      <c r="CJ346" s="72">
        <f t="shared" si="2140"/>
        <v>205</v>
      </c>
      <c r="CK346" s="72" t="str">
        <f t="shared" si="2141"/>
        <v>-</v>
      </c>
      <c r="CL346" s="72">
        <f t="shared" si="2142"/>
        <v>257</v>
      </c>
      <c r="CM346" s="72" t="str">
        <f t="shared" si="2143"/>
        <v>-</v>
      </c>
      <c r="CN346" s="72">
        <f t="shared" si="2144"/>
        <v>292</v>
      </c>
      <c r="CO346" s="72">
        <f t="shared" si="2145"/>
        <v>298</v>
      </c>
      <c r="CP346" s="72">
        <f t="shared" si="2146"/>
        <v>337</v>
      </c>
      <c r="CQ346" s="72">
        <f t="shared" si="2147"/>
        <v>369</v>
      </c>
      <c r="CR346" s="72">
        <f t="shared" si="2148"/>
        <v>405</v>
      </c>
      <c r="CS346" s="72">
        <f t="shared" si="2149"/>
        <v>423</v>
      </c>
      <c r="CT346" s="23" t="e">
        <f t="shared" si="2150"/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si="2123"/>
        <v>g1sgd4_rabit__wt</v>
      </c>
      <c r="B347" s="3" t="s">
        <v>1420</v>
      </c>
      <c r="C347" s="3" t="s">
        <v>100</v>
      </c>
      <c r="D347" s="3" t="str">
        <f>IFERROR(MID(VLOOKUP($B347,Seqs!$A:$B,2,0),E347,1),"")</f>
        <v>P</v>
      </c>
      <c r="E347" s="3">
        <v>137</v>
      </c>
      <c r="F347" s="3" t="str">
        <f>IFERROR(MID(VLOOKUP($B347,Seqs!$A:$B,2,0),G347,1),"")</f>
        <v>F</v>
      </c>
      <c r="G347" s="3">
        <v>169</v>
      </c>
      <c r="H347" s="3" t="str">
        <f>IFERROR(MID(VLOOKUP($B347,Seqs!$A:$B,2,0),I347,1),"")</f>
        <v>R</v>
      </c>
      <c r="I347" s="23">
        <v>170</v>
      </c>
      <c r="J347" s="3" t="str">
        <f>IFERROR(MID(VLOOKUP($B347,Seqs!$A:$B,2,0),K347,1),"")</f>
        <v>H</v>
      </c>
      <c r="K347" s="23">
        <v>173</v>
      </c>
      <c r="L347" s="3" t="str">
        <f>IFERROR(MID(VLOOKUP($B347,Seqs!$A:$B,2,0),M347,1),"")</f>
        <v>C</v>
      </c>
      <c r="M347" s="23">
        <v>174</v>
      </c>
      <c r="N347" s="3" t="str">
        <f>IFERROR(MID(VLOOKUP($B347,Seqs!$A:$B,2,0),O347,1),"")</f>
        <v>Q</v>
      </c>
      <c r="O347" s="3">
        <v>211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224</v>
      </c>
      <c r="V347" s="3" t="str">
        <f>IFERROR(MID(VLOOKUP($B347,Seqs!$A:$B,2,0),W347,1),"")</f>
        <v>F</v>
      </c>
      <c r="W347" s="3">
        <v>257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S</v>
      </c>
      <c r="AC347" s="3">
        <v>261</v>
      </c>
      <c r="AD347" s="3" t="str">
        <f>IFERROR(MID(VLOOKUP($B347,Seqs!$A:$B,2,0),AE347,1),"")</f>
        <v>E</v>
      </c>
      <c r="AE347" s="3">
        <v>292</v>
      </c>
      <c r="AF347" s="3" t="str">
        <f>IFERROR(MID(VLOOKUP($B347,Seqs!$A:$B,2,0),AG347,1),"")</f>
        <v>C</v>
      </c>
      <c r="AG347" s="3">
        <v>296</v>
      </c>
      <c r="AH347" s="3" t="str">
        <f>IFERROR(MID(VLOOKUP($B347,Seqs!$A:$B,2,0),AI347,1),"")</f>
        <v>T</v>
      </c>
      <c r="AI347" s="3">
        <v>298</v>
      </c>
      <c r="AJ347" s="3" t="str">
        <f>IFERROR(MID(VLOOKUP($B347,Seqs!$A:$B,2,0),AK347,1),"")</f>
        <v>Y</v>
      </c>
      <c r="AK347" s="3">
        <v>305</v>
      </c>
      <c r="AL347" s="3" t="str">
        <f>IFERROR(MID(VLOOKUP($B347,Seqs!$A:$B,2,0),AM347,1),"")</f>
        <v>A</v>
      </c>
      <c r="AM347" s="3">
        <v>337</v>
      </c>
      <c r="AN347" s="3" t="str">
        <f>IFERROR(MID(VLOOKUP($B347,Seqs!$A:$B,2,0),AO347,1),"")</f>
        <v>K</v>
      </c>
      <c r="AO347" s="3">
        <v>346</v>
      </c>
      <c r="AP347" s="3" t="str">
        <f>IFERROR(MID(VLOOKUP($B347,Seqs!$A:$B,2,0),AQ347,1),"")</f>
        <v>F</v>
      </c>
      <c r="AQ347" s="3">
        <v>369</v>
      </c>
      <c r="AR347" s="3" t="str">
        <f>IFERROR(MID(VLOOKUP($B347,Seqs!$A:$B,2,0),AS347,1),"")</f>
        <v>L</v>
      </c>
      <c r="AS347" s="3">
        <v>379</v>
      </c>
      <c r="AT347" s="3" t="str">
        <f>IFERROR(MID(VLOOKUP($B347,Seqs!$A:$B,2,0),AU347,1),"")</f>
        <v>V</v>
      </c>
      <c r="AU347" s="3">
        <v>405</v>
      </c>
      <c r="AV347" s="3" t="str">
        <f>IFERROR(MID(VLOOKUP($B347,Seqs!$A:$B,2,0),AW347,1),"")</f>
        <v>N</v>
      </c>
      <c r="AW347" s="3">
        <v>406</v>
      </c>
      <c r="AX347" s="3" t="str">
        <f>IFERROR(MID(VLOOKUP($B347,Seqs!$A:$B,2,0),AY347,1),"")</f>
        <v>S</v>
      </c>
      <c r="AY347" s="3">
        <v>431</v>
      </c>
      <c r="AZ347" s="77" t="str">
        <f>VLOOKUP(B347,Classification!A:D,2,0)</f>
        <v>B1</v>
      </c>
      <c r="BA347" s="94" t="str">
        <f>VLOOKUP(B347,Classification!A:D,4,0)</f>
        <v>Glucagonreceptorfamily</v>
      </c>
      <c r="BB347" s="27" t="b">
        <f t="shared" si="2124"/>
        <v>1</v>
      </c>
      <c r="BC347" s="23">
        <f t="shared" si="2125"/>
        <v>256</v>
      </c>
      <c r="BD347" s="4" t="s">
        <v>23</v>
      </c>
      <c r="BE347" s="3" t="s">
        <v>23</v>
      </c>
      <c r="BF347" s="119" t="s">
        <v>23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 t="shared" si="2126"/>
        <v>137</v>
      </c>
      <c r="BW347" s="71">
        <f t="shared" si="2127"/>
        <v>170</v>
      </c>
      <c r="BX347" s="72">
        <f t="shared" si="2128"/>
        <v>174</v>
      </c>
      <c r="BY347" s="71" t="str">
        <f t="shared" si="2129"/>
        <v>-</v>
      </c>
      <c r="BZ347" s="72">
        <f t="shared" si="2130"/>
        <v>224</v>
      </c>
      <c r="CA347" s="71" t="str">
        <f t="shared" si="2131"/>
        <v>-</v>
      </c>
      <c r="CB347" s="72">
        <f t="shared" si="2132"/>
        <v>261</v>
      </c>
      <c r="CC347" s="71">
        <f t="shared" si="2133"/>
        <v>296</v>
      </c>
      <c r="CD347" s="72">
        <f t="shared" si="2134"/>
        <v>305</v>
      </c>
      <c r="CE347" s="71">
        <f t="shared" si="2135"/>
        <v>346</v>
      </c>
      <c r="CF347" s="72">
        <f t="shared" si="2136"/>
        <v>379</v>
      </c>
      <c r="CG347" s="71">
        <f t="shared" si="2137"/>
        <v>406</v>
      </c>
      <c r="CH347" s="70">
        <f t="shared" si="2138"/>
        <v>169</v>
      </c>
      <c r="CI347" s="71">
        <f t="shared" si="2139"/>
        <v>173</v>
      </c>
      <c r="CJ347" s="72">
        <f t="shared" si="2140"/>
        <v>211</v>
      </c>
      <c r="CK347" s="72" t="str">
        <f t="shared" si="2141"/>
        <v>-</v>
      </c>
      <c r="CL347" s="72">
        <f t="shared" si="2142"/>
        <v>257</v>
      </c>
      <c r="CM347" s="72" t="str">
        <f t="shared" si="2143"/>
        <v>-</v>
      </c>
      <c r="CN347" s="72">
        <f t="shared" si="2144"/>
        <v>292</v>
      </c>
      <c r="CO347" s="72">
        <f t="shared" si="2145"/>
        <v>298</v>
      </c>
      <c r="CP347" s="72">
        <f t="shared" si="2146"/>
        <v>337</v>
      </c>
      <c r="CQ347" s="72">
        <f t="shared" si="2147"/>
        <v>369</v>
      </c>
      <c r="CR347" s="72">
        <f t="shared" si="2148"/>
        <v>405</v>
      </c>
      <c r="CS347" s="72">
        <f t="shared" si="2149"/>
        <v>431</v>
      </c>
      <c r="CT347" s="23">
        <f t="shared" si="2150"/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3" t="str">
        <f t="shared" si="2123"/>
        <v>g1sgd4_rabit_5VAI</v>
      </c>
      <c r="B348" s="3" t="s">
        <v>1420</v>
      </c>
      <c r="C348" s="3" t="s">
        <v>1421</v>
      </c>
      <c r="D348" s="3" t="str">
        <f>IFERROR(MID(VLOOKUP($B348,Seqs!$A:$B,2,0),E348,1),"")</f>
        <v>P</v>
      </c>
      <c r="E348" s="3">
        <v>137</v>
      </c>
      <c r="F348" s="3" t="str">
        <f>IFERROR(MID(VLOOKUP($B348,Seqs!$A:$B,2,0),G348,1),"")</f>
        <v>G</v>
      </c>
      <c r="G348" s="3">
        <v>168</v>
      </c>
      <c r="H348" s="3" t="str">
        <f>IFERROR(MID(VLOOKUP($B348,Seqs!$A:$B,2,0),I348,1),"")</f>
        <v>R</v>
      </c>
      <c r="I348" s="23">
        <v>170</v>
      </c>
      <c r="J348" s="3" t="str">
        <f>IFERROR(MID(VLOOKUP($B348,Seqs!$A:$B,2,0),K348,1),"")</f>
        <v>H</v>
      </c>
      <c r="K348" s="23">
        <v>173</v>
      </c>
      <c r="L348" s="3" t="str">
        <f>IFERROR(MID(VLOOKUP($B348,Seqs!$A:$B,2,0),M348,1),"")</f>
        <v>C</v>
      </c>
      <c r="M348" s="23">
        <v>174</v>
      </c>
      <c r="N348" s="3" t="str">
        <f>IFERROR(MID(VLOOKUP($B348,Seqs!$A:$B,2,0),O348,1),"")</f>
        <v>Q</v>
      </c>
      <c r="O348" s="3">
        <v>211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224</v>
      </c>
      <c r="V348" s="3" t="str">
        <f>IFERROR(MID(VLOOKUP($B348,Seqs!$A:$B,2,0),W348,1),"")</f>
        <v>F</v>
      </c>
      <c r="W348" s="3">
        <v>257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S</v>
      </c>
      <c r="AC348" s="3">
        <v>261</v>
      </c>
      <c r="AD348" s="3" t="str">
        <f>IFERROR(MID(VLOOKUP($B348,Seqs!$A:$B,2,0),AE348,1),"")</f>
        <v>E</v>
      </c>
      <c r="AE348" s="3">
        <v>292</v>
      </c>
      <c r="AF348" s="3" t="str">
        <f>IFERROR(MID(VLOOKUP($B348,Seqs!$A:$B,2,0),AG348,1),"")</f>
        <v>C</v>
      </c>
      <c r="AG348" s="3">
        <v>296</v>
      </c>
      <c r="AH348" s="3" t="str">
        <f>IFERROR(MID(VLOOKUP($B348,Seqs!$A:$B,2,0),AI348,1),"")</f>
        <v>T</v>
      </c>
      <c r="AI348" s="3">
        <v>298</v>
      </c>
      <c r="AJ348" s="3" t="str">
        <f>IFERROR(MID(VLOOKUP($B348,Seqs!$A:$B,2,0),AK348,1),"")</f>
        <v>Y</v>
      </c>
      <c r="AK348" s="3">
        <v>305</v>
      </c>
      <c r="AL348" s="3" t="str">
        <f>IFERROR(MID(VLOOKUP($B348,Seqs!$A:$B,2,0),AM348,1),"")</f>
        <v>A</v>
      </c>
      <c r="AM348" s="3">
        <v>337</v>
      </c>
      <c r="AN348" s="3" t="str">
        <f>IFERROR(MID(VLOOKUP($B348,Seqs!$A:$B,2,0),AO348,1),"")</f>
        <v>K</v>
      </c>
      <c r="AO348" s="3">
        <v>346</v>
      </c>
      <c r="AP348" s="3" t="str">
        <f>IFERROR(MID(VLOOKUP($B348,Seqs!$A:$B,2,0),AQ348,1),"")</f>
        <v>F</v>
      </c>
      <c r="AQ348" s="3">
        <v>369</v>
      </c>
      <c r="AR348" s="3" t="str">
        <f>IFERROR(MID(VLOOKUP($B348,Seqs!$A:$B,2,0),AS348,1),"")</f>
        <v>L</v>
      </c>
      <c r="AS348" s="3">
        <v>379</v>
      </c>
      <c r="AT348" s="3" t="str">
        <f>IFERROR(MID(VLOOKUP($B348,Seqs!$A:$B,2,0),AU348,1),"")</f>
        <v>V</v>
      </c>
      <c r="AU348" s="3">
        <v>405</v>
      </c>
      <c r="AV348" s="3" t="str">
        <f>IFERROR(MID(VLOOKUP($B348,Seqs!$A:$B,2,0),AW348,1),"")</f>
        <v>N</v>
      </c>
      <c r="AW348" s="3">
        <v>406</v>
      </c>
      <c r="AX348" s="3" t="str">
        <f>IFERROR(MID(VLOOKUP($B348,Seqs!$A:$B,2,0),AY348,1),"")</f>
        <v>R</v>
      </c>
      <c r="AY348" s="3">
        <v>421</v>
      </c>
      <c r="AZ348" s="77" t="str">
        <f>VLOOKUP(B348,Classification!A:D,2,0)</f>
        <v>B1</v>
      </c>
      <c r="BA348" s="94" t="str">
        <f>VLOOKUP(B348,Classification!A:D,4,0)</f>
        <v>Glucagonreceptorfamily</v>
      </c>
      <c r="BB348" s="27" t="b">
        <f t="shared" si="2124"/>
        <v>1</v>
      </c>
      <c r="BC348" s="23">
        <f t="shared" si="2125"/>
        <v>245</v>
      </c>
      <c r="BD348" s="4" t="s">
        <v>1375</v>
      </c>
      <c r="BE348" s="3" t="s">
        <v>1291</v>
      </c>
      <c r="BF348" s="119">
        <v>4.0999999999999996</v>
      </c>
      <c r="BG348" s="49" t="s">
        <v>1422</v>
      </c>
      <c r="BH348" s="49" t="s">
        <v>1422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 t="shared" si="2126"/>
        <v>137</v>
      </c>
      <c r="BW348" s="71">
        <f t="shared" si="2127"/>
        <v>170</v>
      </c>
      <c r="BX348" s="72">
        <f t="shared" si="2128"/>
        <v>174</v>
      </c>
      <c r="BY348" s="71" t="str">
        <f t="shared" si="2129"/>
        <v>-</v>
      </c>
      <c r="BZ348" s="72">
        <f t="shared" si="2130"/>
        <v>224</v>
      </c>
      <c r="CA348" s="71" t="str">
        <f t="shared" si="2131"/>
        <v>-</v>
      </c>
      <c r="CB348" s="72">
        <f t="shared" si="2132"/>
        <v>261</v>
      </c>
      <c r="CC348" s="71">
        <f t="shared" si="2133"/>
        <v>296</v>
      </c>
      <c r="CD348" s="72">
        <f t="shared" si="2134"/>
        <v>305</v>
      </c>
      <c r="CE348" s="71">
        <f t="shared" si="2135"/>
        <v>346</v>
      </c>
      <c r="CF348" s="72">
        <f t="shared" si="2136"/>
        <v>379</v>
      </c>
      <c r="CG348" s="71">
        <f t="shared" si="2137"/>
        <v>406</v>
      </c>
      <c r="CH348" s="70">
        <f t="shared" si="2138"/>
        <v>168</v>
      </c>
      <c r="CI348" s="71">
        <f t="shared" si="2139"/>
        <v>173</v>
      </c>
      <c r="CJ348" s="72">
        <f t="shared" si="2140"/>
        <v>211</v>
      </c>
      <c r="CK348" s="72" t="str">
        <f t="shared" si="2141"/>
        <v>-</v>
      </c>
      <c r="CL348" s="72">
        <f t="shared" si="2142"/>
        <v>257</v>
      </c>
      <c r="CM348" s="72" t="str">
        <f t="shared" si="2143"/>
        <v>-</v>
      </c>
      <c r="CN348" s="72">
        <f t="shared" si="2144"/>
        <v>292</v>
      </c>
      <c r="CO348" s="72">
        <f t="shared" si="2145"/>
        <v>298</v>
      </c>
      <c r="CP348" s="72">
        <f t="shared" si="2146"/>
        <v>337</v>
      </c>
      <c r="CQ348" s="72">
        <f t="shared" si="2147"/>
        <v>369</v>
      </c>
      <c r="CR348" s="72">
        <f t="shared" si="2148"/>
        <v>405</v>
      </c>
      <c r="CS348" s="72">
        <f t="shared" si="2149"/>
        <v>421</v>
      </c>
      <c r="CT348" s="23">
        <f t="shared" si="2150"/>
        <v>1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3" t="str">
        <f t="shared" ref="A349" si="2151">CONCATENATE(B349,"_",C349)</f>
        <v>pth1r_human__wt</v>
      </c>
      <c r="B349" s="3" t="s">
        <v>409</v>
      </c>
      <c r="C349" s="3" t="s">
        <v>100</v>
      </c>
      <c r="D349" s="3" t="str">
        <f>IFERROR(MID(VLOOKUP($B349,Seqs!$A:$B,2,0),E349,1),"")</f>
        <v>F</v>
      </c>
      <c r="E349" s="105">
        <v>173</v>
      </c>
      <c r="F349" s="3" t="str">
        <f>IFERROR(MID(VLOOKUP($B349,Seqs!$A:$B,2,0),G349,1),"")</f>
        <v>F</v>
      </c>
      <c r="G349" s="3">
        <v>212</v>
      </c>
      <c r="H349" s="3" t="str">
        <f>IFERROR(MID(VLOOKUP($B349,Seqs!$A:$B,2,0),I349,1),"")</f>
        <v>R</v>
      </c>
      <c r="I349" s="23">
        <v>213</v>
      </c>
      <c r="J349" s="3" t="str">
        <f>IFERROR(MID(VLOOKUP($B349,Seqs!$A:$B,2,0),K349,1),"")</f>
        <v>H</v>
      </c>
      <c r="K349" s="23">
        <v>216</v>
      </c>
      <c r="L349" s="3" t="str">
        <f>IFERROR(MID(VLOOKUP($B349,Seqs!$A:$B,2,0),M349,1),"")</f>
        <v>C</v>
      </c>
      <c r="M349" s="23">
        <v>217</v>
      </c>
      <c r="N349" s="3" t="str">
        <f>IFERROR(MID(VLOOKUP($B349,Seqs!$A:$B,2,0),O349,1),"")</f>
        <v>T</v>
      </c>
      <c r="O349" s="3">
        <v>249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G</v>
      </c>
      <c r="U349" s="3">
        <v>277</v>
      </c>
      <c r="V349" s="3" t="str">
        <f>IFERROR(MID(VLOOKUP($B349,Seqs!$A:$B,2,0),W349,1),"")</f>
        <v>M</v>
      </c>
      <c r="W349" s="3">
        <v>312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S</v>
      </c>
      <c r="AC349" s="3">
        <v>316</v>
      </c>
      <c r="AD349" s="3" t="str">
        <f>IFERROR(MID(VLOOKUP($B349,Seqs!$A:$B,2,0),AE349,1),"")</f>
        <v>A</v>
      </c>
      <c r="AE349" s="3">
        <v>347</v>
      </c>
      <c r="AF349" s="3" t="str">
        <f>IFERROR(MID(VLOOKUP($B349,Seqs!$A:$B,2,0),AG349,1),"")</f>
        <v>C</v>
      </c>
      <c r="AG349" s="3">
        <v>351</v>
      </c>
      <c r="AH349" s="3" t="str">
        <f>IFERROR(MID(VLOOKUP($B349,Seqs!$A:$B,2,0),AI349,1),"")</f>
        <v>D</v>
      </c>
      <c r="AI349" s="3">
        <v>353</v>
      </c>
      <c r="AJ349" s="3" t="str">
        <f>IFERROR(MID(VLOOKUP($B349,Seqs!$A:$B,2,0),AK349,1),"")</f>
        <v>G</v>
      </c>
      <c r="AK349" s="105">
        <v>357</v>
      </c>
      <c r="AL349" s="3" t="str">
        <f>IFERROR(MID(VLOOKUP($B349,Seqs!$A:$B,2,0),AM349,1),"")</f>
        <v>L</v>
      </c>
      <c r="AM349" s="3">
        <v>389</v>
      </c>
      <c r="AN349" s="3" t="str">
        <f>IFERROR(MID(VLOOKUP($B349,Seqs!$A:$B,2,0),AO349,1),"")</f>
        <v>D</v>
      </c>
      <c r="AO349" s="3">
        <v>398</v>
      </c>
      <c r="AP349" s="3" t="str">
        <f>IFERROR(MID(VLOOKUP($B349,Seqs!$A:$B,2,0),AQ349,1),"")</f>
        <v>T</v>
      </c>
      <c r="AQ349" s="3">
        <v>427</v>
      </c>
      <c r="AR349" s="3" t="str">
        <f>IFERROR(MID(VLOOKUP($B349,Seqs!$A:$B,2,0),AS349,1),"")</f>
        <v>G</v>
      </c>
      <c r="AS349" s="3">
        <v>434</v>
      </c>
      <c r="AT349" s="3" t="str">
        <f>IFERROR(MID(VLOOKUP($B349,Seqs!$A:$B,2,0),AU349,1),"")</f>
        <v>C</v>
      </c>
      <c r="AU349" s="3">
        <v>462</v>
      </c>
      <c r="AV349" s="3" t="str">
        <f>IFERROR(MID(VLOOKUP($B349,Seqs!$A:$B,2,0),AW349,1),"")</f>
        <v>N</v>
      </c>
      <c r="AW349" s="3">
        <v>463</v>
      </c>
      <c r="AX349" s="3" t="str">
        <f>IFERROR(MID(VLOOKUP($B349,Seqs!$A:$B,2,0),AY349,1),"")</f>
        <v>R</v>
      </c>
      <c r="AY349" s="3">
        <v>488</v>
      </c>
      <c r="AZ349" s="77" t="str">
        <f>VLOOKUP(B349,Classification!A:D,2,0)</f>
        <v>B1</v>
      </c>
      <c r="BA349" s="94" t="str">
        <f>VLOOKUP(B349,Classification!A:D,4,0)</f>
        <v>Parathyroidhormone</v>
      </c>
      <c r="BB349" s="27" t="b">
        <f t="shared" ref="BB349" si="2152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 t="shared" ref="BC349" si="2153">_xlfn.AGGREGATE(9,6,CH349:CS349)-_xlfn.AGGREGATE(9,6,BV349:CG349)+12</f>
        <v>268</v>
      </c>
      <c r="BD349" s="4" t="s">
        <v>23</v>
      </c>
      <c r="BE349" s="3" t="s">
        <v>23</v>
      </c>
      <c r="BF349" s="119" t="s">
        <v>23</v>
      </c>
      <c r="BG349" s="49" t="s">
        <v>23</v>
      </c>
      <c r="BH349" s="49" t="s">
        <v>23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 t="shared" ref="BV349" si="2154">E349</f>
        <v>173</v>
      </c>
      <c r="BW349" s="71">
        <f t="shared" ref="BW349" si="2155">I349</f>
        <v>213</v>
      </c>
      <c r="BX349" s="72">
        <f t="shared" ref="BX349" si="2156">M349</f>
        <v>217</v>
      </c>
      <c r="BY349" s="71" t="str">
        <f t="shared" ref="BY349" si="2157">Q349</f>
        <v>-</v>
      </c>
      <c r="BZ349" s="72">
        <f t="shared" ref="BZ349" si="2158">U349</f>
        <v>277</v>
      </c>
      <c r="CA349" s="71" t="str">
        <f t="shared" ref="CA349" si="2159">Y349</f>
        <v>-</v>
      </c>
      <c r="CB349" s="72">
        <f t="shared" ref="CB349" si="2160">AC349</f>
        <v>316</v>
      </c>
      <c r="CC349" s="71">
        <f t="shared" ref="CC349" si="2161">AG349</f>
        <v>351</v>
      </c>
      <c r="CD349" s="72">
        <f t="shared" ref="CD349" si="2162">AK349</f>
        <v>357</v>
      </c>
      <c r="CE349" s="71">
        <f t="shared" ref="CE349" si="2163">AO349</f>
        <v>398</v>
      </c>
      <c r="CF349" s="72">
        <f t="shared" ref="CF349" si="2164">AS349</f>
        <v>434</v>
      </c>
      <c r="CG349" s="71">
        <f t="shared" ref="CG349" si="2165">AW349</f>
        <v>463</v>
      </c>
      <c r="CH349" s="70">
        <f t="shared" ref="CH349" si="2166">G349</f>
        <v>212</v>
      </c>
      <c r="CI349" s="71">
        <f t="shared" ref="CI349" si="2167">K349</f>
        <v>216</v>
      </c>
      <c r="CJ349" s="72">
        <f t="shared" ref="CJ349" si="2168">O349</f>
        <v>249</v>
      </c>
      <c r="CK349" s="72" t="str">
        <f t="shared" ref="CK349" si="2169">S349</f>
        <v>-</v>
      </c>
      <c r="CL349" s="72">
        <f t="shared" ref="CL349" si="2170">W349</f>
        <v>312</v>
      </c>
      <c r="CM349" s="72" t="str">
        <f t="shared" ref="CM349" si="2171">AA349</f>
        <v>-</v>
      </c>
      <c r="CN349" s="72">
        <f t="shared" ref="CN349" si="2172">AE349</f>
        <v>347</v>
      </c>
      <c r="CO349" s="72">
        <f t="shared" ref="CO349" si="2173">AI349</f>
        <v>353</v>
      </c>
      <c r="CP349" s="72">
        <f t="shared" ref="CP349" si="2174">AM349</f>
        <v>389</v>
      </c>
      <c r="CQ349" s="72">
        <f t="shared" ref="CQ349" si="2175">AQ349</f>
        <v>427</v>
      </c>
      <c r="CR349" s="72">
        <f t="shared" ref="CR349" si="2176">AU349</f>
        <v>462</v>
      </c>
      <c r="CS349" s="72">
        <f t="shared" ref="CS349" si="2177">AY349</f>
        <v>488</v>
      </c>
      <c r="CT349" s="23">
        <f t="shared" ref="CT349" si="2178">M349-K349</f>
        <v>1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 t="shared" ref="A350" si="2179">CONCATENATE(B350,"_",C350)</f>
        <v>pth1r_human_6FJ3</v>
      </c>
      <c r="B350" s="3" t="s">
        <v>409</v>
      </c>
      <c r="C350" s="3" t="s">
        <v>1527</v>
      </c>
      <c r="D350" s="3" t="str">
        <f>IFERROR(MID(VLOOKUP($B350,Seqs!$A:$B,2,0),E350,1),"")</f>
        <v>R</v>
      </c>
      <c r="E350" s="3">
        <v>179</v>
      </c>
      <c r="F350" s="3" t="str">
        <f>IFERROR(MID(VLOOKUP($B350,Seqs!$A:$B,2,0),G350,1),"")</f>
        <v>F</v>
      </c>
      <c r="G350" s="3">
        <v>212</v>
      </c>
      <c r="H350" s="3" t="str">
        <f>IFERROR(MID(VLOOKUP($B350,Seqs!$A:$B,2,0),I350,1),"")</f>
        <v>R</v>
      </c>
      <c r="I350" s="23">
        <v>213</v>
      </c>
      <c r="J350" s="3" t="str">
        <f>IFERROR(MID(VLOOKUP($B350,Seqs!$A:$B,2,0),K350,1),"")</f>
        <v>H</v>
      </c>
      <c r="K350" s="23">
        <v>216</v>
      </c>
      <c r="L350" s="3" t="str">
        <f>IFERROR(MID(VLOOKUP($B350,Seqs!$A:$B,2,0),M350,1),"")</f>
        <v>C</v>
      </c>
      <c r="M350" s="23">
        <v>217</v>
      </c>
      <c r="N350" s="3" t="str">
        <f>IFERROR(MID(VLOOKUP($B350,Seqs!$A:$B,2,0),O350,1),"")</f>
        <v>Y</v>
      </c>
      <c r="O350" s="3">
        <v>245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Y</v>
      </c>
      <c r="U350" s="3">
        <v>278</v>
      </c>
      <c r="V350" s="3" t="str">
        <f>IFERROR(MID(VLOOKUP($B350,Seqs!$A:$B,2,0),W350,1),"")</f>
        <v>M</v>
      </c>
      <c r="W350" s="3">
        <v>312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3">
        <v>316</v>
      </c>
      <c r="AD350" s="3" t="str">
        <f>IFERROR(MID(VLOOKUP($B350,Seqs!$A:$B,2,0),AE350,1),"")</f>
        <v>A</v>
      </c>
      <c r="AE350" s="3">
        <v>347</v>
      </c>
      <c r="AF350" s="3" t="str">
        <f>IFERROR(MID(VLOOKUP($B350,Seqs!$A:$B,2,0),AG350,1),"")</f>
        <v>C</v>
      </c>
      <c r="AG350" s="3">
        <v>351</v>
      </c>
      <c r="AH350" s="3" t="str">
        <f>IFERROR(MID(VLOOKUP($B350,Seqs!$A:$B,2,0),AI350,1),"")</f>
        <v>D</v>
      </c>
      <c r="AI350" s="3">
        <v>353</v>
      </c>
      <c r="AJ350" s="3" t="str">
        <f>IFERROR(MID(VLOOKUP($B350,Seqs!$A:$B,2,0),AK350,1),"")</f>
        <v>G</v>
      </c>
      <c r="AK350" s="3">
        <v>357</v>
      </c>
      <c r="AL350" s="3" t="str">
        <f>IFERROR(MID(VLOOKUP($B350,Seqs!$A:$B,2,0),AM350,1),"")</f>
        <v>R</v>
      </c>
      <c r="AM350" s="3">
        <v>383</v>
      </c>
      <c r="AN350" s="3" t="str">
        <f>IFERROR(MID(VLOOKUP($B350,Seqs!$A:$B,2,0),AO350,1),"")</f>
        <v>D</v>
      </c>
      <c r="AO350" s="3">
        <v>398</v>
      </c>
      <c r="AP350" s="3" t="str">
        <f>IFERROR(MID(VLOOKUP($B350,Seqs!$A:$B,2,0),AQ350,1),"")</f>
        <v>T</v>
      </c>
      <c r="AQ350" s="3">
        <v>427</v>
      </c>
      <c r="AR350" s="3" t="str">
        <f>IFERROR(MID(VLOOKUP($B350,Seqs!$A:$B,2,0),AS350,1),"")</f>
        <v>G</v>
      </c>
      <c r="AS350" s="3">
        <v>434</v>
      </c>
      <c r="AT350" s="3" t="str">
        <f>IFERROR(MID(VLOOKUP($B350,Seqs!$A:$B,2,0),AU350,1),"")</f>
        <v>C</v>
      </c>
      <c r="AU350" s="3">
        <v>462</v>
      </c>
      <c r="AV350" s="3" t="str">
        <f>IFERROR(MID(VLOOKUP($B350,Seqs!$A:$B,2,0),AW350,1),"")</f>
        <v>N</v>
      </c>
      <c r="AW350" s="3">
        <v>463</v>
      </c>
      <c r="AX350" s="3" t="str">
        <f>IFERROR(MID(VLOOKUP($B350,Seqs!$A:$B,2,0),AY350,1),"")</f>
        <v>W</v>
      </c>
      <c r="AY350" s="3">
        <v>477</v>
      </c>
      <c r="AZ350" s="77" t="str">
        <f>VLOOKUP(B350,Classification!A:D,2,0)</f>
        <v>B1</v>
      </c>
      <c r="BA350" s="94" t="str">
        <f>VLOOKUP(B350,Classification!A:D,4,0)</f>
        <v>Parathyroidhormone</v>
      </c>
      <c r="BB350" s="27" t="b">
        <f t="shared" ref="BB350" si="2180"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 t="shared" ref="BC350" si="2181">_xlfn.AGGREGATE(9,6,CH350:CS350)-_xlfn.AGGREGATE(9,6,BV350:CG350)+12</f>
        <v>240</v>
      </c>
      <c r="BD350" s="4" t="s">
        <v>1376</v>
      </c>
      <c r="BE350" s="3" t="s">
        <v>1374</v>
      </c>
      <c r="BF350" s="119">
        <v>2.5</v>
      </c>
      <c r="BG350" s="49" t="s">
        <v>1</v>
      </c>
      <c r="BH350" s="49" t="s">
        <v>1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 t="shared" ref="BV350" si="2182">E350</f>
        <v>179</v>
      </c>
      <c r="BW350" s="71">
        <f t="shared" ref="BW350" si="2183">I350</f>
        <v>213</v>
      </c>
      <c r="BX350" s="72">
        <f t="shared" ref="BX350" si="2184">M350</f>
        <v>217</v>
      </c>
      <c r="BY350" s="71" t="str">
        <f t="shared" ref="BY350" si="2185">Q350</f>
        <v>-</v>
      </c>
      <c r="BZ350" s="72">
        <f t="shared" ref="BZ350" si="2186">U350</f>
        <v>278</v>
      </c>
      <c r="CA350" s="71" t="str">
        <f t="shared" ref="CA350" si="2187">Y350</f>
        <v>-</v>
      </c>
      <c r="CB350" s="72">
        <f t="shared" ref="CB350" si="2188">AC350</f>
        <v>316</v>
      </c>
      <c r="CC350" s="71">
        <f t="shared" ref="CC350" si="2189">AG350</f>
        <v>351</v>
      </c>
      <c r="CD350" s="72">
        <f t="shared" ref="CD350" si="2190">AK350</f>
        <v>357</v>
      </c>
      <c r="CE350" s="71">
        <f t="shared" ref="CE350" si="2191">AO350</f>
        <v>398</v>
      </c>
      <c r="CF350" s="72">
        <f t="shared" ref="CF350" si="2192">AS350</f>
        <v>434</v>
      </c>
      <c r="CG350" s="71">
        <f t="shared" ref="CG350" si="2193">AW350</f>
        <v>463</v>
      </c>
      <c r="CH350" s="70">
        <f t="shared" ref="CH350" si="2194">G350</f>
        <v>212</v>
      </c>
      <c r="CI350" s="71">
        <f t="shared" ref="CI350" si="2195">K350</f>
        <v>216</v>
      </c>
      <c r="CJ350" s="72">
        <f t="shared" ref="CJ350" si="2196">O350</f>
        <v>245</v>
      </c>
      <c r="CK350" s="72" t="str">
        <f t="shared" ref="CK350" si="2197">S350</f>
        <v>-</v>
      </c>
      <c r="CL350" s="72">
        <f t="shared" ref="CL350" si="2198">W350</f>
        <v>312</v>
      </c>
      <c r="CM350" s="72" t="str">
        <f t="shared" ref="CM350" si="2199">AA350</f>
        <v>-</v>
      </c>
      <c r="CN350" s="72">
        <f t="shared" ref="CN350" si="2200">AE350</f>
        <v>347</v>
      </c>
      <c r="CO350" s="72">
        <f t="shared" ref="CO350" si="2201">AI350</f>
        <v>353</v>
      </c>
      <c r="CP350" s="72">
        <f t="shared" ref="CP350" si="2202">AM350</f>
        <v>383</v>
      </c>
      <c r="CQ350" s="72">
        <f t="shared" ref="CQ350" si="2203">AQ350</f>
        <v>427</v>
      </c>
      <c r="CR350" s="72">
        <f t="shared" ref="CR350" si="2204">AU350</f>
        <v>462</v>
      </c>
      <c r="CS350" s="72">
        <f t="shared" ref="CS350" si="2205">AY350</f>
        <v>477</v>
      </c>
      <c r="CT350" s="23">
        <f t="shared" ref="CT350" si="2206">M350-K350</f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s="12" customFormat="1" x14ac:dyDescent="0.2">
      <c r="A351" s="9" t="str">
        <f t="shared" ref="A351" si="2207">CONCATENATE(B351,"_",C351)</f>
        <v>pth1r_human_6NBF</v>
      </c>
      <c r="B351" s="9" t="s">
        <v>409</v>
      </c>
      <c r="C351" s="9" t="s">
        <v>1573</v>
      </c>
      <c r="D351" s="9" t="str">
        <f>IFERROR(MID(VLOOKUP($B351,Seqs!$A:$B,2,0),E351,1),"")</f>
        <v>T</v>
      </c>
      <c r="E351" s="9">
        <v>178</v>
      </c>
      <c r="F351" s="9" t="str">
        <f>IFERROR(MID(VLOOKUP($B351,Seqs!$A:$B,2,0),G351,1),"")</f>
        <v>F</v>
      </c>
      <c r="G351" s="9">
        <v>212</v>
      </c>
      <c r="H351" s="9" t="str">
        <f>IFERROR(MID(VLOOKUP($B351,Seqs!$A:$B,2,0),I351,1),"")</f>
        <v>R</v>
      </c>
      <c r="I351" s="109">
        <v>213</v>
      </c>
      <c r="J351" s="9" t="str">
        <f>IFERROR(MID(VLOOKUP($B351,Seqs!$A:$B,2,0),K351,1),"")</f>
        <v>H</v>
      </c>
      <c r="K351" s="109">
        <v>216</v>
      </c>
      <c r="L351" s="9" t="str">
        <f>IFERROR(MID(VLOOKUP($B351,Seqs!$A:$B,2,0),M351,1),"")</f>
        <v>C</v>
      </c>
      <c r="M351" s="109">
        <v>217</v>
      </c>
      <c r="N351" s="9" t="str">
        <f>IFERROR(MID(VLOOKUP($B351,Seqs!$A:$B,2,0),O351,1),"")</f>
        <v>S</v>
      </c>
      <c r="O351" s="9">
        <v>246</v>
      </c>
      <c r="P351" s="9" t="str">
        <f>IFERROR(MID(VLOOKUP($B351,Seqs!$A:$B,2,0),Q351,1),"")</f>
        <v/>
      </c>
      <c r="Q351" s="9" t="s">
        <v>23</v>
      </c>
      <c r="R351" s="9" t="str">
        <f>IFERROR(MID(VLOOKUP($B351,Seqs!$A:$B,2,0),S351,1),"")</f>
        <v/>
      </c>
      <c r="S351" s="9" t="s">
        <v>23</v>
      </c>
      <c r="T351" s="9" t="str">
        <f>IFERROR(MID(VLOOKUP($B351,Seqs!$A:$B,2,0),U351,1),"")</f>
        <v>Y</v>
      </c>
      <c r="U351" s="9">
        <v>278</v>
      </c>
      <c r="V351" s="9" t="str">
        <f>IFERROR(MID(VLOOKUP($B351,Seqs!$A:$B,2,0),W351,1),"")</f>
        <v>M</v>
      </c>
      <c r="W351" s="9">
        <v>312</v>
      </c>
      <c r="X351" s="9" t="str">
        <f>IFERROR(MID(VLOOKUP($B351,Seqs!$A:$B,2,0),Y351,1),"")</f>
        <v/>
      </c>
      <c r="Y351" s="9" t="s">
        <v>23</v>
      </c>
      <c r="Z351" s="9" t="str">
        <f>IFERROR(MID(VLOOKUP($B351,Seqs!$A:$B,2,0),AA351,1),"")</f>
        <v/>
      </c>
      <c r="AA351" s="9" t="s">
        <v>23</v>
      </c>
      <c r="AB351" s="9" t="str">
        <f>IFERROR(MID(VLOOKUP($B351,Seqs!$A:$B,2,0),AC351,1),"")</f>
        <v>S</v>
      </c>
      <c r="AC351" s="9">
        <v>316</v>
      </c>
      <c r="AD351" s="9" t="str">
        <f>IFERROR(MID(VLOOKUP($B351,Seqs!$A:$B,2,0),AE351,1),"")</f>
        <v>L</v>
      </c>
      <c r="AE351" s="9">
        <v>346</v>
      </c>
      <c r="AF351" s="9" t="str">
        <f>IFERROR(MID(VLOOKUP($B351,Seqs!$A:$B,2,0),AG351,1),"")</f>
        <v>C</v>
      </c>
      <c r="AG351" s="9">
        <v>351</v>
      </c>
      <c r="AH351" s="9" t="str">
        <f>IFERROR(MID(VLOOKUP($B351,Seqs!$A:$B,2,0),AI351,1),"")</f>
        <v>D</v>
      </c>
      <c r="AI351" s="9">
        <v>353</v>
      </c>
      <c r="AJ351" s="9" t="str">
        <f>IFERROR(MID(VLOOKUP($B351,Seqs!$A:$B,2,0),AK351,1),"")</f>
        <v>G</v>
      </c>
      <c r="AK351" s="9">
        <v>357</v>
      </c>
      <c r="AL351" s="9" t="str">
        <f>IFERROR(MID(VLOOKUP($B351,Seqs!$A:$B,2,0),AM351,1),"")</f>
        <v>N</v>
      </c>
      <c r="AM351" s="9">
        <v>393</v>
      </c>
      <c r="AN351" s="9" t="str">
        <f>IFERROR(MID(VLOOKUP($B351,Seqs!$A:$B,2,0),AO351,1),"")</f>
        <v>T</v>
      </c>
      <c r="AO351" s="9">
        <v>399</v>
      </c>
      <c r="AP351" s="9" t="str">
        <f>IFERROR(MID(VLOOKUP($B351,Seqs!$A:$B,2,0),AQ351,1),"")</f>
        <v>F</v>
      </c>
      <c r="AQ351" s="9">
        <v>424</v>
      </c>
      <c r="AR351" s="9" t="str">
        <f>IFERROR(MID(VLOOKUP($B351,Seqs!$A:$B,2,0),AS351,1),"")</f>
        <v>G</v>
      </c>
      <c r="AS351" s="9">
        <v>434</v>
      </c>
      <c r="AT351" s="9" t="str">
        <f>IFERROR(MID(VLOOKUP($B351,Seqs!$A:$B,2,0),AU351,1),"")</f>
        <v>C</v>
      </c>
      <c r="AU351" s="9">
        <v>462</v>
      </c>
      <c r="AV351" s="9" t="str">
        <f>IFERROR(MID(VLOOKUP($B351,Seqs!$A:$B,2,0),AW351,1),"")</f>
        <v>N</v>
      </c>
      <c r="AW351" s="9">
        <v>463</v>
      </c>
      <c r="AX351" s="9" t="str">
        <f>IFERROR(MID(VLOOKUP($B351,Seqs!$A:$B,2,0),AY351,1),"")</f>
        <v>L</v>
      </c>
      <c r="AY351" s="9">
        <v>481</v>
      </c>
      <c r="AZ351" s="110" t="str">
        <f>VLOOKUP(B351,Classification!A:D,2,0)</f>
        <v>B1</v>
      </c>
      <c r="BA351" s="98" t="str">
        <f>VLOOKUP(B351,Classification!A:D,4,0)</f>
        <v>Parathyroidhormone</v>
      </c>
      <c r="BB351" s="36" t="b">
        <f t="shared" ref="BB351" si="2208">AND(E351&lt;G351,OR(G351&lt;I351,I351="-"),OR(I351&lt;K351,I351="-"),OR(K351&lt;M351,K351="-"),M351&lt;O351,OR(O351&lt;Q351,Q351="-"),OR(Q351&lt;S351,Q351="-"),OR(S351&lt;U351,S351="-"),U351&lt;W351,OR(W351&lt;Y351,Y351="-"),OR(Y351&lt;AA351,Y351="-"),OR(AA351&lt;AC351,AA351="-"),AC351&lt;AE351,OR(AE351&lt;AG351,AG351="-"),OR(AG351&lt;AI351,AG351="-"),OR(AI351&lt;AK351,AI351="-"),AK351&lt;AM351,AM351&lt;AO351,AO351&lt;AQ351,AQ351&lt;AS351,AS351&lt;AU351,OR(AU351&lt;AW351,AW351="-"),OR(AW351&lt;AY351,AW351="-"))</f>
        <v>1</v>
      </c>
      <c r="BC351" s="109">
        <f t="shared" ref="BC351" si="2209">_xlfn.AGGREGATE(9,6,CH351:CS351)-_xlfn.AGGREGATE(9,6,BV351:CG351)+12</f>
        <v>251</v>
      </c>
      <c r="BD351" s="11" t="s">
        <v>23</v>
      </c>
      <c r="BE351" s="9" t="s">
        <v>1291</v>
      </c>
      <c r="BF351" s="120">
        <v>3</v>
      </c>
      <c r="BG351" s="51" t="s">
        <v>1422</v>
      </c>
      <c r="BH351" s="51" t="s">
        <v>1422</v>
      </c>
      <c r="BJ351" s="111" t="s">
        <v>1287</v>
      </c>
      <c r="BK351" s="112" t="s">
        <v>1287</v>
      </c>
      <c r="BL351" s="112" t="s">
        <v>1287</v>
      </c>
      <c r="BM351" s="112" t="s">
        <v>1287</v>
      </c>
      <c r="BN351" s="112" t="s">
        <v>1287</v>
      </c>
      <c r="BO351" s="112" t="s">
        <v>1287</v>
      </c>
      <c r="BP351" s="112" t="s">
        <v>1287</v>
      </c>
      <c r="BQ351" s="112" t="s">
        <v>1287</v>
      </c>
      <c r="BR351" s="112" t="s">
        <v>1287</v>
      </c>
      <c r="BS351" s="112" t="s">
        <v>1287</v>
      </c>
      <c r="BT351" s="112" t="s">
        <v>1287</v>
      </c>
      <c r="BU351" s="112" t="s">
        <v>1287</v>
      </c>
      <c r="BV351" s="111">
        <f t="shared" ref="BV351" si="2210">E351</f>
        <v>178</v>
      </c>
      <c r="BW351" s="113">
        <f t="shared" ref="BW351" si="2211">I351</f>
        <v>213</v>
      </c>
      <c r="BX351" s="114">
        <f t="shared" ref="BX351" si="2212">M351</f>
        <v>217</v>
      </c>
      <c r="BY351" s="113" t="str">
        <f t="shared" ref="BY351" si="2213">Q351</f>
        <v>-</v>
      </c>
      <c r="BZ351" s="114">
        <f t="shared" ref="BZ351" si="2214">U351</f>
        <v>278</v>
      </c>
      <c r="CA351" s="113" t="str">
        <f t="shared" ref="CA351" si="2215">Y351</f>
        <v>-</v>
      </c>
      <c r="CB351" s="114">
        <f t="shared" ref="CB351" si="2216">AC351</f>
        <v>316</v>
      </c>
      <c r="CC351" s="113">
        <f t="shared" ref="CC351" si="2217">AG351</f>
        <v>351</v>
      </c>
      <c r="CD351" s="114">
        <f t="shared" ref="CD351" si="2218">AK351</f>
        <v>357</v>
      </c>
      <c r="CE351" s="113">
        <f t="shared" ref="CE351" si="2219">AO351</f>
        <v>399</v>
      </c>
      <c r="CF351" s="114">
        <f t="shared" ref="CF351" si="2220">AS351</f>
        <v>434</v>
      </c>
      <c r="CG351" s="113">
        <f t="shared" ref="CG351" si="2221">AW351</f>
        <v>463</v>
      </c>
      <c r="CH351" s="111">
        <f t="shared" ref="CH351" si="2222">G351</f>
        <v>212</v>
      </c>
      <c r="CI351" s="113">
        <f t="shared" ref="CI351" si="2223">K351</f>
        <v>216</v>
      </c>
      <c r="CJ351" s="114">
        <f t="shared" ref="CJ351" si="2224">O351</f>
        <v>246</v>
      </c>
      <c r="CK351" s="114" t="str">
        <f t="shared" ref="CK351" si="2225">S351</f>
        <v>-</v>
      </c>
      <c r="CL351" s="114">
        <f t="shared" ref="CL351" si="2226">W351</f>
        <v>312</v>
      </c>
      <c r="CM351" s="114" t="str">
        <f t="shared" ref="CM351" si="2227">AA351</f>
        <v>-</v>
      </c>
      <c r="CN351" s="114">
        <f t="shared" ref="CN351" si="2228">AE351</f>
        <v>346</v>
      </c>
      <c r="CO351" s="114">
        <f t="shared" ref="CO351" si="2229">AI351</f>
        <v>353</v>
      </c>
      <c r="CP351" s="114">
        <f t="shared" ref="CP351" si="2230">AM351</f>
        <v>393</v>
      </c>
      <c r="CQ351" s="114">
        <f t="shared" ref="CQ351" si="2231">AQ351</f>
        <v>424</v>
      </c>
      <c r="CR351" s="114">
        <f t="shared" ref="CR351" si="2232">AU351</f>
        <v>462</v>
      </c>
      <c r="CS351" s="114">
        <f t="shared" ref="CS351" si="2233">AY351</f>
        <v>481</v>
      </c>
      <c r="CT351" s="109">
        <f t="shared" ref="CT351" si="2234">M351-K351</f>
        <v>1</v>
      </c>
    </row>
    <row r="352" spans="1:1029" s="12" customFormat="1" x14ac:dyDescent="0.2">
      <c r="A352" s="9" t="str">
        <f t="shared" ref="A352" si="2235">CONCATENATE(B352,"_",C352)</f>
        <v>pth1r_human_6NBH</v>
      </c>
      <c r="B352" s="9" t="s">
        <v>409</v>
      </c>
      <c r="C352" s="9" t="s">
        <v>1574</v>
      </c>
      <c r="D352" s="9" t="str">
        <f>IFERROR(MID(VLOOKUP($B352,Seqs!$A:$B,2,0),E352,1),"")</f>
        <v>T</v>
      </c>
      <c r="E352" s="9">
        <v>178</v>
      </c>
      <c r="F352" s="9" t="str">
        <f>IFERROR(MID(VLOOKUP($B352,Seqs!$A:$B,2,0),G352,1),"")</f>
        <v>F</v>
      </c>
      <c r="G352" s="9">
        <v>212</v>
      </c>
      <c r="H352" s="9" t="str">
        <f>IFERROR(MID(VLOOKUP($B352,Seqs!$A:$B,2,0),I352,1),"")</f>
        <v>R</v>
      </c>
      <c r="I352" s="109">
        <v>213</v>
      </c>
      <c r="J352" s="9" t="str">
        <f>IFERROR(MID(VLOOKUP($B352,Seqs!$A:$B,2,0),K352,1),"")</f>
        <v>H</v>
      </c>
      <c r="K352" s="109">
        <v>216</v>
      </c>
      <c r="L352" s="9" t="str">
        <f>IFERROR(MID(VLOOKUP($B352,Seqs!$A:$B,2,0),M352,1),"")</f>
        <v>C</v>
      </c>
      <c r="M352" s="109">
        <v>217</v>
      </c>
      <c r="N352" s="9" t="str">
        <f>IFERROR(MID(VLOOKUP($B352,Seqs!$A:$B,2,0),O352,1),"")</f>
        <v>L</v>
      </c>
      <c r="O352" s="9">
        <v>250</v>
      </c>
      <c r="P352" s="9" t="str">
        <f>IFERROR(MID(VLOOKUP($B352,Seqs!$A:$B,2,0),Q352,1),"")</f>
        <v/>
      </c>
      <c r="Q352" s="9" t="s">
        <v>23</v>
      </c>
      <c r="R352" s="9" t="str">
        <f>IFERROR(MID(VLOOKUP($B352,Seqs!$A:$B,2,0),S352,1),"")</f>
        <v/>
      </c>
      <c r="S352" s="9" t="s">
        <v>23</v>
      </c>
      <c r="T352" s="9" t="str">
        <f>IFERROR(MID(VLOOKUP($B352,Seqs!$A:$B,2,0),U352,1),"")</f>
        <v>Y</v>
      </c>
      <c r="U352" s="9">
        <v>278</v>
      </c>
      <c r="V352" s="9" t="str">
        <f>IFERROR(MID(VLOOKUP($B352,Seqs!$A:$B,2,0),W352,1),"")</f>
        <v>M</v>
      </c>
      <c r="W352" s="9">
        <v>312</v>
      </c>
      <c r="X352" s="9" t="str">
        <f>IFERROR(MID(VLOOKUP($B352,Seqs!$A:$B,2,0),Y352,1),"")</f>
        <v/>
      </c>
      <c r="Y352" s="9" t="s">
        <v>23</v>
      </c>
      <c r="Z352" s="9" t="str">
        <f>IFERROR(MID(VLOOKUP($B352,Seqs!$A:$B,2,0),AA352,1),"")</f>
        <v/>
      </c>
      <c r="AA352" s="9" t="s">
        <v>23</v>
      </c>
      <c r="AB352" s="9" t="str">
        <f>IFERROR(MID(VLOOKUP($B352,Seqs!$A:$B,2,0),AC352,1),"")</f>
        <v>S</v>
      </c>
      <c r="AC352" s="9">
        <v>316</v>
      </c>
      <c r="AD352" s="9" t="str">
        <f>IFERROR(MID(VLOOKUP($B352,Seqs!$A:$B,2,0),AE352,1),"")</f>
        <v>A</v>
      </c>
      <c r="AE352" s="9">
        <v>347</v>
      </c>
      <c r="AF352" s="9" t="str">
        <f>IFERROR(MID(VLOOKUP($B352,Seqs!$A:$B,2,0),AG352,1),"")</f>
        <v>C</v>
      </c>
      <c r="AG352" s="9">
        <v>351</v>
      </c>
      <c r="AH352" s="9" t="str">
        <f>IFERROR(MID(VLOOKUP($B352,Seqs!$A:$B,2,0),AI352,1),"")</f>
        <v>D</v>
      </c>
      <c r="AI352" s="9">
        <v>353</v>
      </c>
      <c r="AJ352" s="9" t="str">
        <f>IFERROR(MID(VLOOKUP($B352,Seqs!$A:$B,2,0),AK352,1),"")</f>
        <v>G</v>
      </c>
      <c r="AK352" s="9">
        <v>357</v>
      </c>
      <c r="AL352" s="9" t="str">
        <f>IFERROR(MID(VLOOKUP($B352,Seqs!$A:$B,2,0),AM352,1),"")</f>
        <v>T</v>
      </c>
      <c r="AM352" s="9">
        <v>392</v>
      </c>
      <c r="AN352" s="9" t="str">
        <f>IFERROR(MID(VLOOKUP($B352,Seqs!$A:$B,2,0),AO352,1),"")</f>
        <v>T</v>
      </c>
      <c r="AO352" s="9">
        <v>399</v>
      </c>
      <c r="AP352" s="9" t="str">
        <f>IFERROR(MID(VLOOKUP($B352,Seqs!$A:$B,2,0),AQ352,1),"")</f>
        <v>F</v>
      </c>
      <c r="AQ352" s="9">
        <v>424</v>
      </c>
      <c r="AR352" s="9" t="str">
        <f>IFERROR(MID(VLOOKUP($B352,Seqs!$A:$B,2,0),AS352,1),"")</f>
        <v>G</v>
      </c>
      <c r="AS352" s="9">
        <v>434</v>
      </c>
      <c r="AT352" s="9" t="str">
        <f>IFERROR(MID(VLOOKUP($B352,Seqs!$A:$B,2,0),AU352,1),"")</f>
        <v>C</v>
      </c>
      <c r="AU352" s="9">
        <v>462</v>
      </c>
      <c r="AV352" s="9" t="str">
        <f>IFERROR(MID(VLOOKUP($B352,Seqs!$A:$B,2,0),AW352,1),"")</f>
        <v>N</v>
      </c>
      <c r="AW352" s="9">
        <v>463</v>
      </c>
      <c r="AX352" s="9" t="str">
        <f>IFERROR(MID(VLOOKUP($B352,Seqs!$A:$B,2,0),AY352,1),"")</f>
        <v>D</v>
      </c>
      <c r="AY352" s="9">
        <v>482</v>
      </c>
      <c r="AZ352" s="110" t="str">
        <f>VLOOKUP(B352,Classification!A:D,2,0)</f>
        <v>B1</v>
      </c>
      <c r="BA352" s="98" t="str">
        <f>VLOOKUP(B352,Classification!A:D,4,0)</f>
        <v>Parathyroidhormone</v>
      </c>
      <c r="BB352" s="36" t="b">
        <f t="shared" ref="BB352" si="2236">AND(E352&lt;G352,OR(G352&lt;I352,I352="-"),OR(I352&lt;K352,I352="-"),OR(K352&lt;M352,K352="-"),M352&lt;O352,OR(O352&lt;Q352,Q352="-"),OR(Q352&lt;S352,Q352="-"),OR(S352&lt;U352,S352="-"),U352&lt;W352,OR(W352&lt;Y352,Y352="-"),OR(Y352&lt;AA352,Y352="-"),OR(AA352&lt;AC352,AA352="-"),AC352&lt;AE352,OR(AE352&lt;AG352,AG352="-"),OR(AG352&lt;AI352,AG352="-"),OR(AI352&lt;AK352,AI352="-"),AK352&lt;AM352,AM352&lt;AO352,AO352&lt;AQ352,AQ352&lt;AS352,AS352&lt;AU352,OR(AU352&lt;AW352,AW352="-"),OR(AW352&lt;AY352,AW352="-"))</f>
        <v>1</v>
      </c>
      <c r="BC352" s="109">
        <f t="shared" ref="BC352" si="2237">_xlfn.AGGREGATE(9,6,CH352:CS352)-_xlfn.AGGREGATE(9,6,BV352:CG352)+12</f>
        <v>256</v>
      </c>
      <c r="BD352" s="11" t="s">
        <v>23</v>
      </c>
      <c r="BE352" s="9" t="s">
        <v>1291</v>
      </c>
      <c r="BF352" s="120">
        <v>3.5</v>
      </c>
      <c r="BG352" s="51" t="s">
        <v>1422</v>
      </c>
      <c r="BH352" s="51" t="s">
        <v>1422</v>
      </c>
      <c r="BJ352" s="111" t="s">
        <v>1287</v>
      </c>
      <c r="BK352" s="112" t="s">
        <v>1287</v>
      </c>
      <c r="BL352" s="112" t="s">
        <v>1287</v>
      </c>
      <c r="BM352" s="112" t="s">
        <v>1287</v>
      </c>
      <c r="BN352" s="112" t="s">
        <v>1287</v>
      </c>
      <c r="BO352" s="112" t="s">
        <v>1287</v>
      </c>
      <c r="BP352" s="112" t="s">
        <v>1287</v>
      </c>
      <c r="BQ352" s="112" t="s">
        <v>1287</v>
      </c>
      <c r="BR352" s="112" t="s">
        <v>1287</v>
      </c>
      <c r="BS352" s="112" t="s">
        <v>1287</v>
      </c>
      <c r="BT352" s="112" t="s">
        <v>1287</v>
      </c>
      <c r="BU352" s="112" t="s">
        <v>1287</v>
      </c>
      <c r="BV352" s="111">
        <f t="shared" ref="BV352" si="2238">E352</f>
        <v>178</v>
      </c>
      <c r="BW352" s="113">
        <f t="shared" ref="BW352" si="2239">I352</f>
        <v>213</v>
      </c>
      <c r="BX352" s="114">
        <f t="shared" ref="BX352" si="2240">M352</f>
        <v>217</v>
      </c>
      <c r="BY352" s="113" t="str">
        <f t="shared" ref="BY352" si="2241">Q352</f>
        <v>-</v>
      </c>
      <c r="BZ352" s="114">
        <f t="shared" ref="BZ352" si="2242">U352</f>
        <v>278</v>
      </c>
      <c r="CA352" s="113" t="str">
        <f t="shared" ref="CA352" si="2243">Y352</f>
        <v>-</v>
      </c>
      <c r="CB352" s="114">
        <f t="shared" ref="CB352" si="2244">AC352</f>
        <v>316</v>
      </c>
      <c r="CC352" s="113">
        <f t="shared" ref="CC352" si="2245">AG352</f>
        <v>351</v>
      </c>
      <c r="CD352" s="114">
        <f t="shared" ref="CD352" si="2246">AK352</f>
        <v>357</v>
      </c>
      <c r="CE352" s="113">
        <f t="shared" ref="CE352" si="2247">AO352</f>
        <v>399</v>
      </c>
      <c r="CF352" s="114">
        <f t="shared" ref="CF352" si="2248">AS352</f>
        <v>434</v>
      </c>
      <c r="CG352" s="113">
        <f t="shared" ref="CG352" si="2249">AW352</f>
        <v>463</v>
      </c>
      <c r="CH352" s="111">
        <f t="shared" ref="CH352" si="2250">G352</f>
        <v>212</v>
      </c>
      <c r="CI352" s="113">
        <f t="shared" ref="CI352" si="2251">K352</f>
        <v>216</v>
      </c>
      <c r="CJ352" s="114">
        <f t="shared" ref="CJ352" si="2252">O352</f>
        <v>250</v>
      </c>
      <c r="CK352" s="114" t="str">
        <f t="shared" ref="CK352" si="2253">S352</f>
        <v>-</v>
      </c>
      <c r="CL352" s="114">
        <f t="shared" ref="CL352" si="2254">W352</f>
        <v>312</v>
      </c>
      <c r="CM352" s="114" t="str">
        <f t="shared" ref="CM352" si="2255">AA352</f>
        <v>-</v>
      </c>
      <c r="CN352" s="114">
        <f t="shared" ref="CN352" si="2256">AE352</f>
        <v>347</v>
      </c>
      <c r="CO352" s="114">
        <f t="shared" ref="CO352" si="2257">AI352</f>
        <v>353</v>
      </c>
      <c r="CP352" s="114">
        <f t="shared" ref="CP352" si="2258">AM352</f>
        <v>392</v>
      </c>
      <c r="CQ352" s="114">
        <f t="shared" ref="CQ352" si="2259">AQ352</f>
        <v>424</v>
      </c>
      <c r="CR352" s="114">
        <f t="shared" ref="CR352" si="2260">AU352</f>
        <v>462</v>
      </c>
      <c r="CS352" s="114">
        <f t="shared" ref="CS352" si="2261">AY352</f>
        <v>482</v>
      </c>
      <c r="CT352" s="109">
        <f t="shared" ref="CT352" si="2262">M352-K352</f>
        <v>1</v>
      </c>
    </row>
    <row r="353" spans="1:1030" s="12" customFormat="1" x14ac:dyDescent="0.2">
      <c r="A353" s="9" t="str">
        <f t="shared" ref="A353" si="2263">CONCATENATE(B353,"_",C353)</f>
        <v>pth1r_human_6NBI</v>
      </c>
      <c r="B353" s="9" t="s">
        <v>409</v>
      </c>
      <c r="C353" s="9" t="s">
        <v>1575</v>
      </c>
      <c r="D353" s="9" t="str">
        <f>IFERROR(MID(VLOOKUP($B353,Seqs!$A:$B,2,0),E353,1),"")</f>
        <v>F</v>
      </c>
      <c r="E353" s="9">
        <v>173</v>
      </c>
      <c r="F353" s="9" t="str">
        <f>IFERROR(MID(VLOOKUP($B353,Seqs!$A:$B,2,0),G353,1),"")</f>
        <v>F</v>
      </c>
      <c r="G353" s="9">
        <v>212</v>
      </c>
      <c r="H353" s="9" t="str">
        <f>IFERROR(MID(VLOOKUP($B353,Seqs!$A:$B,2,0),I353,1),"")</f>
        <v>R</v>
      </c>
      <c r="I353" s="109">
        <v>213</v>
      </c>
      <c r="J353" s="9" t="str">
        <f>IFERROR(MID(VLOOKUP($B353,Seqs!$A:$B,2,0),K353,1),"")</f>
        <v>H</v>
      </c>
      <c r="K353" s="109">
        <v>216</v>
      </c>
      <c r="L353" s="9" t="str">
        <f>IFERROR(MID(VLOOKUP($B353,Seqs!$A:$B,2,0),M353,1),"")</f>
        <v>C</v>
      </c>
      <c r="M353" s="109">
        <v>217</v>
      </c>
      <c r="N353" s="9" t="str">
        <f>IFERROR(MID(VLOOKUP($B353,Seqs!$A:$B,2,0),O353,1),"")</f>
        <v>L</v>
      </c>
      <c r="O353" s="9">
        <v>250</v>
      </c>
      <c r="P353" s="9" t="str">
        <f>IFERROR(MID(VLOOKUP($B353,Seqs!$A:$B,2,0),Q353,1),"")</f>
        <v/>
      </c>
      <c r="Q353" s="9" t="s">
        <v>23</v>
      </c>
      <c r="R353" s="9" t="str">
        <f>IFERROR(MID(VLOOKUP($B353,Seqs!$A:$B,2,0),S353,1),"")</f>
        <v/>
      </c>
      <c r="S353" s="9" t="s">
        <v>23</v>
      </c>
      <c r="T353" s="9" t="str">
        <f>IFERROR(MID(VLOOKUP($B353,Seqs!$A:$B,2,0),U353,1),"")</f>
        <v>T</v>
      </c>
      <c r="U353" s="9">
        <v>273</v>
      </c>
      <c r="V353" s="9" t="str">
        <f>IFERROR(MID(VLOOKUP($B353,Seqs!$A:$B,2,0),W353,1),"")</f>
        <v>F</v>
      </c>
      <c r="W353" s="9">
        <v>311</v>
      </c>
      <c r="X353" s="9" t="str">
        <f>IFERROR(MID(VLOOKUP($B353,Seqs!$A:$B,2,0),Y353,1),"")</f>
        <v/>
      </c>
      <c r="Y353" s="9" t="s">
        <v>23</v>
      </c>
      <c r="Z353" s="9" t="str">
        <f>IFERROR(MID(VLOOKUP($B353,Seqs!$A:$B,2,0),AA353,1),"")</f>
        <v/>
      </c>
      <c r="AA353" s="9" t="s">
        <v>23</v>
      </c>
      <c r="AB353" s="9" t="str">
        <f>IFERROR(MID(VLOOKUP($B353,Seqs!$A:$B,2,0),AC353,1),"")</f>
        <v>S</v>
      </c>
      <c r="AC353" s="9">
        <v>316</v>
      </c>
      <c r="AD353" s="9" t="str">
        <f>IFERROR(MID(VLOOKUP($B353,Seqs!$A:$B,2,0),AE353,1),"")</f>
        <v>A</v>
      </c>
      <c r="AE353" s="9">
        <v>347</v>
      </c>
      <c r="AF353" s="9" t="str">
        <f>IFERROR(MID(VLOOKUP($B353,Seqs!$A:$B,2,0),AG353,1),"")</f>
        <v>C</v>
      </c>
      <c r="AG353" s="9">
        <v>351</v>
      </c>
      <c r="AH353" s="9" t="str">
        <f>IFERROR(MID(VLOOKUP($B353,Seqs!$A:$B,2,0),AI353,1),"")</f>
        <v>D</v>
      </c>
      <c r="AI353" s="9">
        <v>353</v>
      </c>
      <c r="AJ353" s="9" t="str">
        <f>IFERROR(MID(VLOOKUP($B353,Seqs!$A:$B,2,0),AK353,1),"")</f>
        <v>G</v>
      </c>
      <c r="AK353" s="9">
        <v>357</v>
      </c>
      <c r="AL353" s="9" t="str">
        <f>IFERROR(MID(VLOOKUP($B353,Seqs!$A:$B,2,0),AM353,1),"")</f>
        <v>A</v>
      </c>
      <c r="AM353" s="9">
        <v>394</v>
      </c>
      <c r="AN353" s="9" t="str">
        <f>IFERROR(MID(VLOOKUP($B353,Seqs!$A:$B,2,0),AO353,1),"")</f>
        <v>T</v>
      </c>
      <c r="AO353" s="9">
        <v>399</v>
      </c>
      <c r="AP353" s="9" t="str">
        <f>IFERROR(MID(VLOOKUP($B353,Seqs!$A:$B,2,0),AQ353,1),"")</f>
        <v>F</v>
      </c>
      <c r="AQ353" s="9">
        <v>424</v>
      </c>
      <c r="AR353" s="9" t="str">
        <f>IFERROR(MID(VLOOKUP($B353,Seqs!$A:$B,2,0),AS353,1),"")</f>
        <v>G</v>
      </c>
      <c r="AS353" s="9">
        <v>434</v>
      </c>
      <c r="AT353" s="9" t="str">
        <f>IFERROR(MID(VLOOKUP($B353,Seqs!$A:$B,2,0),AU353,1),"")</f>
        <v>C</v>
      </c>
      <c r="AU353" s="9">
        <v>462</v>
      </c>
      <c r="AV353" s="9" t="str">
        <f>IFERROR(MID(VLOOKUP($B353,Seqs!$A:$B,2,0),AW353,1),"")</f>
        <v>N</v>
      </c>
      <c r="AW353" s="9">
        <v>463</v>
      </c>
      <c r="AX353" s="9" t="str">
        <f>IFERROR(MID(VLOOKUP($B353,Seqs!$A:$B,2,0),AY353,1),"")</f>
        <v>D</v>
      </c>
      <c r="AY353" s="9">
        <v>482</v>
      </c>
      <c r="AZ353" s="110" t="str">
        <f>VLOOKUP(B353,Classification!A:D,2,0)</f>
        <v>B1</v>
      </c>
      <c r="BA353" s="98" t="str">
        <f>VLOOKUP(B353,Classification!A:D,4,0)</f>
        <v>Parathyroidhormone</v>
      </c>
      <c r="BB353" s="36" t="b">
        <f t="shared" ref="BB353" si="2264"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109">
        <f t="shared" ref="BC353" si="2265">_xlfn.AGGREGATE(9,6,CH353:CS353)-_xlfn.AGGREGATE(9,6,BV353:CG353)+12</f>
        <v>267</v>
      </c>
      <c r="BD353" s="11" t="s">
        <v>1375</v>
      </c>
      <c r="BE353" s="9" t="s">
        <v>1291</v>
      </c>
      <c r="BF353" s="120">
        <v>4</v>
      </c>
      <c r="BG353" s="51" t="s">
        <v>1422</v>
      </c>
      <c r="BH353" s="51" t="s">
        <v>1422</v>
      </c>
      <c r="BJ353" s="111" t="s">
        <v>1287</v>
      </c>
      <c r="BK353" s="112" t="s">
        <v>1287</v>
      </c>
      <c r="BL353" s="112" t="s">
        <v>1287</v>
      </c>
      <c r="BM353" s="112" t="s">
        <v>1287</v>
      </c>
      <c r="BN353" s="112" t="s">
        <v>1287</v>
      </c>
      <c r="BO353" s="112" t="s">
        <v>1287</v>
      </c>
      <c r="BP353" s="112" t="s">
        <v>1287</v>
      </c>
      <c r="BQ353" s="112" t="s">
        <v>1287</v>
      </c>
      <c r="BR353" s="112" t="s">
        <v>1287</v>
      </c>
      <c r="BS353" s="112" t="s">
        <v>1287</v>
      </c>
      <c r="BT353" s="112" t="s">
        <v>1287</v>
      </c>
      <c r="BU353" s="112" t="s">
        <v>1287</v>
      </c>
      <c r="BV353" s="111">
        <f t="shared" ref="BV353" si="2266">E353</f>
        <v>173</v>
      </c>
      <c r="BW353" s="113">
        <f t="shared" ref="BW353" si="2267">I353</f>
        <v>213</v>
      </c>
      <c r="BX353" s="114">
        <f t="shared" ref="BX353" si="2268">M353</f>
        <v>217</v>
      </c>
      <c r="BY353" s="113" t="str">
        <f t="shared" ref="BY353" si="2269">Q353</f>
        <v>-</v>
      </c>
      <c r="BZ353" s="114">
        <f t="shared" ref="BZ353" si="2270">U353</f>
        <v>273</v>
      </c>
      <c r="CA353" s="113" t="str">
        <f t="shared" ref="CA353" si="2271">Y353</f>
        <v>-</v>
      </c>
      <c r="CB353" s="114">
        <f t="shared" ref="CB353" si="2272">AC353</f>
        <v>316</v>
      </c>
      <c r="CC353" s="113">
        <f t="shared" ref="CC353" si="2273">AG353</f>
        <v>351</v>
      </c>
      <c r="CD353" s="114">
        <f t="shared" ref="CD353" si="2274">AK353</f>
        <v>357</v>
      </c>
      <c r="CE353" s="113">
        <f t="shared" ref="CE353" si="2275">AO353</f>
        <v>399</v>
      </c>
      <c r="CF353" s="114">
        <f t="shared" ref="CF353" si="2276">AS353</f>
        <v>434</v>
      </c>
      <c r="CG353" s="113">
        <f t="shared" ref="CG353" si="2277">AW353</f>
        <v>463</v>
      </c>
      <c r="CH353" s="111">
        <f t="shared" ref="CH353" si="2278">G353</f>
        <v>212</v>
      </c>
      <c r="CI353" s="113">
        <f t="shared" ref="CI353" si="2279">K353</f>
        <v>216</v>
      </c>
      <c r="CJ353" s="114">
        <f t="shared" ref="CJ353" si="2280">O353</f>
        <v>250</v>
      </c>
      <c r="CK353" s="114" t="str">
        <f t="shared" ref="CK353" si="2281">S353</f>
        <v>-</v>
      </c>
      <c r="CL353" s="114">
        <f t="shared" ref="CL353" si="2282">W353</f>
        <v>311</v>
      </c>
      <c r="CM353" s="114" t="str">
        <f t="shared" ref="CM353" si="2283">AA353</f>
        <v>-</v>
      </c>
      <c r="CN353" s="114">
        <f t="shared" ref="CN353" si="2284">AE353</f>
        <v>347</v>
      </c>
      <c r="CO353" s="114">
        <f t="shared" ref="CO353" si="2285">AI353</f>
        <v>353</v>
      </c>
      <c r="CP353" s="114">
        <f t="shared" ref="CP353" si="2286">AM353</f>
        <v>394</v>
      </c>
      <c r="CQ353" s="114">
        <f t="shared" ref="CQ353" si="2287">AQ353</f>
        <v>424</v>
      </c>
      <c r="CR353" s="114">
        <f t="shared" ref="CR353" si="2288">AU353</f>
        <v>462</v>
      </c>
      <c r="CS353" s="114">
        <f t="shared" ref="CS353" si="2289">AY353</f>
        <v>482</v>
      </c>
      <c r="CT353" s="109">
        <f t="shared" ref="CT353" si="2290">M353-K353</f>
        <v>1</v>
      </c>
    </row>
    <row r="354" spans="1:1030" x14ac:dyDescent="0.2">
      <c r="A354" s="3" t="str">
        <f t="shared" si="2121"/>
        <v>grm1_human__wt</v>
      </c>
      <c r="B354" s="3" t="s">
        <v>40</v>
      </c>
      <c r="C354" s="3" t="s">
        <v>100</v>
      </c>
      <c r="D354" s="3" t="str">
        <f>IFERROR(MID(VLOOKUP($B354,Seqs!$A:$B,2,0),E354,1),"")</f>
        <v>I</v>
      </c>
      <c r="E354" s="3">
        <v>591</v>
      </c>
      <c r="F354" s="3" t="str">
        <f>IFERROR(MID(VLOOKUP($B354,Seqs!$A:$B,2,0),G354,1),"")</f>
        <v>Y</v>
      </c>
      <c r="G354" s="3">
        <v>617</v>
      </c>
      <c r="H354" s="3" t="str">
        <f>IFERROR(MID(VLOOKUP($B354,Seqs!$A:$B,2,0),I354,1),"")</f>
        <v>T</v>
      </c>
      <c r="I354" s="23">
        <v>620</v>
      </c>
      <c r="J354" s="3" t="str">
        <f>IFERROR(MID(VLOOKUP($B354,Seqs!$A:$B,2,0),K354,1),"")</f>
        <v>S</v>
      </c>
      <c r="K354" s="23">
        <v>626</v>
      </c>
      <c r="L354" s="3" t="str">
        <f>IFERROR(MID(VLOOKUP($B354,Seqs!$A:$B,2,0),M354,1),"")</f>
        <v>S</v>
      </c>
      <c r="M354" s="3">
        <v>627</v>
      </c>
      <c r="N354" s="3" t="str">
        <f>IFERROR(MID(VLOOKUP($B354,Seqs!$A:$B,2,0),O354,1),"")</f>
        <v>I</v>
      </c>
      <c r="O354" s="3">
        <v>649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T</v>
      </c>
      <c r="U354" s="3">
        <v>654</v>
      </c>
      <c r="V354" s="3" t="str">
        <f>IFERROR(MID(VLOOKUP($B354,Seqs!$A:$B,2,0),W354,1),"")</f>
        <v>L</v>
      </c>
      <c r="W354" s="3">
        <v>686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S</v>
      </c>
      <c r="AC354" s="3">
        <v>702</v>
      </c>
      <c r="AD354" s="3" t="str">
        <f>IFERROR(MID(VLOOKUP($B354,Seqs!$A:$B,2,0),AE354,1),"")</f>
        <v>E</v>
      </c>
      <c r="AE354" s="3">
        <v>728</v>
      </c>
      <c r="AF354" s="3" t="str">
        <f>IFERROR(MID(VLOOKUP($B354,Seqs!$A:$B,2,0),AG354,1),"")</f>
        <v>C</v>
      </c>
      <c r="AG354" s="3">
        <v>746</v>
      </c>
      <c r="AH354" s="3" t="str">
        <f>IFERROR(MID(VLOOKUP($B354,Seqs!$A:$B,2,0),AI354,1),"")</f>
        <v>T</v>
      </c>
      <c r="AI354" s="3">
        <v>748</v>
      </c>
      <c r="AJ354" s="3" t="str">
        <f>IFERROR(MID(VLOOKUP($B354,Seqs!$A:$B,2,0),AK354,1),"")</f>
        <v>S</v>
      </c>
      <c r="AK354" s="3">
        <v>749</v>
      </c>
      <c r="AL354" s="3" t="str">
        <f>IFERROR(MID(VLOOKUP($B354,Seqs!$A:$B,2,0),AM354,1),"")</f>
        <v>T</v>
      </c>
      <c r="AM354" s="3">
        <v>774</v>
      </c>
      <c r="AN354" s="3" t="str">
        <f>IFERROR(MID(VLOOKUP($B354,Seqs!$A:$B,2,0),AO354,1),"")</f>
        <v>E</v>
      </c>
      <c r="AO354" s="3">
        <v>783</v>
      </c>
      <c r="AP354" s="3" t="str">
        <f>IFERROR(MID(VLOOKUP($B354,Seqs!$A:$B,2,0),AQ354,1),"")</f>
        <v>G</v>
      </c>
      <c r="AQ354" s="3">
        <v>807</v>
      </c>
      <c r="AR354" s="3" t="str">
        <f>IFERROR(MID(VLOOKUP($B354,Seqs!$A:$B,2,0),AS354,1),"")</f>
        <v>Y</v>
      </c>
      <c r="AS354" s="3">
        <v>810</v>
      </c>
      <c r="AT354" s="3" t="str">
        <f>IFERROR(MID(VLOOKUP($B354,Seqs!$A:$B,2,0),AU354,1),"")</f>
        <v>K</v>
      </c>
      <c r="AU354" s="3">
        <v>841</v>
      </c>
      <c r="AV354" s="3" t="str">
        <f>IFERROR(MID(VLOOKUP($B354,Seqs!$A:$B,2,0),AW354,1),"")</f>
        <v>P</v>
      </c>
      <c r="AW354" s="3">
        <v>842</v>
      </c>
      <c r="AX354" s="3" t="str">
        <f>IFERROR(MID(VLOOKUP($B354,Seqs!$A:$B,2,0),AY354,1),"")</f>
        <v>S</v>
      </c>
      <c r="AY354" s="3">
        <v>853</v>
      </c>
      <c r="AZ354" s="77" t="str">
        <f>VLOOKUP(B354,Classification!A:D,2,0)</f>
        <v>C</v>
      </c>
      <c r="BA354" s="94" t="str">
        <f>VLOOKUP(B354,Classification!A:D,4,0)</f>
        <v>Metabotropicglutamate</v>
      </c>
      <c r="BB354" s="27" t="b">
        <f t="shared" si="2122"/>
        <v>1</v>
      </c>
      <c r="BC354" s="23">
        <f t="shared" si="2095"/>
        <v>217</v>
      </c>
      <c r="BD354" s="56" t="s">
        <v>23</v>
      </c>
      <c r="BE354" s="3" t="s">
        <v>23</v>
      </c>
      <c r="BF354" s="119" t="s">
        <v>23</v>
      </c>
      <c r="BG354" s="49" t="s">
        <v>1372</v>
      </c>
      <c r="BH354" s="49" t="s">
        <v>1377</v>
      </c>
      <c r="BI354" s="3" t="s">
        <v>1163</v>
      </c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2096"/>
        <v>591</v>
      </c>
      <c r="BW354" s="71">
        <f t="shared" si="2097"/>
        <v>620</v>
      </c>
      <c r="BX354" s="72">
        <f t="shared" si="2098"/>
        <v>627</v>
      </c>
      <c r="BY354" s="71" t="str">
        <f t="shared" si="2099"/>
        <v>-</v>
      </c>
      <c r="BZ354" s="72">
        <f t="shared" si="2100"/>
        <v>654</v>
      </c>
      <c r="CA354" s="71" t="str">
        <f t="shared" si="2101"/>
        <v>-</v>
      </c>
      <c r="CB354" s="72">
        <f t="shared" si="2102"/>
        <v>702</v>
      </c>
      <c r="CC354" s="71">
        <f t="shared" si="2103"/>
        <v>746</v>
      </c>
      <c r="CD354" s="72">
        <f t="shared" si="2104"/>
        <v>749</v>
      </c>
      <c r="CE354" s="71">
        <f t="shared" si="2105"/>
        <v>783</v>
      </c>
      <c r="CF354" s="72">
        <f t="shared" si="2106"/>
        <v>810</v>
      </c>
      <c r="CG354" s="71">
        <f t="shared" si="2107"/>
        <v>842</v>
      </c>
      <c r="CH354" s="70">
        <f t="shared" si="2108"/>
        <v>617</v>
      </c>
      <c r="CI354" s="71">
        <f t="shared" si="2109"/>
        <v>626</v>
      </c>
      <c r="CJ354" s="72">
        <f t="shared" si="2110"/>
        <v>649</v>
      </c>
      <c r="CK354" s="72" t="str">
        <f t="shared" si="2111"/>
        <v>-</v>
      </c>
      <c r="CL354" s="72">
        <f t="shared" si="2112"/>
        <v>686</v>
      </c>
      <c r="CM354" s="72" t="str">
        <f t="shared" si="2113"/>
        <v>-</v>
      </c>
      <c r="CN354" s="72">
        <f t="shared" si="2114"/>
        <v>728</v>
      </c>
      <c r="CO354" s="72">
        <f t="shared" si="2115"/>
        <v>748</v>
      </c>
      <c r="CP354" s="72">
        <f t="shared" si="2116"/>
        <v>774</v>
      </c>
      <c r="CQ354" s="72">
        <f t="shared" si="2117"/>
        <v>807</v>
      </c>
      <c r="CR354" s="72">
        <f t="shared" si="2118"/>
        <v>841</v>
      </c>
      <c r="CS354" s="72">
        <f t="shared" si="2119"/>
        <v>853</v>
      </c>
      <c r="CT354" s="23">
        <f t="shared" si="2120"/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2121"/>
        <v>grm1_human_4OR2</v>
      </c>
      <c r="B355" s="3" t="s">
        <v>40</v>
      </c>
      <c r="C355" s="3" t="s">
        <v>96</v>
      </c>
      <c r="D355" s="3" t="str">
        <f>IFERROR(MID(VLOOKUP($B355,Seqs!$A:$B,2,0),E355,1),"")</f>
        <v>I</v>
      </c>
      <c r="E355" s="3">
        <v>591</v>
      </c>
      <c r="F355" s="3" t="str">
        <f>IFERROR(MID(VLOOKUP($B355,Seqs!$A:$B,2,0),G355,1),"")</f>
        <v>Y</v>
      </c>
      <c r="G355" s="3">
        <v>617</v>
      </c>
      <c r="H355" s="3" t="str">
        <f>IFERROR(MID(VLOOKUP($B355,Seqs!$A:$B,2,0),I355,1),"")</f>
        <v>T</v>
      </c>
      <c r="I355" s="23">
        <v>620</v>
      </c>
      <c r="J355" s="3" t="str">
        <f>IFERROR(MID(VLOOKUP($B355,Seqs!$A:$B,2,0),K355,1),"")</f>
        <v>S</v>
      </c>
      <c r="K355" s="23">
        <v>626</v>
      </c>
      <c r="L355" s="3" t="str">
        <f>IFERROR(MID(VLOOKUP($B355,Seqs!$A:$B,2,0),M355,1),"")</f>
        <v>S</v>
      </c>
      <c r="M355" s="3">
        <v>627</v>
      </c>
      <c r="N355" s="3" t="str">
        <f>IFERROR(MID(VLOOKUP($B355,Seqs!$A:$B,2,0),O355,1),"")</f>
        <v>I</v>
      </c>
      <c r="O355" s="3">
        <v>649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T</v>
      </c>
      <c r="U355" s="3">
        <v>654</v>
      </c>
      <c r="V355" s="3" t="str">
        <f>IFERROR(MID(VLOOKUP($B355,Seqs!$A:$B,2,0),W355,1),"")</f>
        <v>L</v>
      </c>
      <c r="W355" s="3">
        <v>686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S</v>
      </c>
      <c r="AC355" s="9">
        <v>702</v>
      </c>
      <c r="AD355" s="3" t="str">
        <f>IFERROR(MID(VLOOKUP($B355,Seqs!$A:$B,2,0),AE355,1),"")</f>
        <v>E</v>
      </c>
      <c r="AE355" s="3">
        <v>728</v>
      </c>
      <c r="AF355" s="3" t="str">
        <f>IFERROR(MID(VLOOKUP($B355,Seqs!$A:$B,2,0),AG355,1),"")</f>
        <v>C</v>
      </c>
      <c r="AG355" s="3">
        <v>746</v>
      </c>
      <c r="AH355" s="3" t="str">
        <f>IFERROR(MID(VLOOKUP($B355,Seqs!$A:$B,2,0),AI355,1),"")</f>
        <v>T</v>
      </c>
      <c r="AI355" s="3">
        <v>748</v>
      </c>
      <c r="AJ355" s="3" t="str">
        <f>IFERROR(MID(VLOOKUP($B355,Seqs!$A:$B,2,0),AK355,1),"")</f>
        <v>S</v>
      </c>
      <c r="AK355" s="105">
        <v>749</v>
      </c>
      <c r="AL355" s="3" t="str">
        <f>IFERROR(MID(VLOOKUP($B355,Seqs!$A:$B,2,0),AM355,1),"")</f>
        <v>T</v>
      </c>
      <c r="AM355" s="3">
        <v>774</v>
      </c>
      <c r="AN355" s="3" t="str">
        <f>IFERROR(MID(VLOOKUP($B355,Seqs!$A:$B,2,0),AO355,1),"")</f>
        <v>E</v>
      </c>
      <c r="AO355" s="3">
        <v>783</v>
      </c>
      <c r="AP355" s="3" t="str">
        <f>IFERROR(MID(VLOOKUP($B355,Seqs!$A:$B,2,0),AQ355,1),"")</f>
        <v>G</v>
      </c>
      <c r="AQ355" s="3">
        <v>807</v>
      </c>
      <c r="AR355" s="3" t="str">
        <f>IFERROR(MID(VLOOKUP($B355,Seqs!$A:$B,2,0),AS355,1),"")</f>
        <v>Y</v>
      </c>
      <c r="AS355" s="105">
        <v>810</v>
      </c>
      <c r="AT355" s="3" t="str">
        <f>IFERROR(MID(VLOOKUP($B355,Seqs!$A:$B,2,0),AU355,1),"")</f>
        <v>K</v>
      </c>
      <c r="AU355" s="3">
        <v>841</v>
      </c>
      <c r="AV355" s="3" t="str">
        <f>IFERROR(MID(VLOOKUP($B355,Seqs!$A:$B,2,0),AW355,1),"")</f>
        <v/>
      </c>
      <c r="AW355" s="3" t="s">
        <v>23</v>
      </c>
      <c r="AX355" s="3" t="str">
        <f>IFERROR(MID(VLOOKUP($B355,Seqs!$A:$B,2,0),AY355,1),"")</f>
        <v/>
      </c>
      <c r="AY355" s="3" t="s">
        <v>23</v>
      </c>
      <c r="AZ355" s="77" t="str">
        <f>VLOOKUP(B355,Classification!A:D,2,0)</f>
        <v>C</v>
      </c>
      <c r="BA355" s="94" t="str">
        <f>VLOOKUP(B355,Classification!A:D,4,0)</f>
        <v>Metabotropicglutamate</v>
      </c>
      <c r="BB355" s="27" t="b">
        <f t="shared" si="2122"/>
        <v>1</v>
      </c>
      <c r="BC355" s="23">
        <f t="shared" si="2095"/>
        <v>206</v>
      </c>
      <c r="BD355" s="2" t="s">
        <v>1376</v>
      </c>
      <c r="BE355" s="3" t="s">
        <v>1374</v>
      </c>
      <c r="BF355" s="119">
        <v>2.8</v>
      </c>
      <c r="BG355" s="49" t="s">
        <v>1377</v>
      </c>
      <c r="BH355" s="49" t="s">
        <v>1377</v>
      </c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2096"/>
        <v>591</v>
      </c>
      <c r="BW355" s="71">
        <f t="shared" si="2097"/>
        <v>620</v>
      </c>
      <c r="BX355" s="72">
        <f t="shared" si="2098"/>
        <v>627</v>
      </c>
      <c r="BY355" s="71" t="str">
        <f t="shared" si="2099"/>
        <v>-</v>
      </c>
      <c r="BZ355" s="72">
        <f t="shared" si="2100"/>
        <v>654</v>
      </c>
      <c r="CA355" s="71" t="str">
        <f t="shared" si="2101"/>
        <v>-</v>
      </c>
      <c r="CB355" s="72">
        <f t="shared" si="2102"/>
        <v>702</v>
      </c>
      <c r="CC355" s="71">
        <f t="shared" si="2103"/>
        <v>746</v>
      </c>
      <c r="CD355" s="72">
        <f t="shared" si="2104"/>
        <v>749</v>
      </c>
      <c r="CE355" s="71">
        <f t="shared" si="2105"/>
        <v>783</v>
      </c>
      <c r="CF355" s="72">
        <f t="shared" si="2106"/>
        <v>810</v>
      </c>
      <c r="CG355" s="71" t="str">
        <f t="shared" si="2107"/>
        <v>-</v>
      </c>
      <c r="CH355" s="70">
        <f t="shared" si="2108"/>
        <v>617</v>
      </c>
      <c r="CI355" s="71">
        <f t="shared" si="2109"/>
        <v>626</v>
      </c>
      <c r="CJ355" s="72">
        <f t="shared" si="2110"/>
        <v>649</v>
      </c>
      <c r="CK355" s="72" t="str">
        <f t="shared" si="2111"/>
        <v>-</v>
      </c>
      <c r="CL355" s="72">
        <f t="shared" si="2112"/>
        <v>686</v>
      </c>
      <c r="CM355" s="72" t="str">
        <f t="shared" si="2113"/>
        <v>-</v>
      </c>
      <c r="CN355" s="72">
        <f t="shared" si="2114"/>
        <v>728</v>
      </c>
      <c r="CO355" s="72">
        <f t="shared" si="2115"/>
        <v>748</v>
      </c>
      <c r="CP355" s="72">
        <f t="shared" si="2116"/>
        <v>774</v>
      </c>
      <c r="CQ355" s="72">
        <f t="shared" si="2117"/>
        <v>807</v>
      </c>
      <c r="CR355" s="72">
        <f t="shared" si="2118"/>
        <v>841</v>
      </c>
      <c r="CS355" s="72" t="str">
        <f t="shared" si="2119"/>
        <v>-</v>
      </c>
      <c r="CT355" s="23">
        <f t="shared" si="2120"/>
        <v>1</v>
      </c>
    </row>
    <row r="356" spans="1:1030" x14ac:dyDescent="0.2">
      <c r="A356" s="3" t="str">
        <f t="shared" si="2121"/>
        <v>grm5_human__wt</v>
      </c>
      <c r="B356" s="3" t="s">
        <v>41</v>
      </c>
      <c r="C356" s="3" t="s">
        <v>100</v>
      </c>
      <c r="D356" s="3" t="str">
        <f>IFERROR(MID(VLOOKUP($B356,Seqs!$A:$B,2,0),E356,1),"")</f>
        <v>P</v>
      </c>
      <c r="E356" s="3">
        <v>578</v>
      </c>
      <c r="F356" s="3" t="str">
        <f>IFERROR(MID(VLOOKUP($B356,Seqs!$A:$B,2,0),G356,1),"")</f>
        <v>Y</v>
      </c>
      <c r="G356" s="3">
        <v>604</v>
      </c>
      <c r="H356" s="3" t="str">
        <f>IFERROR(MID(VLOOKUP($B356,Seqs!$A:$B,2,0),I356,1),"")</f>
        <v>T</v>
      </c>
      <c r="I356" s="23">
        <v>607</v>
      </c>
      <c r="J356" s="3" t="str">
        <f>IFERROR(MID(VLOOKUP($B356,Seqs!$A:$B,2,0),K356,1),"")</f>
        <v>S</v>
      </c>
      <c r="K356" s="23">
        <v>613</v>
      </c>
      <c r="L356" s="3" t="str">
        <f>IFERROR(MID(VLOOKUP($B356,Seqs!$A:$B,2,0),M356,1),"")</f>
        <v>S</v>
      </c>
      <c r="M356" s="3">
        <v>614</v>
      </c>
      <c r="N356" s="3" t="str">
        <f>IFERROR(MID(VLOOKUP($B356,Seqs!$A:$B,2,0),O356,1),"")</f>
        <v>I</v>
      </c>
      <c r="O356" s="3">
        <v>636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K</v>
      </c>
      <c r="U356" s="105">
        <v>640</v>
      </c>
      <c r="V356" s="3" t="str">
        <f>IFERROR(MID(VLOOKUP($B356,Seqs!$A:$B,2,0),W356,1),"")</f>
        <v>L</v>
      </c>
      <c r="W356" s="3">
        <v>673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S</v>
      </c>
      <c r="AC356" s="9">
        <v>689</v>
      </c>
      <c r="AD356" s="3" t="str">
        <f>IFERROR(MID(VLOOKUP($B356,Seqs!$A:$B,2,0),AE356,1),"")</f>
        <v>E</v>
      </c>
      <c r="AE356" s="3">
        <v>715</v>
      </c>
      <c r="AF356" s="3" t="str">
        <f>IFERROR(MID(VLOOKUP($B356,Seqs!$A:$B,2,0),AG356,1),"")</f>
        <v>C</v>
      </c>
      <c r="AG356" s="3">
        <v>733</v>
      </c>
      <c r="AH356" s="3" t="str">
        <f>IFERROR(MID(VLOOKUP($B356,Seqs!$A:$B,2,0),AI356,1),"")</f>
        <v>T</v>
      </c>
      <c r="AI356" s="3">
        <v>735</v>
      </c>
      <c r="AJ356" s="3" t="str">
        <f>IFERROR(MID(VLOOKUP($B356,Seqs!$A:$B,2,0),AK356,1),"")</f>
        <v>T</v>
      </c>
      <c r="AK356" s="105">
        <v>736</v>
      </c>
      <c r="AL356" s="3" t="str">
        <f>IFERROR(MID(VLOOKUP($B356,Seqs!$A:$B,2,0),AM356,1),"")</f>
        <v>T</v>
      </c>
      <c r="AM356" s="3">
        <v>761</v>
      </c>
      <c r="AN356" s="3" t="str">
        <f>IFERROR(MID(VLOOKUP($B356,Seqs!$A:$B,2,0),AO356,1),"")</f>
        <v>E</v>
      </c>
      <c r="AO356" s="3">
        <v>770</v>
      </c>
      <c r="AP356" s="3" t="str">
        <f>IFERROR(MID(VLOOKUP($B356,Seqs!$A:$B,2,0),AQ356,1),"")</f>
        <v>G</v>
      </c>
      <c r="AQ356" s="3">
        <v>794</v>
      </c>
      <c r="AR356" s="3" t="str">
        <f>IFERROR(MID(VLOOKUP($B356,Seqs!$A:$B,2,0),AS356,1),"")</f>
        <v>Y</v>
      </c>
      <c r="AS356" s="105">
        <v>797</v>
      </c>
      <c r="AT356" s="3" t="str">
        <f>IFERROR(MID(VLOOKUP($B356,Seqs!$A:$B,2,0),AU356,1),"")</f>
        <v>K</v>
      </c>
      <c r="AU356" s="3">
        <v>828</v>
      </c>
      <c r="AV356" s="3" t="str">
        <f>IFERROR(MID(VLOOKUP($B356,Seqs!$A:$B,2,0),AW356,1),"")</f>
        <v>P</v>
      </c>
      <c r="AW356" s="3">
        <v>829</v>
      </c>
      <c r="AX356" s="3" t="str">
        <f>IFERROR(MID(VLOOKUP($B356,Seqs!$A:$B,2,0),AY356,1),"")</f>
        <v>S</v>
      </c>
      <c r="AY356" s="3">
        <v>840</v>
      </c>
      <c r="AZ356" s="77" t="str">
        <f>VLOOKUP(B356,Classification!A:D,2,0)</f>
        <v>C</v>
      </c>
      <c r="BA356" s="94" t="str">
        <f>VLOOKUP(B356,Classification!A:D,4,0)</f>
        <v>Metabotropicglutamate</v>
      </c>
      <c r="BB356" s="27" t="b">
        <f t="shared" si="2122"/>
        <v>1</v>
      </c>
      <c r="BC356" s="23">
        <f t="shared" si="2095"/>
        <v>218</v>
      </c>
      <c r="BD356" s="56" t="s">
        <v>23</v>
      </c>
      <c r="BE356" s="3" t="s">
        <v>23</v>
      </c>
      <c r="BF356" s="119" t="s">
        <v>23</v>
      </c>
      <c r="BG356" s="49" t="s">
        <v>1372</v>
      </c>
      <c r="BH356" s="49" t="s">
        <v>1377</v>
      </c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2096"/>
        <v>578</v>
      </c>
      <c r="BW356" s="71">
        <f t="shared" si="2097"/>
        <v>607</v>
      </c>
      <c r="BX356" s="72">
        <f t="shared" si="2098"/>
        <v>614</v>
      </c>
      <c r="BY356" s="71" t="str">
        <f t="shared" si="2099"/>
        <v>-</v>
      </c>
      <c r="BZ356" s="72">
        <f t="shared" si="2100"/>
        <v>640</v>
      </c>
      <c r="CA356" s="71" t="str">
        <f t="shared" si="2101"/>
        <v>-</v>
      </c>
      <c r="CB356" s="72">
        <f t="shared" si="2102"/>
        <v>689</v>
      </c>
      <c r="CC356" s="71">
        <f t="shared" si="2103"/>
        <v>733</v>
      </c>
      <c r="CD356" s="72">
        <f t="shared" si="2104"/>
        <v>736</v>
      </c>
      <c r="CE356" s="71">
        <f t="shared" si="2105"/>
        <v>770</v>
      </c>
      <c r="CF356" s="72">
        <f t="shared" si="2106"/>
        <v>797</v>
      </c>
      <c r="CG356" s="71">
        <f t="shared" si="2107"/>
        <v>829</v>
      </c>
      <c r="CH356" s="70">
        <f t="shared" si="2108"/>
        <v>604</v>
      </c>
      <c r="CI356" s="71">
        <f t="shared" si="2109"/>
        <v>613</v>
      </c>
      <c r="CJ356" s="72">
        <f t="shared" si="2110"/>
        <v>636</v>
      </c>
      <c r="CK356" s="72" t="str">
        <f t="shared" si="2111"/>
        <v>-</v>
      </c>
      <c r="CL356" s="72">
        <f t="shared" si="2112"/>
        <v>673</v>
      </c>
      <c r="CM356" s="72" t="str">
        <f t="shared" si="2113"/>
        <v>-</v>
      </c>
      <c r="CN356" s="72">
        <f t="shared" si="2114"/>
        <v>715</v>
      </c>
      <c r="CO356" s="72">
        <f t="shared" si="2115"/>
        <v>735</v>
      </c>
      <c r="CP356" s="72">
        <f t="shared" si="2116"/>
        <v>761</v>
      </c>
      <c r="CQ356" s="72">
        <f t="shared" si="2117"/>
        <v>794</v>
      </c>
      <c r="CR356" s="72">
        <f t="shared" si="2118"/>
        <v>828</v>
      </c>
      <c r="CS356" s="72">
        <f t="shared" si="2119"/>
        <v>840</v>
      </c>
      <c r="CT356" s="23">
        <f t="shared" si="2120"/>
        <v>1</v>
      </c>
    </row>
    <row r="357" spans="1:1030" x14ac:dyDescent="0.2">
      <c r="A357" s="3" t="str">
        <f t="shared" si="2121"/>
        <v>grm5_human_4OO9</v>
      </c>
      <c r="B357" s="3" t="s">
        <v>41</v>
      </c>
      <c r="C357" s="3" t="s">
        <v>57</v>
      </c>
      <c r="D357" s="3" t="str">
        <f>IFERROR(MID(VLOOKUP($B357,Seqs!$A:$B,2,0),E357,1),"")</f>
        <v>P</v>
      </c>
      <c r="E357" s="3">
        <v>578</v>
      </c>
      <c r="F357" s="3" t="str">
        <f>IFERROR(MID(VLOOKUP($B357,Seqs!$A:$B,2,0),G357,1),"")</f>
        <v>Y</v>
      </c>
      <c r="G357" s="3">
        <v>604</v>
      </c>
      <c r="H357" s="3" t="str">
        <f>IFERROR(MID(VLOOKUP($B357,Seqs!$A:$B,2,0),I357,1),"")</f>
        <v>T</v>
      </c>
      <c r="I357" s="23">
        <v>607</v>
      </c>
      <c r="J357" s="3" t="str">
        <f>IFERROR(MID(VLOOKUP($B357,Seqs!$A:$B,2,0),K357,1),"")</f>
        <v>S</v>
      </c>
      <c r="K357" s="23">
        <v>613</v>
      </c>
      <c r="L357" s="3" t="str">
        <f>IFERROR(MID(VLOOKUP($B357,Seqs!$A:$B,2,0),M357,1),"")</f>
        <v>S</v>
      </c>
      <c r="M357" s="3">
        <v>614</v>
      </c>
      <c r="N357" s="3" t="str">
        <f>IFERROR(MID(VLOOKUP($B357,Seqs!$A:$B,2,0),O357,1),"")</f>
        <v>I</v>
      </c>
      <c r="O357" s="3">
        <v>636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Q</v>
      </c>
      <c r="U357" s="3">
        <v>641</v>
      </c>
      <c r="V357" s="3" t="str">
        <f>IFERROR(MID(VLOOKUP($B357,Seqs!$A:$B,2,0),W357,1),"")</f>
        <v>K</v>
      </c>
      <c r="W357" s="3">
        <v>678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9">
        <v>689</v>
      </c>
      <c r="AD357" s="3" t="str">
        <f>IFERROR(MID(VLOOKUP($B357,Seqs!$A:$B,2,0),AE357,1),"")</f>
        <v>E</v>
      </c>
      <c r="AE357" s="3">
        <v>715</v>
      </c>
      <c r="AF357" s="3" t="str">
        <f>IFERROR(MID(VLOOKUP($B357,Seqs!$A:$B,2,0),AG357,1),"")</f>
        <v>C</v>
      </c>
      <c r="AG357" s="3">
        <v>733</v>
      </c>
      <c r="AH357" s="3" t="str">
        <f>IFERROR(MID(VLOOKUP($B357,Seqs!$A:$B,2,0),AI357,1),"")</f>
        <v>T</v>
      </c>
      <c r="AI357" s="3">
        <v>735</v>
      </c>
      <c r="AJ357" s="3" t="str">
        <f>IFERROR(MID(VLOOKUP($B357,Seqs!$A:$B,2,0),AK357,1),"")</f>
        <v>N</v>
      </c>
      <c r="AK357" s="3">
        <v>737</v>
      </c>
      <c r="AL357" s="3" t="str">
        <f>IFERROR(MID(VLOOKUP($B357,Seqs!$A:$B,2,0),AM357,1),"")</f>
        <v>T</v>
      </c>
      <c r="AM357" s="3">
        <v>761</v>
      </c>
      <c r="AN357" s="3" t="str">
        <f>IFERROR(MID(VLOOKUP($B357,Seqs!$A:$B,2,0),AO357,1),"")</f>
        <v>E</v>
      </c>
      <c r="AO357" s="3">
        <v>770</v>
      </c>
      <c r="AP357" s="3" t="str">
        <f>IFERROR(MID(VLOOKUP($B357,Seqs!$A:$B,2,0),AQ357,1),"")</f>
        <v>G</v>
      </c>
      <c r="AQ357" s="3">
        <v>794</v>
      </c>
      <c r="AR357" s="3" t="str">
        <f>IFERROR(MID(VLOOKUP($B357,Seqs!$A:$B,2,0),AS357,1),"")</f>
        <v>Y</v>
      </c>
      <c r="AS357" s="105">
        <v>797</v>
      </c>
      <c r="AT357" s="3" t="str">
        <f>IFERROR(MID(VLOOKUP($B357,Seqs!$A:$B,2,0),AU357,1),"")</f>
        <v>K</v>
      </c>
      <c r="AU357" s="3">
        <v>828</v>
      </c>
      <c r="AV357" s="3" t="str">
        <f>IFERROR(MID(VLOOKUP($B357,Seqs!$A:$B,2,0),AW357,1),"")</f>
        <v>P</v>
      </c>
      <c r="AW357" s="3">
        <v>829</v>
      </c>
      <c r="AX357" s="3" t="str">
        <f>IFERROR(MID(VLOOKUP($B357,Seqs!$A:$B,2,0),AY357,1),"")</f>
        <v>N</v>
      </c>
      <c r="AY357" s="3">
        <v>832</v>
      </c>
      <c r="AZ357" s="77" t="str">
        <f>VLOOKUP(B357,Classification!A:D,2,0)</f>
        <v>C</v>
      </c>
      <c r="BA357" s="94" t="str">
        <f>VLOOKUP(B357,Classification!A:D,4,0)</f>
        <v>Metabotropicglutamate</v>
      </c>
      <c r="BB357" s="27" t="b">
        <f t="shared" si="2122"/>
        <v>1</v>
      </c>
      <c r="BC357" s="23">
        <f t="shared" si="2095"/>
        <v>213</v>
      </c>
      <c r="BD357" s="106" t="s">
        <v>1376</v>
      </c>
      <c r="BE357" s="3" t="s">
        <v>1374</v>
      </c>
      <c r="BF357" s="119">
        <v>2.6</v>
      </c>
      <c r="BG357" s="49" t="s">
        <v>1377</v>
      </c>
      <c r="BH357" s="49" t="s">
        <v>1377</v>
      </c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2096"/>
        <v>578</v>
      </c>
      <c r="BW357" s="71">
        <f t="shared" si="2097"/>
        <v>607</v>
      </c>
      <c r="BX357" s="72">
        <f t="shared" si="2098"/>
        <v>614</v>
      </c>
      <c r="BY357" s="71" t="str">
        <f t="shared" si="2099"/>
        <v>-</v>
      </c>
      <c r="BZ357" s="72">
        <f t="shared" si="2100"/>
        <v>641</v>
      </c>
      <c r="CA357" s="71" t="str">
        <f t="shared" si="2101"/>
        <v>-</v>
      </c>
      <c r="CB357" s="72">
        <f t="shared" si="2102"/>
        <v>689</v>
      </c>
      <c r="CC357" s="71">
        <f t="shared" si="2103"/>
        <v>733</v>
      </c>
      <c r="CD357" s="72">
        <f t="shared" si="2104"/>
        <v>737</v>
      </c>
      <c r="CE357" s="71">
        <f t="shared" si="2105"/>
        <v>770</v>
      </c>
      <c r="CF357" s="72">
        <f t="shared" si="2106"/>
        <v>797</v>
      </c>
      <c r="CG357" s="71">
        <f t="shared" si="2107"/>
        <v>829</v>
      </c>
      <c r="CH357" s="70">
        <f t="shared" si="2108"/>
        <v>604</v>
      </c>
      <c r="CI357" s="71">
        <f t="shared" si="2109"/>
        <v>613</v>
      </c>
      <c r="CJ357" s="72">
        <f t="shared" si="2110"/>
        <v>636</v>
      </c>
      <c r="CK357" s="72" t="str">
        <f t="shared" si="2111"/>
        <v>-</v>
      </c>
      <c r="CL357" s="72">
        <f t="shared" si="2112"/>
        <v>678</v>
      </c>
      <c r="CM357" s="72" t="str">
        <f t="shared" si="2113"/>
        <v>-</v>
      </c>
      <c r="CN357" s="72">
        <f t="shared" si="2114"/>
        <v>715</v>
      </c>
      <c r="CO357" s="72">
        <f t="shared" si="2115"/>
        <v>735</v>
      </c>
      <c r="CP357" s="72">
        <f t="shared" si="2116"/>
        <v>761</v>
      </c>
      <c r="CQ357" s="72">
        <f t="shared" si="2117"/>
        <v>794</v>
      </c>
      <c r="CR357" s="72">
        <f t="shared" si="2118"/>
        <v>828</v>
      </c>
      <c r="CS357" s="72">
        <f t="shared" si="2119"/>
        <v>832</v>
      </c>
      <c r="CT357" s="23">
        <f t="shared" si="2120"/>
        <v>1</v>
      </c>
    </row>
    <row r="358" spans="1:1030" x14ac:dyDescent="0.2">
      <c r="A358" s="3" t="str">
        <f t="shared" si="2121"/>
        <v>grm5_human_5CGC</v>
      </c>
      <c r="B358" s="3" t="s">
        <v>41</v>
      </c>
      <c r="C358" s="3" t="s">
        <v>58</v>
      </c>
      <c r="D358" s="3" t="str">
        <f>IFERROR(MID(VLOOKUP($B358,Seqs!$A:$B,2,0),E358,1),"")</f>
        <v>P</v>
      </c>
      <c r="E358" s="3">
        <v>578</v>
      </c>
      <c r="F358" s="3" t="str">
        <f>IFERROR(MID(VLOOKUP($B358,Seqs!$A:$B,2,0),G358,1),"")</f>
        <v>Y</v>
      </c>
      <c r="G358" s="3">
        <v>604</v>
      </c>
      <c r="H358" s="3" t="str">
        <f>IFERROR(MID(VLOOKUP($B358,Seqs!$A:$B,2,0),I358,1),"")</f>
        <v>T</v>
      </c>
      <c r="I358" s="23">
        <v>607</v>
      </c>
      <c r="J358" s="3" t="str">
        <f>IFERROR(MID(VLOOKUP($B358,Seqs!$A:$B,2,0),K358,1),"")</f>
        <v>S</v>
      </c>
      <c r="K358" s="23">
        <v>613</v>
      </c>
      <c r="L358" s="3" t="str">
        <f>IFERROR(MID(VLOOKUP($B358,Seqs!$A:$B,2,0),M358,1),"")</f>
        <v>S</v>
      </c>
      <c r="M358" s="3">
        <v>614</v>
      </c>
      <c r="N358" s="3" t="str">
        <f>IFERROR(MID(VLOOKUP($B358,Seqs!$A:$B,2,0),O358,1),"")</f>
        <v>I</v>
      </c>
      <c r="O358" s="3">
        <v>636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K</v>
      </c>
      <c r="U358" s="105">
        <v>640</v>
      </c>
      <c r="V358" s="3" t="str">
        <f>IFERROR(MID(VLOOKUP($B358,Seqs!$A:$B,2,0),W358,1),"")</f>
        <v>K</v>
      </c>
      <c r="W358" s="3">
        <v>678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S</v>
      </c>
      <c r="AC358" s="9">
        <v>689</v>
      </c>
      <c r="AD358" s="3" t="str">
        <f>IFERROR(MID(VLOOKUP($B358,Seqs!$A:$B,2,0),AE358,1),"")</f>
        <v>E</v>
      </c>
      <c r="AE358" s="3">
        <v>715</v>
      </c>
      <c r="AF358" s="3" t="str">
        <f>IFERROR(MID(VLOOKUP($B358,Seqs!$A:$B,2,0),AG358,1),"")</f>
        <v>C</v>
      </c>
      <c r="AG358" s="3">
        <v>733</v>
      </c>
      <c r="AH358" s="3" t="str">
        <f>IFERROR(MID(VLOOKUP($B358,Seqs!$A:$B,2,0),AI358,1),"")</f>
        <v>T</v>
      </c>
      <c r="AI358" s="3">
        <v>735</v>
      </c>
      <c r="AJ358" s="3" t="str">
        <f>IFERROR(MID(VLOOKUP($B358,Seqs!$A:$B,2,0),AK358,1),"")</f>
        <v>N</v>
      </c>
      <c r="AK358" s="3">
        <v>737</v>
      </c>
      <c r="AL358" s="3" t="str">
        <f>IFERROR(MID(VLOOKUP($B358,Seqs!$A:$B,2,0),AM358,1),"")</f>
        <v>T</v>
      </c>
      <c r="AM358" s="3">
        <v>761</v>
      </c>
      <c r="AN358" s="3" t="str">
        <f>IFERROR(MID(VLOOKUP($B358,Seqs!$A:$B,2,0),AO358,1),"")</f>
        <v>E</v>
      </c>
      <c r="AO358" s="3">
        <v>770</v>
      </c>
      <c r="AP358" s="3" t="str">
        <f>IFERROR(MID(VLOOKUP($B358,Seqs!$A:$B,2,0),AQ358,1),"")</f>
        <v>G</v>
      </c>
      <c r="AQ358" s="3">
        <v>794</v>
      </c>
      <c r="AR358" s="3" t="str">
        <f>IFERROR(MID(VLOOKUP($B358,Seqs!$A:$B,2,0),AS358,1),"")</f>
        <v>Y</v>
      </c>
      <c r="AS358" s="105">
        <v>797</v>
      </c>
      <c r="AT358" s="3" t="str">
        <f>IFERROR(MID(VLOOKUP($B358,Seqs!$A:$B,2,0),AU358,1),"")</f>
        <v>K</v>
      </c>
      <c r="AU358" s="3">
        <v>828</v>
      </c>
      <c r="AV358" s="3" t="str">
        <f>IFERROR(MID(VLOOKUP($B358,Seqs!$A:$B,2,0),AW358,1),"")</f>
        <v>P</v>
      </c>
      <c r="AW358" s="3">
        <v>829</v>
      </c>
      <c r="AX358" s="3" t="str">
        <f>IFERROR(MID(VLOOKUP($B358,Seqs!$A:$B,2,0),AY358,1),"")</f>
        <v>N</v>
      </c>
      <c r="AY358" s="3">
        <v>832</v>
      </c>
      <c r="AZ358" s="77" t="str">
        <f>VLOOKUP(B358,Classification!A:D,2,0)</f>
        <v>C</v>
      </c>
      <c r="BA358" s="94" t="str">
        <f>VLOOKUP(B358,Classification!A:D,4,0)</f>
        <v>Metabotropicglutamate</v>
      </c>
      <c r="BB358" s="27" t="b">
        <f t="shared" si="2122"/>
        <v>1</v>
      </c>
      <c r="BC358" s="23">
        <f t="shared" si="2095"/>
        <v>214</v>
      </c>
      <c r="BD358" s="4" t="s">
        <v>23</v>
      </c>
      <c r="BE358" s="3" t="s">
        <v>1374</v>
      </c>
      <c r="BF358" s="119">
        <v>3.1</v>
      </c>
      <c r="BG358" s="49" t="s">
        <v>1377</v>
      </c>
      <c r="BH358" s="49" t="s">
        <v>1377</v>
      </c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si="2096"/>
        <v>578</v>
      </c>
      <c r="BW358" s="71">
        <f t="shared" si="2097"/>
        <v>607</v>
      </c>
      <c r="BX358" s="72">
        <f t="shared" si="2098"/>
        <v>614</v>
      </c>
      <c r="BY358" s="71" t="str">
        <f t="shared" si="2099"/>
        <v>-</v>
      </c>
      <c r="BZ358" s="72">
        <f t="shared" si="2100"/>
        <v>640</v>
      </c>
      <c r="CA358" s="71" t="str">
        <f t="shared" si="2101"/>
        <v>-</v>
      </c>
      <c r="CB358" s="72">
        <f t="shared" si="2102"/>
        <v>689</v>
      </c>
      <c r="CC358" s="71">
        <f t="shared" si="2103"/>
        <v>733</v>
      </c>
      <c r="CD358" s="72">
        <f t="shared" si="2104"/>
        <v>737</v>
      </c>
      <c r="CE358" s="71">
        <f t="shared" si="2105"/>
        <v>770</v>
      </c>
      <c r="CF358" s="72">
        <f t="shared" si="2106"/>
        <v>797</v>
      </c>
      <c r="CG358" s="71">
        <f t="shared" si="2107"/>
        <v>829</v>
      </c>
      <c r="CH358" s="70">
        <f t="shared" si="2108"/>
        <v>604</v>
      </c>
      <c r="CI358" s="71">
        <f t="shared" si="2109"/>
        <v>613</v>
      </c>
      <c r="CJ358" s="72">
        <f t="shared" si="2110"/>
        <v>636</v>
      </c>
      <c r="CK358" s="72" t="str">
        <f t="shared" si="2111"/>
        <v>-</v>
      </c>
      <c r="CL358" s="72">
        <f t="shared" si="2112"/>
        <v>678</v>
      </c>
      <c r="CM358" s="72" t="str">
        <f t="shared" si="2113"/>
        <v>-</v>
      </c>
      <c r="CN358" s="72">
        <f t="shared" si="2114"/>
        <v>715</v>
      </c>
      <c r="CO358" s="72">
        <f t="shared" si="2115"/>
        <v>735</v>
      </c>
      <c r="CP358" s="72">
        <f t="shared" si="2116"/>
        <v>761</v>
      </c>
      <c r="CQ358" s="72">
        <f t="shared" si="2117"/>
        <v>794</v>
      </c>
      <c r="CR358" s="72">
        <f t="shared" si="2118"/>
        <v>828</v>
      </c>
      <c r="CS358" s="72">
        <f t="shared" si="2119"/>
        <v>832</v>
      </c>
      <c r="CT358" s="23">
        <f t="shared" si="2120"/>
        <v>1</v>
      </c>
    </row>
    <row r="359" spans="1:1030" x14ac:dyDescent="0.2">
      <c r="A359" s="3" t="str">
        <f t="shared" si="2121"/>
        <v>grm5_human_5CGD</v>
      </c>
      <c r="B359" s="3" t="s">
        <v>41</v>
      </c>
      <c r="C359" s="3" t="s">
        <v>59</v>
      </c>
      <c r="D359" s="3" t="str">
        <f>IFERROR(MID(VLOOKUP($B359,Seqs!$A:$B,2,0),E359,1),"")</f>
        <v>P</v>
      </c>
      <c r="E359" s="3">
        <v>578</v>
      </c>
      <c r="F359" s="3" t="str">
        <f>IFERROR(MID(VLOOKUP($B359,Seqs!$A:$B,2,0),G359,1),"")</f>
        <v>Y</v>
      </c>
      <c r="G359" s="3">
        <v>604</v>
      </c>
      <c r="H359" s="3" t="str">
        <f>IFERROR(MID(VLOOKUP($B359,Seqs!$A:$B,2,0),I359,1),"")</f>
        <v>T</v>
      </c>
      <c r="I359" s="23">
        <v>607</v>
      </c>
      <c r="J359" s="3" t="str">
        <f>IFERROR(MID(VLOOKUP($B359,Seqs!$A:$B,2,0),K359,1),"")</f>
        <v>S</v>
      </c>
      <c r="K359" s="23">
        <v>613</v>
      </c>
      <c r="L359" s="3" t="str">
        <f>IFERROR(MID(VLOOKUP($B359,Seqs!$A:$B,2,0),M359,1),"")</f>
        <v>S</v>
      </c>
      <c r="M359" s="3">
        <v>614</v>
      </c>
      <c r="N359" s="3" t="str">
        <f>IFERROR(MID(VLOOKUP($B359,Seqs!$A:$B,2,0),O359,1),"")</f>
        <v>I</v>
      </c>
      <c r="O359" s="3">
        <v>636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Q</v>
      </c>
      <c r="U359" s="3">
        <v>641</v>
      </c>
      <c r="V359" s="3" t="str">
        <f>IFERROR(MID(VLOOKUP($B359,Seqs!$A:$B,2,0),W359,1),"")</f>
        <v>K</v>
      </c>
      <c r="W359" s="3">
        <v>678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S</v>
      </c>
      <c r="AC359" s="9">
        <v>689</v>
      </c>
      <c r="AD359" s="3" t="str">
        <f>IFERROR(MID(VLOOKUP($B359,Seqs!$A:$B,2,0),AE359,1),"")</f>
        <v>E</v>
      </c>
      <c r="AE359" s="3">
        <v>715</v>
      </c>
      <c r="AF359" s="3" t="str">
        <f>IFERROR(MID(VLOOKUP($B359,Seqs!$A:$B,2,0),AG359,1),"")</f>
        <v>C</v>
      </c>
      <c r="AG359" s="3">
        <v>733</v>
      </c>
      <c r="AH359" s="3" t="str">
        <f>IFERROR(MID(VLOOKUP($B359,Seqs!$A:$B,2,0),AI359,1),"")</f>
        <v>T</v>
      </c>
      <c r="AI359" s="3">
        <v>735</v>
      </c>
      <c r="AJ359" s="3" t="str">
        <f>IFERROR(MID(VLOOKUP($B359,Seqs!$A:$B,2,0),AK359,1),"")</f>
        <v>N</v>
      </c>
      <c r="AK359" s="3">
        <v>737</v>
      </c>
      <c r="AL359" s="3" t="str">
        <f>IFERROR(MID(VLOOKUP($B359,Seqs!$A:$B,2,0),AM359,1),"")</f>
        <v>T</v>
      </c>
      <c r="AM359" s="3">
        <v>761</v>
      </c>
      <c r="AN359" s="3" t="str">
        <f>IFERROR(MID(VLOOKUP($B359,Seqs!$A:$B,2,0),AO359,1),"")</f>
        <v>E</v>
      </c>
      <c r="AO359" s="3">
        <v>770</v>
      </c>
      <c r="AP359" s="3" t="str">
        <f>IFERROR(MID(VLOOKUP($B359,Seqs!$A:$B,2,0),AQ359,1),"")</f>
        <v>G</v>
      </c>
      <c r="AQ359" s="3">
        <v>794</v>
      </c>
      <c r="AR359" s="3" t="str">
        <f>IFERROR(MID(VLOOKUP($B359,Seqs!$A:$B,2,0),AS359,1),"")</f>
        <v>Y</v>
      </c>
      <c r="AS359" s="105">
        <v>797</v>
      </c>
      <c r="AT359" s="3" t="str">
        <f>IFERROR(MID(VLOOKUP($B359,Seqs!$A:$B,2,0),AU359,1),"")</f>
        <v>K</v>
      </c>
      <c r="AU359" s="3">
        <v>828</v>
      </c>
      <c r="AV359" s="3" t="str">
        <f>IFERROR(MID(VLOOKUP($B359,Seqs!$A:$B,2,0),AW359,1),"")</f>
        <v>P</v>
      </c>
      <c r="AW359" s="3">
        <v>829</v>
      </c>
      <c r="AX359" s="3" t="str">
        <f>IFERROR(MID(VLOOKUP($B359,Seqs!$A:$B,2,0),AY359,1),"")</f>
        <v>R</v>
      </c>
      <c r="AY359" s="3">
        <v>831</v>
      </c>
      <c r="AZ359" s="77" t="str">
        <f>VLOOKUP(B359,Classification!A:D,2,0)</f>
        <v>C</v>
      </c>
      <c r="BA359" s="94" t="str">
        <f>VLOOKUP(B359,Classification!A:D,4,0)</f>
        <v>Metabotropicglutamate</v>
      </c>
      <c r="BB359" s="27" t="b">
        <f t="shared" si="2122"/>
        <v>1</v>
      </c>
      <c r="BC359" s="23">
        <f t="shared" si="2095"/>
        <v>212</v>
      </c>
      <c r="BD359" s="4" t="s">
        <v>23</v>
      </c>
      <c r="BE359" s="3" t="s">
        <v>1374</v>
      </c>
      <c r="BF359" s="119">
        <v>2.6</v>
      </c>
      <c r="BG359" s="49" t="s">
        <v>1377</v>
      </c>
      <c r="BH359" s="49" t="s">
        <v>1377</v>
      </c>
      <c r="BJ359" s="70" t="s">
        <v>1287</v>
      </c>
      <c r="BK359" s="57" t="s">
        <v>1287</v>
      </c>
      <c r="BL359" s="57" t="s">
        <v>1287</v>
      </c>
      <c r="BM359" s="57" t="s">
        <v>1287</v>
      </c>
      <c r="BN359" s="57" t="s">
        <v>1287</v>
      </c>
      <c r="BO359" s="57" t="s">
        <v>1287</v>
      </c>
      <c r="BP359" s="57" t="s">
        <v>1287</v>
      </c>
      <c r="BQ359" s="57" t="s">
        <v>1287</v>
      </c>
      <c r="BR359" s="57" t="s">
        <v>1287</v>
      </c>
      <c r="BS359" s="57" t="s">
        <v>1287</v>
      </c>
      <c r="BT359" s="57" t="s">
        <v>1287</v>
      </c>
      <c r="BU359" s="57" t="s">
        <v>1287</v>
      </c>
      <c r="BV359" s="70">
        <f t="shared" si="2096"/>
        <v>578</v>
      </c>
      <c r="BW359" s="71">
        <f t="shared" si="2097"/>
        <v>607</v>
      </c>
      <c r="BX359" s="72">
        <f t="shared" si="2098"/>
        <v>614</v>
      </c>
      <c r="BY359" s="71" t="str">
        <f t="shared" si="2099"/>
        <v>-</v>
      </c>
      <c r="BZ359" s="72">
        <f t="shared" si="2100"/>
        <v>641</v>
      </c>
      <c r="CA359" s="71" t="str">
        <f t="shared" si="2101"/>
        <v>-</v>
      </c>
      <c r="CB359" s="72">
        <f t="shared" si="2102"/>
        <v>689</v>
      </c>
      <c r="CC359" s="71">
        <f t="shared" si="2103"/>
        <v>733</v>
      </c>
      <c r="CD359" s="72">
        <f t="shared" si="2104"/>
        <v>737</v>
      </c>
      <c r="CE359" s="71">
        <f t="shared" si="2105"/>
        <v>770</v>
      </c>
      <c r="CF359" s="72">
        <f t="shared" si="2106"/>
        <v>797</v>
      </c>
      <c r="CG359" s="71">
        <f t="shared" si="2107"/>
        <v>829</v>
      </c>
      <c r="CH359" s="70">
        <f t="shared" si="2108"/>
        <v>604</v>
      </c>
      <c r="CI359" s="71">
        <f t="shared" si="2109"/>
        <v>613</v>
      </c>
      <c r="CJ359" s="72">
        <f t="shared" si="2110"/>
        <v>636</v>
      </c>
      <c r="CK359" s="72" t="str">
        <f t="shared" si="2111"/>
        <v>-</v>
      </c>
      <c r="CL359" s="72">
        <f t="shared" si="2112"/>
        <v>678</v>
      </c>
      <c r="CM359" s="72" t="str">
        <f t="shared" si="2113"/>
        <v>-</v>
      </c>
      <c r="CN359" s="72">
        <f t="shared" si="2114"/>
        <v>715</v>
      </c>
      <c r="CO359" s="72">
        <f t="shared" si="2115"/>
        <v>735</v>
      </c>
      <c r="CP359" s="72">
        <f t="shared" si="2116"/>
        <v>761</v>
      </c>
      <c r="CQ359" s="72">
        <f t="shared" si="2117"/>
        <v>794</v>
      </c>
      <c r="CR359" s="72">
        <f t="shared" si="2118"/>
        <v>828</v>
      </c>
      <c r="CS359" s="72">
        <f t="shared" si="2119"/>
        <v>831</v>
      </c>
      <c r="CT359" s="23">
        <f t="shared" si="2120"/>
        <v>1</v>
      </c>
      <c r="AMP359" s="3"/>
    </row>
    <row r="360" spans="1:1030" x14ac:dyDescent="0.2">
      <c r="A360" s="3" t="str">
        <f>CONCATENATE(B360,"_",C360)</f>
        <v>grm5_human_6FFH</v>
      </c>
      <c r="B360" s="3" t="s">
        <v>41</v>
      </c>
      <c r="C360" s="3" t="s">
        <v>1474</v>
      </c>
      <c r="D360" s="3" t="str">
        <f>IFERROR(MID(VLOOKUP($B360,Seqs!$A:$B,2,0),E360,1),"")</f>
        <v>P</v>
      </c>
      <c r="E360" s="3">
        <v>578</v>
      </c>
      <c r="F360" s="3" t="str">
        <f>IFERROR(MID(VLOOKUP($B360,Seqs!$A:$B,2,0),G360,1),"")</f>
        <v>Y</v>
      </c>
      <c r="G360" s="3">
        <v>604</v>
      </c>
      <c r="H360" s="3" t="str">
        <f>IFERROR(MID(VLOOKUP($B360,Seqs!$A:$B,2,0),I360,1),"")</f>
        <v>T</v>
      </c>
      <c r="I360" s="23">
        <v>607</v>
      </c>
      <c r="J360" s="3" t="str">
        <f>IFERROR(MID(VLOOKUP($B360,Seqs!$A:$B,2,0),K360,1),"")</f>
        <v>S</v>
      </c>
      <c r="K360" s="23">
        <v>613</v>
      </c>
      <c r="L360" s="3" t="str">
        <f>IFERROR(MID(VLOOKUP($B360,Seqs!$A:$B,2,0),M360,1),"")</f>
        <v>S</v>
      </c>
      <c r="M360" s="3">
        <v>614</v>
      </c>
      <c r="N360" s="3" t="str">
        <f>IFERROR(MID(VLOOKUP($B360,Seqs!$A:$B,2,0),O360,1),"")</f>
        <v>I</v>
      </c>
      <c r="O360" s="3">
        <v>636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K</v>
      </c>
      <c r="U360" s="3">
        <v>640</v>
      </c>
      <c r="V360" s="3" t="str">
        <f>IFERROR(MID(VLOOKUP($B360,Seqs!$A:$B,2,0),W360,1),"")</f>
        <v>K</v>
      </c>
      <c r="W360" s="3">
        <v>678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/>
      </c>
      <c r="AC360" s="3">
        <v>1689</v>
      </c>
      <c r="AD360" s="3" t="str">
        <f>IFERROR(MID(VLOOKUP($B360,Seqs!$A:$B,2,0),AE360,1),"")</f>
        <v/>
      </c>
      <c r="AE360" s="3">
        <v>1715</v>
      </c>
      <c r="AF360" s="3" t="str">
        <f>IFERROR(MID(VLOOKUP($B360,Seqs!$A:$B,2,0),AG360,1),"")</f>
        <v/>
      </c>
      <c r="AG360" s="3">
        <v>1733</v>
      </c>
      <c r="AH360" s="3" t="str">
        <f>IFERROR(MID(VLOOKUP($B360,Seqs!$A:$B,2,0),AI360,1),"")</f>
        <v/>
      </c>
      <c r="AI360" s="3">
        <v>1735</v>
      </c>
      <c r="AJ360" s="3" t="str">
        <f>IFERROR(MID(VLOOKUP($B360,Seqs!$A:$B,2,0),AK360,1),"")</f>
        <v/>
      </c>
      <c r="AK360" s="3">
        <v>1736</v>
      </c>
      <c r="AL360" s="3" t="str">
        <f>IFERROR(MID(VLOOKUP($B360,Seqs!$A:$B,2,0),AM360,1),"")</f>
        <v/>
      </c>
      <c r="AM360" s="3">
        <v>1761</v>
      </c>
      <c r="AN360" s="3" t="str">
        <f>IFERROR(MID(VLOOKUP($B360,Seqs!$A:$B,2,0),AO360,1),"")</f>
        <v/>
      </c>
      <c r="AO360" s="3">
        <v>1770</v>
      </c>
      <c r="AP360" s="3" t="str">
        <f>IFERROR(MID(VLOOKUP($B360,Seqs!$A:$B,2,0),AQ360,1),"")</f>
        <v/>
      </c>
      <c r="AQ360" s="3">
        <v>1794</v>
      </c>
      <c r="AR360" s="3" t="str">
        <f>IFERROR(MID(VLOOKUP($B360,Seqs!$A:$B,2,0),AS360,1),"")</f>
        <v/>
      </c>
      <c r="AS360" s="3">
        <v>1797</v>
      </c>
      <c r="AT360" s="3" t="str">
        <f>IFERROR(MID(VLOOKUP($B360,Seqs!$A:$B,2,0),AU360,1),"")</f>
        <v/>
      </c>
      <c r="AU360" s="3">
        <v>1828</v>
      </c>
      <c r="AV360" s="3" t="str">
        <f>IFERROR(MID(VLOOKUP($B360,Seqs!$A:$B,2,0),AW360,1),"")</f>
        <v/>
      </c>
      <c r="AW360" s="3">
        <v>1829</v>
      </c>
      <c r="AX360" s="3" t="str">
        <f>IFERROR(MID(VLOOKUP($B360,Seqs!$A:$B,2,0),AY360,1),"")</f>
        <v/>
      </c>
      <c r="AY360" s="3">
        <v>1832</v>
      </c>
      <c r="AZ360" s="77" t="str">
        <f>VLOOKUP(B360,Classification!A:D,2,0)</f>
        <v>C</v>
      </c>
      <c r="BA360" s="94" t="str">
        <f>VLOOKUP(B360,Classification!A:D,4,0)</f>
        <v>Metabotropicglutamate</v>
      </c>
      <c r="BB360" s="27" t="b">
        <f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>_xlfn.AGGREGATE(9,6,CH360:CS360)-_xlfn.AGGREGATE(9,6,BV360:CG360)+12</f>
        <v>215</v>
      </c>
      <c r="BD360" s="4" t="s">
        <v>23</v>
      </c>
      <c r="BE360" s="3" t="s">
        <v>1374</v>
      </c>
      <c r="BF360" s="119">
        <v>2.65</v>
      </c>
      <c r="BG360" s="49" t="s">
        <v>1</v>
      </c>
      <c r="BH360" s="49" t="s">
        <v>1</v>
      </c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>E360</f>
        <v>578</v>
      </c>
      <c r="BW360" s="71">
        <f>I360</f>
        <v>607</v>
      </c>
      <c r="BX360" s="72">
        <f>M360</f>
        <v>614</v>
      </c>
      <c r="BY360" s="71" t="str">
        <f>Q360</f>
        <v>-</v>
      </c>
      <c r="BZ360" s="72">
        <f>U360</f>
        <v>640</v>
      </c>
      <c r="CA360" s="71" t="str">
        <f>Y360</f>
        <v>-</v>
      </c>
      <c r="CB360" s="72">
        <f>AC360</f>
        <v>1689</v>
      </c>
      <c r="CC360" s="71">
        <f>AG360</f>
        <v>1733</v>
      </c>
      <c r="CD360" s="72">
        <f>AK360</f>
        <v>1736</v>
      </c>
      <c r="CE360" s="71">
        <f>AO360</f>
        <v>1770</v>
      </c>
      <c r="CF360" s="72">
        <f>AS360</f>
        <v>1797</v>
      </c>
      <c r="CG360" s="71">
        <f>AW360</f>
        <v>1829</v>
      </c>
      <c r="CH360" s="70">
        <f>G360</f>
        <v>604</v>
      </c>
      <c r="CI360" s="71">
        <f>K360</f>
        <v>613</v>
      </c>
      <c r="CJ360" s="72">
        <f>O360</f>
        <v>636</v>
      </c>
      <c r="CK360" s="72" t="str">
        <f>S360</f>
        <v>-</v>
      </c>
      <c r="CL360" s="72">
        <f>W360</f>
        <v>678</v>
      </c>
      <c r="CM360" s="72" t="str">
        <f>AA360</f>
        <v>-</v>
      </c>
      <c r="CN360" s="72">
        <f>AE360</f>
        <v>1715</v>
      </c>
      <c r="CO360" s="72">
        <f>AI360</f>
        <v>1735</v>
      </c>
      <c r="CP360" s="72">
        <f>AM360</f>
        <v>1761</v>
      </c>
      <c r="CQ360" s="72">
        <f>AQ360</f>
        <v>1794</v>
      </c>
      <c r="CR360" s="72">
        <f>AU360</f>
        <v>1828</v>
      </c>
      <c r="CS360" s="72">
        <f>AY360</f>
        <v>1832</v>
      </c>
      <c r="CT360" s="23">
        <f>M360-K360</f>
        <v>1</v>
      </c>
      <c r="AMP360" s="3"/>
    </row>
    <row r="361" spans="1:1030" x14ac:dyDescent="0.2">
      <c r="A361" s="3" t="str">
        <f>CONCATENATE(B361,"_",C361)</f>
        <v>grm5_human_6FFI</v>
      </c>
      <c r="B361" s="3" t="s">
        <v>41</v>
      </c>
      <c r="C361" s="3" t="s">
        <v>1475</v>
      </c>
      <c r="D361" s="3" t="str">
        <f>IFERROR(MID(VLOOKUP($B361,Seqs!$A:$B,2,0),E361,1),"")</f>
        <v>P</v>
      </c>
      <c r="E361" s="3">
        <v>578</v>
      </c>
      <c r="F361" s="3" t="str">
        <f>IFERROR(MID(VLOOKUP($B361,Seqs!$A:$B,2,0),G361,1),"")</f>
        <v>Y</v>
      </c>
      <c r="G361" s="3">
        <v>604</v>
      </c>
      <c r="H361" s="3" t="str">
        <f>IFERROR(MID(VLOOKUP($B361,Seqs!$A:$B,2,0),I361,1),"")</f>
        <v>T</v>
      </c>
      <c r="I361" s="23">
        <v>607</v>
      </c>
      <c r="J361" s="3" t="str">
        <f>IFERROR(MID(VLOOKUP($B361,Seqs!$A:$B,2,0),K361,1),"")</f>
        <v>S</v>
      </c>
      <c r="K361" s="23">
        <v>613</v>
      </c>
      <c r="L361" s="3" t="str">
        <f>IFERROR(MID(VLOOKUP($B361,Seqs!$A:$B,2,0),M361,1),"")</f>
        <v>S</v>
      </c>
      <c r="M361" s="3">
        <v>614</v>
      </c>
      <c r="N361" s="3" t="str">
        <f>IFERROR(MID(VLOOKUP($B361,Seqs!$A:$B,2,0),O361,1),"")</f>
        <v>I</v>
      </c>
      <c r="O361" s="3">
        <v>636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K</v>
      </c>
      <c r="U361" s="3">
        <v>640</v>
      </c>
      <c r="V361" s="3" t="str">
        <f>IFERROR(MID(VLOOKUP($B361,Seqs!$A:$B,2,0),W361,1),"")</f>
        <v>K</v>
      </c>
      <c r="W361" s="3">
        <v>678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D</v>
      </c>
      <c r="AC361" s="3">
        <v>849</v>
      </c>
      <c r="AD361" s="3" t="str">
        <f>IFERROR(MID(VLOOKUP($B361,Seqs!$A:$B,2,0),AE361,1),"")</f>
        <v>T</v>
      </c>
      <c r="AE361" s="3">
        <v>875</v>
      </c>
      <c r="AF361" s="3" t="str">
        <f>IFERROR(MID(VLOOKUP($B361,Seqs!$A:$B,2,0),AG361,1),"")</f>
        <v>F</v>
      </c>
      <c r="AG361" s="3">
        <v>893</v>
      </c>
      <c r="AH361" s="3" t="str">
        <f>IFERROR(MID(VLOOKUP($B361,Seqs!$A:$B,2,0),AI361,1),"")</f>
        <v>P</v>
      </c>
      <c r="AI361" s="3">
        <v>895</v>
      </c>
      <c r="AJ361" s="3" t="str">
        <f>IFERROR(MID(VLOOKUP($B361,Seqs!$A:$B,2,0),AK361,1),"")</f>
        <v>K</v>
      </c>
      <c r="AK361" s="3">
        <v>896</v>
      </c>
      <c r="AL361" s="3" t="str">
        <f>IFERROR(MID(VLOOKUP($B361,Seqs!$A:$B,2,0),AM361,1),"")</f>
        <v>E</v>
      </c>
      <c r="AM361" s="3">
        <v>921</v>
      </c>
      <c r="AN361" s="3" t="str">
        <f>IFERROR(MID(VLOOKUP($B361,Seqs!$A:$B,2,0),AO361,1),"")</f>
        <v>L</v>
      </c>
      <c r="AO361" s="3">
        <v>929</v>
      </c>
      <c r="AP361" s="3" t="str">
        <f>IFERROR(MID(VLOOKUP($B361,Seqs!$A:$B,2,0),AQ361,1),"")</f>
        <v>S</v>
      </c>
      <c r="AQ361" s="3">
        <v>955</v>
      </c>
      <c r="AR361" s="3" t="str">
        <f>IFERROR(MID(VLOOKUP($B361,Seqs!$A:$B,2,0),AS361,1),"")</f>
        <v>E</v>
      </c>
      <c r="AS361" s="3">
        <v>957</v>
      </c>
      <c r="AT361" s="3" t="str">
        <f>IFERROR(MID(VLOOKUP($B361,Seqs!$A:$B,2,0),AU361,1),"")</f>
        <v>G</v>
      </c>
      <c r="AU361" s="3">
        <v>988</v>
      </c>
      <c r="AV361" s="3" t="str">
        <f>IFERROR(MID(VLOOKUP($B361,Seqs!$A:$B,2,0),AW361,1),"")</f>
        <v>G</v>
      </c>
      <c r="AW361" s="3">
        <v>989</v>
      </c>
      <c r="AX361" s="3" t="str">
        <f>IFERROR(MID(VLOOKUP($B361,Seqs!$A:$B,2,0),AY361,1),"")</f>
        <v>S</v>
      </c>
      <c r="AY361" s="3">
        <v>992</v>
      </c>
      <c r="AZ361" s="77" t="str">
        <f>VLOOKUP(B361,Classification!A:D,2,0)</f>
        <v>C</v>
      </c>
      <c r="BA361" s="94" t="str">
        <f>VLOOKUP(B361,Classification!A:D,4,0)</f>
        <v>Metabotropicglutamate</v>
      </c>
      <c r="BB361" s="27" t="b">
        <f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>_xlfn.AGGREGATE(9,6,CH361:CS361)-_xlfn.AGGREGATE(9,6,BV361:CG361)+12</f>
        <v>217</v>
      </c>
      <c r="BD361" s="4" t="s">
        <v>23</v>
      </c>
      <c r="BE361" s="3" t="s">
        <v>1374</v>
      </c>
      <c r="BF361" s="119">
        <v>2.2000000000000002</v>
      </c>
      <c r="BG361" s="49" t="s">
        <v>1</v>
      </c>
      <c r="BH361" s="49" t="s">
        <v>1</v>
      </c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>E361</f>
        <v>578</v>
      </c>
      <c r="BW361" s="71">
        <f>I361</f>
        <v>607</v>
      </c>
      <c r="BX361" s="72">
        <f>M361</f>
        <v>614</v>
      </c>
      <c r="BY361" s="71" t="str">
        <f>Q361</f>
        <v>-</v>
      </c>
      <c r="BZ361" s="72">
        <f>U361</f>
        <v>640</v>
      </c>
      <c r="CA361" s="71" t="str">
        <f>Y361</f>
        <v>-</v>
      </c>
      <c r="CB361" s="72">
        <f>AC361</f>
        <v>849</v>
      </c>
      <c r="CC361" s="71">
        <f>AG361</f>
        <v>893</v>
      </c>
      <c r="CD361" s="72">
        <f>AK361</f>
        <v>896</v>
      </c>
      <c r="CE361" s="71">
        <f>AO361</f>
        <v>929</v>
      </c>
      <c r="CF361" s="72">
        <f>AS361</f>
        <v>957</v>
      </c>
      <c r="CG361" s="71">
        <f>AW361</f>
        <v>989</v>
      </c>
      <c r="CH361" s="70">
        <f>G361</f>
        <v>604</v>
      </c>
      <c r="CI361" s="71">
        <f>K361</f>
        <v>613</v>
      </c>
      <c r="CJ361" s="72">
        <f>O361</f>
        <v>636</v>
      </c>
      <c r="CK361" s="72" t="str">
        <f>S361</f>
        <v>-</v>
      </c>
      <c r="CL361" s="72">
        <f>W361</f>
        <v>678</v>
      </c>
      <c r="CM361" s="72" t="str">
        <f>AA361</f>
        <v>-</v>
      </c>
      <c r="CN361" s="72">
        <f>AE361</f>
        <v>875</v>
      </c>
      <c r="CO361" s="72">
        <f>AI361</f>
        <v>895</v>
      </c>
      <c r="CP361" s="72">
        <f>AM361</f>
        <v>921</v>
      </c>
      <c r="CQ361" s="72">
        <f>AQ361</f>
        <v>955</v>
      </c>
      <c r="CR361" s="72">
        <f>AU361</f>
        <v>988</v>
      </c>
      <c r="CS361" s="72">
        <f>AY361</f>
        <v>992</v>
      </c>
      <c r="CT361" s="23">
        <f>M361-K361</f>
        <v>1</v>
      </c>
      <c r="AMP361" s="3"/>
    </row>
    <row r="362" spans="1:1030" s="12" customFormat="1" x14ac:dyDescent="0.2">
      <c r="A362" s="9" t="str">
        <f>CONCATENATE(B362,"_",C362)</f>
        <v>grm5_human_6N51</v>
      </c>
      <c r="B362" s="9" t="s">
        <v>41</v>
      </c>
      <c r="C362" s="9" t="s">
        <v>1552</v>
      </c>
      <c r="D362" s="9" t="str">
        <f>IFERROR(MID(VLOOKUP($B362,Seqs!$A:$B,2,0),E362,1),"")</f>
        <v>D</v>
      </c>
      <c r="E362" s="9">
        <v>577</v>
      </c>
      <c r="F362" s="9" t="str">
        <f>IFERROR(MID(VLOOKUP($B362,Seqs!$A:$B,2,0),G362,1),"")</f>
        <v>I</v>
      </c>
      <c r="G362" s="9">
        <v>602</v>
      </c>
      <c r="H362" s="9" t="str">
        <f>IFERROR(MID(VLOOKUP($B362,Seqs!$A:$B,2,0),I362,1),"")</f>
        <v>T</v>
      </c>
      <c r="I362" s="109">
        <v>607</v>
      </c>
      <c r="J362" s="9" t="str">
        <f>IFERROR(MID(VLOOKUP($B362,Seqs!$A:$B,2,0),K362,1),"")</f>
        <v>S</v>
      </c>
      <c r="K362" s="109">
        <v>613</v>
      </c>
      <c r="L362" s="9" t="str">
        <f>IFERROR(MID(VLOOKUP($B362,Seqs!$A:$B,2,0),M362,1),"")</f>
        <v>S</v>
      </c>
      <c r="M362" s="9">
        <v>614</v>
      </c>
      <c r="N362" s="9" t="str">
        <f>IFERROR(MID(VLOOKUP($B362,Seqs!$A:$B,2,0),O362,1),"")</f>
        <v>C</v>
      </c>
      <c r="O362" s="9">
        <v>634</v>
      </c>
      <c r="P362" s="9" t="str">
        <f>IFERROR(MID(VLOOKUP($B362,Seqs!$A:$B,2,0),Q362,1),"")</f>
        <v/>
      </c>
      <c r="Q362" s="9" t="s">
        <v>23</v>
      </c>
      <c r="R362" s="9" t="str">
        <f>IFERROR(MID(VLOOKUP($B362,Seqs!$A:$B,2,0),S362,1),"")</f>
        <v/>
      </c>
      <c r="S362" s="9" t="s">
        <v>23</v>
      </c>
      <c r="T362" s="9" t="str">
        <f>IFERROR(MID(VLOOKUP($B362,Seqs!$A:$B,2,0),U362,1),"")</f>
        <v>K</v>
      </c>
      <c r="U362" s="9">
        <v>640</v>
      </c>
      <c r="V362" s="9" t="str">
        <f>IFERROR(MID(VLOOKUP($B362,Seqs!$A:$B,2,0),W362,1),"")</f>
        <v>A</v>
      </c>
      <c r="W362" s="9">
        <v>674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S</v>
      </c>
      <c r="AC362" s="9">
        <v>689</v>
      </c>
      <c r="AD362" s="9" t="str">
        <f>IFERROR(MID(VLOOKUP($B362,Seqs!$A:$B,2,0),AE362,1),"")</f>
        <v>E</v>
      </c>
      <c r="AE362" s="9">
        <v>715</v>
      </c>
      <c r="AF362" s="9" t="str">
        <f>IFERROR(MID(VLOOKUP($B362,Seqs!$A:$B,2,0),AG362,1),"")</f>
        <v>C</v>
      </c>
      <c r="AG362" s="9">
        <v>733</v>
      </c>
      <c r="AH362" s="9" t="str">
        <f>IFERROR(MID(VLOOKUP($B362,Seqs!$A:$B,2,0),AI362,1),"")</f>
        <v>T</v>
      </c>
      <c r="AI362" s="9">
        <v>735</v>
      </c>
      <c r="AJ362" s="9" t="str">
        <f>IFERROR(MID(VLOOKUP($B362,Seqs!$A:$B,2,0),AK362,1),"")</f>
        <v>N</v>
      </c>
      <c r="AK362" s="9">
        <v>737</v>
      </c>
      <c r="AL362" s="9" t="str">
        <f>IFERROR(MID(VLOOKUP($B362,Seqs!$A:$B,2,0),AM362,1),"")</f>
        <v>A</v>
      </c>
      <c r="AM362" s="9">
        <v>758</v>
      </c>
      <c r="AN362" s="9" t="str">
        <f>IFERROR(MID(VLOOKUP($B362,Seqs!$A:$B,2,0),AO362,1),"")</f>
        <v>N</v>
      </c>
      <c r="AO362" s="9">
        <v>769</v>
      </c>
      <c r="AP362" s="9" t="str">
        <f>IFERROR(MID(VLOOKUP($B362,Seqs!$A:$B,2,0),AQ362,1),"")</f>
        <v>G</v>
      </c>
      <c r="AQ362" s="9">
        <v>794</v>
      </c>
      <c r="AR362" s="9" t="str">
        <f>IFERROR(MID(VLOOKUP($B362,Seqs!$A:$B,2,0),AS362,1),"")</f>
        <v>I</v>
      </c>
      <c r="AS362" s="9">
        <v>799</v>
      </c>
      <c r="AT362" s="9" t="str">
        <f>IFERROR(MID(VLOOKUP($B362,Seqs!$A:$B,2,0),AU362,1),"")</f>
        <v>L</v>
      </c>
      <c r="AU362" s="9">
        <v>826</v>
      </c>
      <c r="AV362" s="9" t="str">
        <f>IFERROR(MID(VLOOKUP($B362,Seqs!$A:$B,2,0),AW362,1),"")</f>
        <v/>
      </c>
      <c r="AW362" s="9" t="s">
        <v>23</v>
      </c>
      <c r="AX362" s="9" t="str">
        <f>IFERROR(MID(VLOOKUP($B362,Seqs!$A:$B,2,0),AY362,1),"")</f>
        <v/>
      </c>
      <c r="AY362" s="9" t="s">
        <v>23</v>
      </c>
      <c r="AZ362" s="110" t="str">
        <f>VLOOKUP(B362,Classification!A:D,2,0)</f>
        <v>C</v>
      </c>
      <c r="BA362" s="98" t="str">
        <f>VLOOKUP(B362,Classification!A:D,4,0)</f>
        <v>Metabotropicglutamate</v>
      </c>
      <c r="BB362" s="36" t="b">
        <f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9">
        <f>_xlfn.AGGREGATE(9,6,CH362:CS362)-_xlfn.AGGREGATE(9,6,BV362:CG362)+12</f>
        <v>198</v>
      </c>
      <c r="BD362" s="11" t="s">
        <v>23</v>
      </c>
      <c r="BE362" s="9" t="s">
        <v>1374</v>
      </c>
      <c r="BF362" s="120">
        <v>4</v>
      </c>
      <c r="BG362" s="51" t="s">
        <v>1281</v>
      </c>
      <c r="BH362" s="51" t="s">
        <v>1281</v>
      </c>
      <c r="BI362" s="9"/>
      <c r="BJ362" s="111" t="s">
        <v>1287</v>
      </c>
      <c r="BK362" s="112" t="s">
        <v>1287</v>
      </c>
      <c r="BL362" s="112" t="s">
        <v>1287</v>
      </c>
      <c r="BM362" s="112" t="s">
        <v>1287</v>
      </c>
      <c r="BN362" s="112" t="s">
        <v>1287</v>
      </c>
      <c r="BO362" s="112" t="s">
        <v>1287</v>
      </c>
      <c r="BP362" s="112" t="s">
        <v>1287</v>
      </c>
      <c r="BQ362" s="112" t="s">
        <v>1287</v>
      </c>
      <c r="BR362" s="112" t="s">
        <v>1287</v>
      </c>
      <c r="BS362" s="112" t="s">
        <v>1287</v>
      </c>
      <c r="BT362" s="112" t="s">
        <v>1287</v>
      </c>
      <c r="BU362" s="112" t="s">
        <v>1287</v>
      </c>
      <c r="BV362" s="111">
        <f>E362</f>
        <v>577</v>
      </c>
      <c r="BW362" s="113">
        <f>I362</f>
        <v>607</v>
      </c>
      <c r="BX362" s="114">
        <f>M362</f>
        <v>614</v>
      </c>
      <c r="BY362" s="113" t="str">
        <f>Q362</f>
        <v>-</v>
      </c>
      <c r="BZ362" s="114">
        <f>U362</f>
        <v>640</v>
      </c>
      <c r="CA362" s="113" t="str">
        <f>Y362</f>
        <v>-</v>
      </c>
      <c r="CB362" s="114">
        <f>AC362</f>
        <v>689</v>
      </c>
      <c r="CC362" s="113">
        <f>AG362</f>
        <v>733</v>
      </c>
      <c r="CD362" s="114">
        <f>AK362</f>
        <v>737</v>
      </c>
      <c r="CE362" s="113">
        <f>AO362</f>
        <v>769</v>
      </c>
      <c r="CF362" s="114">
        <f>AS362</f>
        <v>799</v>
      </c>
      <c r="CG362" s="113" t="str">
        <f>AW362</f>
        <v>-</v>
      </c>
      <c r="CH362" s="111">
        <f>G362</f>
        <v>602</v>
      </c>
      <c r="CI362" s="113">
        <f>K362</f>
        <v>613</v>
      </c>
      <c r="CJ362" s="114">
        <f>O362</f>
        <v>634</v>
      </c>
      <c r="CK362" s="114" t="str">
        <f>S362</f>
        <v>-</v>
      </c>
      <c r="CL362" s="114">
        <f>W362</f>
        <v>674</v>
      </c>
      <c r="CM362" s="114" t="str">
        <f>AA362</f>
        <v>-</v>
      </c>
      <c r="CN362" s="114">
        <f>AE362</f>
        <v>715</v>
      </c>
      <c r="CO362" s="114">
        <f>AI362</f>
        <v>735</v>
      </c>
      <c r="CP362" s="114">
        <f>AM362</f>
        <v>758</v>
      </c>
      <c r="CQ362" s="114">
        <f>AQ362</f>
        <v>794</v>
      </c>
      <c r="CR362" s="114">
        <f>AU362</f>
        <v>826</v>
      </c>
      <c r="CS362" s="114" t="str">
        <f>AY362</f>
        <v>-</v>
      </c>
      <c r="CT362" s="109">
        <f>M362-K362</f>
        <v>1</v>
      </c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  <c r="ZX362" s="9"/>
      <c r="ZY362" s="9"/>
      <c r="ZZ362" s="9"/>
      <c r="AAA362" s="9"/>
      <c r="AAB362" s="9"/>
      <c r="AAC362" s="9"/>
      <c r="AAD362" s="9"/>
      <c r="AAE362" s="9"/>
      <c r="AAF362" s="9"/>
      <c r="AAG362" s="9"/>
      <c r="AAH362" s="9"/>
      <c r="AAI362" s="9"/>
      <c r="AAJ362" s="9"/>
      <c r="AAK362" s="9"/>
      <c r="AAL362" s="9"/>
      <c r="AAM362" s="9"/>
      <c r="AAN362" s="9"/>
      <c r="AAO362" s="9"/>
      <c r="AAP362" s="9"/>
      <c r="AAQ362" s="9"/>
      <c r="AAR362" s="9"/>
      <c r="AAS362" s="9"/>
      <c r="AAT362" s="9"/>
      <c r="AAU362" s="9"/>
      <c r="AAV362" s="9"/>
      <c r="AAW362" s="9"/>
      <c r="AAX362" s="9"/>
      <c r="AAY362" s="9"/>
      <c r="AAZ362" s="9"/>
      <c r="ABA362" s="9"/>
      <c r="ABB362" s="9"/>
      <c r="ABC362" s="9"/>
      <c r="ABD362" s="9"/>
      <c r="ABE362" s="9"/>
      <c r="ABF362" s="9"/>
      <c r="ABG362" s="9"/>
      <c r="ABH362" s="9"/>
      <c r="ABI362" s="9"/>
      <c r="ABJ362" s="9"/>
      <c r="ABK362" s="9"/>
      <c r="ABL362" s="9"/>
      <c r="ABM362" s="9"/>
      <c r="ABN362" s="9"/>
      <c r="ABO362" s="9"/>
      <c r="ABP362" s="9"/>
      <c r="ABQ362" s="9"/>
      <c r="ABR362" s="9"/>
      <c r="ABS362" s="9"/>
      <c r="ABT362" s="9"/>
      <c r="ABU362" s="9"/>
      <c r="ABV362" s="9"/>
      <c r="ABW362" s="9"/>
      <c r="ABX362" s="9"/>
      <c r="ABY362" s="9"/>
      <c r="ABZ362" s="9"/>
      <c r="ACA362" s="9"/>
      <c r="ACB362" s="9"/>
      <c r="ACC362" s="9"/>
      <c r="ACD362" s="9"/>
      <c r="ACE362" s="9"/>
      <c r="ACF362" s="9"/>
      <c r="ACG362" s="9"/>
      <c r="ACH362" s="9"/>
      <c r="ACI362" s="9"/>
      <c r="ACJ362" s="9"/>
      <c r="ACK362" s="9"/>
      <c r="ACL362" s="9"/>
      <c r="ACM362" s="9"/>
      <c r="ACN362" s="9"/>
      <c r="ACO362" s="9"/>
      <c r="ACP362" s="9"/>
      <c r="ACQ362" s="9"/>
      <c r="ACR362" s="9"/>
      <c r="ACS362" s="9"/>
      <c r="ACT362" s="9"/>
      <c r="ACU362" s="9"/>
      <c r="ACV362" s="9"/>
      <c r="ACW362" s="9"/>
      <c r="ACX362" s="9"/>
      <c r="ACY362" s="9"/>
      <c r="ACZ362" s="9"/>
      <c r="ADA362" s="9"/>
      <c r="ADB362" s="9"/>
      <c r="ADC362" s="9"/>
      <c r="ADD362" s="9"/>
      <c r="ADE362" s="9"/>
      <c r="ADF362" s="9"/>
      <c r="ADG362" s="9"/>
      <c r="ADH362" s="9"/>
      <c r="ADI362" s="9"/>
      <c r="ADJ362" s="9"/>
      <c r="ADK362" s="9"/>
      <c r="ADL362" s="9"/>
      <c r="ADM362" s="9"/>
      <c r="ADN362" s="9"/>
      <c r="ADO362" s="9"/>
      <c r="ADP362" s="9"/>
      <c r="ADQ362" s="9"/>
      <c r="ADR362" s="9"/>
      <c r="ADS362" s="9"/>
      <c r="ADT362" s="9"/>
      <c r="ADU362" s="9"/>
      <c r="ADV362" s="9"/>
      <c r="ADW362" s="9"/>
      <c r="ADX362" s="9"/>
      <c r="ADY362" s="9"/>
      <c r="ADZ362" s="9"/>
      <c r="AEA362" s="9"/>
      <c r="AEB362" s="9"/>
      <c r="AEC362" s="9"/>
      <c r="AED362" s="9"/>
      <c r="AEE362" s="9"/>
      <c r="AEF362" s="9"/>
      <c r="AEG362" s="9"/>
      <c r="AEH362" s="9"/>
      <c r="AEI362" s="9"/>
      <c r="AEJ362" s="9"/>
      <c r="AEK362" s="9"/>
      <c r="AEL362" s="9"/>
      <c r="AEM362" s="9"/>
      <c r="AEN362" s="9"/>
      <c r="AEO362" s="9"/>
      <c r="AEP362" s="9"/>
      <c r="AEQ362" s="9"/>
      <c r="AER362" s="9"/>
      <c r="AES362" s="9"/>
      <c r="AET362" s="9"/>
      <c r="AEU362" s="9"/>
      <c r="AEV362" s="9"/>
      <c r="AEW362" s="9"/>
      <c r="AEX362" s="9"/>
      <c r="AEY362" s="9"/>
      <c r="AEZ362" s="9"/>
      <c r="AFA362" s="9"/>
      <c r="AFB362" s="9"/>
      <c r="AFC362" s="9"/>
      <c r="AFD362" s="9"/>
      <c r="AFE362" s="9"/>
      <c r="AFF362" s="9"/>
      <c r="AFG362" s="9"/>
      <c r="AFH362" s="9"/>
      <c r="AFI362" s="9"/>
      <c r="AFJ362" s="9"/>
      <c r="AFK362" s="9"/>
      <c r="AFL362" s="9"/>
      <c r="AFM362" s="9"/>
      <c r="AFN362" s="9"/>
      <c r="AFO362" s="9"/>
      <c r="AFP362" s="9"/>
      <c r="AFQ362" s="9"/>
      <c r="AFR362" s="9"/>
      <c r="AFS362" s="9"/>
      <c r="AFT362" s="9"/>
      <c r="AFU362" s="9"/>
      <c r="AFV362" s="9"/>
      <c r="AFW362" s="9"/>
      <c r="AFX362" s="9"/>
      <c r="AFY362" s="9"/>
      <c r="AFZ362" s="9"/>
      <c r="AGA362" s="9"/>
      <c r="AGB362" s="9"/>
      <c r="AGC362" s="9"/>
      <c r="AGD362" s="9"/>
      <c r="AGE362" s="9"/>
      <c r="AGF362" s="9"/>
      <c r="AGG362" s="9"/>
      <c r="AGH362" s="9"/>
      <c r="AGI362" s="9"/>
      <c r="AGJ362" s="9"/>
      <c r="AGK362" s="9"/>
      <c r="AGL362" s="9"/>
      <c r="AGM362" s="9"/>
      <c r="AGN362" s="9"/>
      <c r="AGO362" s="9"/>
      <c r="AGP362" s="9"/>
      <c r="AGQ362" s="9"/>
      <c r="AGR362" s="9"/>
      <c r="AGS362" s="9"/>
      <c r="AGT362" s="9"/>
      <c r="AGU362" s="9"/>
      <c r="AGV362" s="9"/>
      <c r="AGW362" s="9"/>
      <c r="AGX362" s="9"/>
      <c r="AGY362" s="9"/>
      <c r="AGZ362" s="9"/>
      <c r="AHA362" s="9"/>
      <c r="AHB362" s="9"/>
      <c r="AHC362" s="9"/>
      <c r="AHD362" s="9"/>
      <c r="AHE362" s="9"/>
      <c r="AHF362" s="9"/>
      <c r="AHG362" s="9"/>
      <c r="AHH362" s="9"/>
      <c r="AHI362" s="9"/>
      <c r="AHJ362" s="9"/>
      <c r="AHK362" s="9"/>
      <c r="AHL362" s="9"/>
      <c r="AHM362" s="9"/>
      <c r="AHN362" s="9"/>
      <c r="AHO362" s="9"/>
      <c r="AHP362" s="9"/>
      <c r="AHQ362" s="9"/>
      <c r="AHR362" s="9"/>
      <c r="AHS362" s="9"/>
      <c r="AHT362" s="9"/>
      <c r="AHU362" s="9"/>
      <c r="AHV362" s="9"/>
      <c r="AHW362" s="9"/>
      <c r="AHX362" s="9"/>
      <c r="AHY362" s="9"/>
      <c r="AHZ362" s="9"/>
      <c r="AIA362" s="9"/>
      <c r="AIB362" s="9"/>
      <c r="AIC362" s="9"/>
      <c r="AID362" s="9"/>
      <c r="AIE362" s="9"/>
      <c r="AIF362" s="9"/>
      <c r="AIG362" s="9"/>
      <c r="AIH362" s="9"/>
      <c r="AII362" s="9"/>
      <c r="AIJ362" s="9"/>
      <c r="AIK362" s="9"/>
      <c r="AIL362" s="9"/>
      <c r="AIM362" s="9"/>
      <c r="AIN362" s="9"/>
      <c r="AIO362" s="9"/>
      <c r="AIP362" s="9"/>
      <c r="AIQ362" s="9"/>
      <c r="AIR362" s="9"/>
      <c r="AIS362" s="9"/>
      <c r="AIT362" s="9"/>
      <c r="AIU362" s="9"/>
      <c r="AIV362" s="9"/>
      <c r="AIW362" s="9"/>
      <c r="AIX362" s="9"/>
      <c r="AIY362" s="9"/>
      <c r="AIZ362" s="9"/>
      <c r="AJA362" s="9"/>
      <c r="AJB362" s="9"/>
      <c r="AJC362" s="9"/>
      <c r="AJD362" s="9"/>
      <c r="AJE362" s="9"/>
      <c r="AJF362" s="9"/>
      <c r="AJG362" s="9"/>
      <c r="AJH362" s="9"/>
      <c r="AJI362" s="9"/>
      <c r="AJJ362" s="9"/>
      <c r="AJK362" s="9"/>
      <c r="AJL362" s="9"/>
      <c r="AJM362" s="9"/>
      <c r="AJN362" s="9"/>
      <c r="AJO362" s="9"/>
      <c r="AJP362" s="9"/>
      <c r="AJQ362" s="9"/>
      <c r="AJR362" s="9"/>
      <c r="AJS362" s="9"/>
      <c r="AJT362" s="9"/>
      <c r="AJU362" s="9"/>
      <c r="AJV362" s="9"/>
      <c r="AJW362" s="9"/>
      <c r="AJX362" s="9"/>
      <c r="AJY362" s="9"/>
      <c r="AJZ362" s="9"/>
      <c r="AKA362" s="9"/>
      <c r="AKB362" s="9"/>
      <c r="AKC362" s="9"/>
      <c r="AKD362" s="9"/>
      <c r="AKE362" s="9"/>
      <c r="AKF362" s="9"/>
      <c r="AKG362" s="9"/>
      <c r="AKH362" s="9"/>
      <c r="AKI362" s="9"/>
      <c r="AKJ362" s="9"/>
      <c r="AKK362" s="9"/>
      <c r="AKL362" s="9"/>
      <c r="AKM362" s="9"/>
      <c r="AKN362" s="9"/>
      <c r="AKO362" s="9"/>
      <c r="AKP362" s="9"/>
      <c r="AKQ362" s="9"/>
      <c r="AKR362" s="9"/>
      <c r="AKS362" s="9"/>
      <c r="AKT362" s="9"/>
      <c r="AKU362" s="9"/>
      <c r="AKV362" s="9"/>
      <c r="AKW362" s="9"/>
      <c r="AKX362" s="9"/>
      <c r="AKY362" s="9"/>
      <c r="AKZ362" s="9"/>
      <c r="ALA362" s="9"/>
      <c r="ALB362" s="9"/>
      <c r="ALC362" s="9"/>
      <c r="ALD362" s="9"/>
      <c r="ALE362" s="9"/>
      <c r="ALF362" s="9"/>
      <c r="ALG362" s="9"/>
      <c r="ALH362" s="9"/>
      <c r="ALI362" s="9"/>
      <c r="ALJ362" s="9"/>
      <c r="ALK362" s="9"/>
      <c r="ALL362" s="9"/>
      <c r="ALM362" s="9"/>
      <c r="ALN362" s="9"/>
      <c r="ALO362" s="9"/>
      <c r="ALP362" s="9"/>
      <c r="ALQ362" s="9"/>
      <c r="ALR362" s="9"/>
      <c r="ALS362" s="9"/>
      <c r="ALT362" s="9"/>
      <c r="ALU362" s="9"/>
      <c r="ALV362" s="9"/>
      <c r="ALW362" s="9"/>
      <c r="ALX362" s="9"/>
      <c r="ALY362" s="9"/>
      <c r="ALZ362" s="9"/>
      <c r="AMA362" s="9"/>
      <c r="AMB362" s="9"/>
      <c r="AMC362" s="9"/>
      <c r="AMD362" s="9"/>
      <c r="AME362" s="9"/>
      <c r="AMF362" s="9"/>
      <c r="AMG362" s="9"/>
      <c r="AMH362" s="9"/>
      <c r="AMI362" s="9"/>
      <c r="AMJ362" s="9"/>
      <c r="AMK362" s="9"/>
      <c r="AML362" s="9"/>
      <c r="AMM362" s="9"/>
      <c r="AMN362" s="9"/>
      <c r="AMO362" s="9"/>
      <c r="AMP362" s="9"/>
    </row>
    <row r="363" spans="1:1030" s="12" customFormat="1" x14ac:dyDescent="0.2">
      <c r="A363" s="9" t="str">
        <f>CONCATENATE(B363,"_",C363)</f>
        <v>grm5_human_6N52</v>
      </c>
      <c r="B363" s="9" t="s">
        <v>41</v>
      </c>
      <c r="C363" s="9" t="s">
        <v>1553</v>
      </c>
      <c r="D363" s="9" t="str">
        <f>IFERROR(MID(VLOOKUP($B363,Seqs!$A:$B,2,0),E363,1),"")</f>
        <v>P</v>
      </c>
      <c r="E363" s="9">
        <v>580</v>
      </c>
      <c r="F363" s="9" t="str">
        <f>IFERROR(MID(VLOOKUP($B363,Seqs!$A:$B,2,0),G363,1),"")</f>
        <v>T</v>
      </c>
      <c r="G363" s="9">
        <v>598</v>
      </c>
      <c r="H363" s="9" t="str">
        <f>IFERROR(MID(VLOOKUP($B363,Seqs!$A:$B,2,0),I363,1),"")</f>
        <v>T</v>
      </c>
      <c r="I363" s="109">
        <v>607</v>
      </c>
      <c r="J363" s="9" t="str">
        <f>IFERROR(MID(VLOOKUP($B363,Seqs!$A:$B,2,0),K363,1),"")</f>
        <v>S</v>
      </c>
      <c r="K363" s="109">
        <v>613</v>
      </c>
      <c r="L363" s="9" t="str">
        <f>IFERROR(MID(VLOOKUP($B363,Seqs!$A:$B,2,0),M363,1),"")</f>
        <v>S</v>
      </c>
      <c r="M363" s="9">
        <v>614</v>
      </c>
      <c r="N363" s="9" t="str">
        <f>IFERROR(MID(VLOOKUP($B363,Seqs!$A:$B,2,0),O363,1),"")</f>
        <v>I</v>
      </c>
      <c r="O363" s="9">
        <v>636</v>
      </c>
      <c r="P363" s="9" t="str">
        <f>IFERROR(MID(VLOOKUP($B363,Seqs!$A:$B,2,0),Q363,1),"")</f>
        <v/>
      </c>
      <c r="Q363" s="9" t="s">
        <v>23</v>
      </c>
      <c r="R363" s="9" t="str">
        <f>IFERROR(MID(VLOOKUP($B363,Seqs!$A:$B,2,0),S363,1),"")</f>
        <v/>
      </c>
      <c r="S363" s="9" t="s">
        <v>23</v>
      </c>
      <c r="T363" s="9" t="str">
        <f>IFERROR(MID(VLOOKUP($B363,Seqs!$A:$B,2,0),U363,1),"")</f>
        <v>K</v>
      </c>
      <c r="U363" s="9">
        <v>640</v>
      </c>
      <c r="V363" s="9" t="str">
        <f>IFERROR(MID(VLOOKUP($B363,Seqs!$A:$B,2,0),W363,1),"")</f>
        <v>I</v>
      </c>
      <c r="W363" s="9">
        <v>669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A</v>
      </c>
      <c r="AC363" s="9">
        <v>692</v>
      </c>
      <c r="AD363" s="9" t="str">
        <f>IFERROR(MID(VLOOKUP($B363,Seqs!$A:$B,2,0),AE363,1),"")</f>
        <v>E</v>
      </c>
      <c r="AE363" s="9">
        <v>715</v>
      </c>
      <c r="AF363" s="9" t="str">
        <f>IFERROR(MID(VLOOKUP($B363,Seqs!$A:$B,2,0),AG363,1),"")</f>
        <v>C</v>
      </c>
      <c r="AG363" s="9">
        <v>733</v>
      </c>
      <c r="AH363" s="9" t="str">
        <f>IFERROR(MID(VLOOKUP($B363,Seqs!$A:$B,2,0),AI363,1),"")</f>
        <v>T</v>
      </c>
      <c r="AI363" s="9">
        <v>735</v>
      </c>
      <c r="AJ363" s="9" t="str">
        <f>IFERROR(MID(VLOOKUP($B363,Seqs!$A:$B,2,0),AK363,1),"")</f>
        <v>T</v>
      </c>
      <c r="AK363" s="9">
        <v>736</v>
      </c>
      <c r="AL363" s="9" t="str">
        <f>IFERROR(MID(VLOOKUP($B363,Seqs!$A:$B,2,0),AM363,1),"")</f>
        <v>T</v>
      </c>
      <c r="AM363" s="9">
        <v>761</v>
      </c>
      <c r="AN363" s="9" t="str">
        <f>IFERROR(MID(VLOOKUP($B363,Seqs!$A:$B,2,0),AO363,1),"")</f>
        <v>E</v>
      </c>
      <c r="AO363" s="9">
        <v>770</v>
      </c>
      <c r="AP363" s="9" t="str">
        <f>IFERROR(MID(VLOOKUP($B363,Seqs!$A:$B,2,0),AQ363,1),"")</f>
        <v>F</v>
      </c>
      <c r="AQ363" s="9">
        <v>793</v>
      </c>
      <c r="AR363" s="9" t="str">
        <f>IFERROR(MID(VLOOKUP($B363,Seqs!$A:$B,2,0),AS363,1),"")</f>
        <v>I</v>
      </c>
      <c r="AS363" s="9">
        <v>799</v>
      </c>
      <c r="AT363" s="9" t="str">
        <f>IFERROR(MID(VLOOKUP($B363,Seqs!$A:$B,2,0),AU363,1),"")</f>
        <v>K</v>
      </c>
      <c r="AU363" s="9">
        <v>828</v>
      </c>
      <c r="AV363" s="9" t="str">
        <f>IFERROR(MID(VLOOKUP($B363,Seqs!$A:$B,2,0),AW363,1),"")</f>
        <v>P</v>
      </c>
      <c r="AW363" s="9">
        <v>829</v>
      </c>
      <c r="AX363" s="9" t="str">
        <f>IFERROR(MID(VLOOKUP($B363,Seqs!$A:$B,2,0),AY363,1),"")</f>
        <v>N</v>
      </c>
      <c r="AY363" s="9">
        <v>832</v>
      </c>
      <c r="AZ363" s="110" t="str">
        <f>VLOOKUP(B363,Classification!A:D,2,0)</f>
        <v>C</v>
      </c>
      <c r="BA363" s="98" t="str">
        <f>VLOOKUP(B363,Classification!A:D,4,0)</f>
        <v>Metabotropicglutamate</v>
      </c>
      <c r="BB363" s="36" t="b">
        <f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109">
        <f>_xlfn.AGGREGATE(9,6,CH363:CS363)-_xlfn.AGGREGATE(9,6,BV363:CG363)+12</f>
        <v>192</v>
      </c>
      <c r="BD363" s="11" t="s">
        <v>23</v>
      </c>
      <c r="BE363" s="9" t="s">
        <v>1374</v>
      </c>
      <c r="BF363" s="120">
        <v>4</v>
      </c>
      <c r="BG363" s="51" t="s">
        <v>1</v>
      </c>
      <c r="BH363" s="51" t="s">
        <v>1</v>
      </c>
      <c r="BI363" s="9"/>
      <c r="BJ363" s="111" t="s">
        <v>1287</v>
      </c>
      <c r="BK363" s="112" t="s">
        <v>1287</v>
      </c>
      <c r="BL363" s="112" t="s">
        <v>1287</v>
      </c>
      <c r="BM363" s="112" t="s">
        <v>1287</v>
      </c>
      <c r="BN363" s="112" t="s">
        <v>1287</v>
      </c>
      <c r="BO363" s="112" t="s">
        <v>1287</v>
      </c>
      <c r="BP363" s="112" t="s">
        <v>1287</v>
      </c>
      <c r="BQ363" s="112" t="s">
        <v>1287</v>
      </c>
      <c r="BR363" s="112" t="s">
        <v>1287</v>
      </c>
      <c r="BS363" s="112" t="s">
        <v>1287</v>
      </c>
      <c r="BT363" s="112" t="s">
        <v>1287</v>
      </c>
      <c r="BU363" s="112" t="s">
        <v>1287</v>
      </c>
      <c r="BV363" s="111">
        <f>E363</f>
        <v>580</v>
      </c>
      <c r="BW363" s="113">
        <f>I363</f>
        <v>607</v>
      </c>
      <c r="BX363" s="114">
        <f>M363</f>
        <v>614</v>
      </c>
      <c r="BY363" s="113" t="str">
        <f>Q363</f>
        <v>-</v>
      </c>
      <c r="BZ363" s="114">
        <f>U363</f>
        <v>640</v>
      </c>
      <c r="CA363" s="113" t="str">
        <f>Y363</f>
        <v>-</v>
      </c>
      <c r="CB363" s="114">
        <f>AC363</f>
        <v>692</v>
      </c>
      <c r="CC363" s="113">
        <f>AG363</f>
        <v>733</v>
      </c>
      <c r="CD363" s="114">
        <f>AK363</f>
        <v>736</v>
      </c>
      <c r="CE363" s="113">
        <f>AO363</f>
        <v>770</v>
      </c>
      <c r="CF363" s="114">
        <f>AS363</f>
        <v>799</v>
      </c>
      <c r="CG363" s="113">
        <f>AW363</f>
        <v>829</v>
      </c>
      <c r="CH363" s="111">
        <f>G363</f>
        <v>598</v>
      </c>
      <c r="CI363" s="113">
        <f>K363</f>
        <v>613</v>
      </c>
      <c r="CJ363" s="114">
        <f>O363</f>
        <v>636</v>
      </c>
      <c r="CK363" s="114" t="str">
        <f>S363</f>
        <v>-</v>
      </c>
      <c r="CL363" s="114">
        <f>W363</f>
        <v>669</v>
      </c>
      <c r="CM363" s="114" t="str">
        <f>AA363</f>
        <v>-</v>
      </c>
      <c r="CN363" s="114">
        <f>AE363</f>
        <v>715</v>
      </c>
      <c r="CO363" s="114">
        <f>AI363</f>
        <v>735</v>
      </c>
      <c r="CP363" s="114">
        <f>AM363</f>
        <v>761</v>
      </c>
      <c r="CQ363" s="114">
        <f>AQ363</f>
        <v>793</v>
      </c>
      <c r="CR363" s="114">
        <f>AU363</f>
        <v>828</v>
      </c>
      <c r="CS363" s="114">
        <f>AY363</f>
        <v>832</v>
      </c>
      <c r="CT363" s="109">
        <f>M363-K363</f>
        <v>1</v>
      </c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/>
      <c r="AGJ363" s="9"/>
      <c r="AGK363" s="9"/>
      <c r="AGL363" s="9"/>
      <c r="AGM363" s="9"/>
      <c r="AGN363" s="9"/>
      <c r="AGO363" s="9"/>
      <c r="AGP363" s="9"/>
      <c r="AGQ363" s="9"/>
      <c r="AGR363" s="9"/>
      <c r="AGS363" s="9"/>
      <c r="AGT363" s="9"/>
      <c r="AGU363" s="9"/>
      <c r="AGV363" s="9"/>
      <c r="AGW363" s="9"/>
      <c r="AGX363" s="9"/>
      <c r="AGY363" s="9"/>
      <c r="AGZ363" s="9"/>
      <c r="AHA363" s="9"/>
      <c r="AHB363" s="9"/>
      <c r="AHC363" s="9"/>
      <c r="AHD363" s="9"/>
      <c r="AHE363" s="9"/>
      <c r="AHF363" s="9"/>
      <c r="AHG363" s="9"/>
      <c r="AHH363" s="9"/>
      <c r="AHI363" s="9"/>
      <c r="AHJ363" s="9"/>
      <c r="AHK363" s="9"/>
      <c r="AHL363" s="9"/>
      <c r="AHM363" s="9"/>
      <c r="AHN363" s="9"/>
      <c r="AHO363" s="9"/>
      <c r="AHP363" s="9"/>
      <c r="AHQ363" s="9"/>
      <c r="AHR363" s="9"/>
      <c r="AHS363" s="9"/>
      <c r="AHT363" s="9"/>
      <c r="AHU363" s="9"/>
      <c r="AHV363" s="9"/>
      <c r="AHW363" s="9"/>
      <c r="AHX363" s="9"/>
      <c r="AHY363" s="9"/>
      <c r="AHZ363" s="9"/>
      <c r="AIA363" s="9"/>
      <c r="AIB363" s="9"/>
      <c r="AIC363" s="9"/>
      <c r="AID363" s="9"/>
      <c r="AIE363" s="9"/>
      <c r="AIF363" s="9"/>
      <c r="AIG363" s="9"/>
      <c r="AIH363" s="9"/>
      <c r="AII363" s="9"/>
      <c r="AIJ363" s="9"/>
      <c r="AIK363" s="9"/>
      <c r="AIL363" s="9"/>
      <c r="AIM363" s="9"/>
      <c r="AIN363" s="9"/>
      <c r="AIO363" s="9"/>
      <c r="AIP363" s="9"/>
      <c r="AIQ363" s="9"/>
      <c r="AIR363" s="9"/>
      <c r="AIS363" s="9"/>
      <c r="AIT363" s="9"/>
      <c r="AIU363" s="9"/>
      <c r="AIV363" s="9"/>
      <c r="AIW363" s="9"/>
      <c r="AIX363" s="9"/>
      <c r="AIY363" s="9"/>
      <c r="AIZ363" s="9"/>
      <c r="AJA363" s="9"/>
      <c r="AJB363" s="9"/>
      <c r="AJC363" s="9"/>
      <c r="AJD363" s="9"/>
      <c r="AJE363" s="9"/>
      <c r="AJF363" s="9"/>
      <c r="AJG363" s="9"/>
      <c r="AJH363" s="9"/>
      <c r="AJI363" s="9"/>
      <c r="AJJ363" s="9"/>
      <c r="AJK363" s="9"/>
      <c r="AJL363" s="9"/>
      <c r="AJM363" s="9"/>
      <c r="AJN363" s="9"/>
      <c r="AJO363" s="9"/>
      <c r="AJP363" s="9"/>
      <c r="AJQ363" s="9"/>
      <c r="AJR363" s="9"/>
      <c r="AJS363" s="9"/>
      <c r="AJT363" s="9"/>
      <c r="AJU363" s="9"/>
      <c r="AJV363" s="9"/>
      <c r="AJW363" s="9"/>
      <c r="AJX363" s="9"/>
      <c r="AJY363" s="9"/>
      <c r="AJZ363" s="9"/>
      <c r="AKA363" s="9"/>
      <c r="AKB363" s="9"/>
      <c r="AKC363" s="9"/>
      <c r="AKD363" s="9"/>
      <c r="AKE363" s="9"/>
      <c r="AKF363" s="9"/>
      <c r="AKG363" s="9"/>
      <c r="AKH363" s="9"/>
      <c r="AKI363" s="9"/>
      <c r="AKJ363" s="9"/>
      <c r="AKK363" s="9"/>
      <c r="AKL363" s="9"/>
      <c r="AKM363" s="9"/>
      <c r="AKN363" s="9"/>
      <c r="AKO363" s="9"/>
      <c r="AKP363" s="9"/>
      <c r="AKQ363" s="9"/>
      <c r="AKR363" s="9"/>
      <c r="AKS363" s="9"/>
      <c r="AKT363" s="9"/>
      <c r="AKU363" s="9"/>
      <c r="AKV363" s="9"/>
      <c r="AKW363" s="9"/>
      <c r="AKX363" s="9"/>
      <c r="AKY363" s="9"/>
      <c r="AKZ363" s="9"/>
      <c r="ALA363" s="9"/>
      <c r="ALB363" s="9"/>
      <c r="ALC363" s="9"/>
      <c r="ALD363" s="9"/>
      <c r="ALE363" s="9"/>
      <c r="ALF363" s="9"/>
      <c r="ALG363" s="9"/>
      <c r="ALH363" s="9"/>
      <c r="ALI363" s="9"/>
      <c r="ALJ363" s="9"/>
      <c r="ALK363" s="9"/>
      <c r="ALL363" s="9"/>
      <c r="ALM363" s="9"/>
      <c r="ALN363" s="9"/>
      <c r="ALO363" s="9"/>
      <c r="ALP363" s="9"/>
      <c r="ALQ363" s="9"/>
      <c r="ALR363" s="9"/>
      <c r="ALS363" s="9"/>
      <c r="ALT363" s="9"/>
      <c r="ALU363" s="9"/>
      <c r="ALV363" s="9"/>
      <c r="ALW363" s="9"/>
      <c r="ALX363" s="9"/>
      <c r="ALY363" s="9"/>
      <c r="ALZ363" s="9"/>
      <c r="AMA363" s="9"/>
      <c r="AMB363" s="9"/>
      <c r="AMC363" s="9"/>
      <c r="AMD363" s="9"/>
      <c r="AME363" s="9"/>
      <c r="AMF363" s="9"/>
      <c r="AMG363" s="9"/>
      <c r="AMH363" s="9"/>
      <c r="AMI363" s="9"/>
      <c r="AMJ363" s="9"/>
      <c r="AMK363" s="9"/>
      <c r="AML363" s="9"/>
      <c r="AMM363" s="9"/>
      <c r="AMN363" s="9"/>
      <c r="AMO363" s="9"/>
      <c r="AMP363" s="9"/>
    </row>
    <row r="364" spans="1:1030" s="12" customFormat="1" x14ac:dyDescent="0.2">
      <c r="A364" s="9" t="str">
        <f>CONCATENATE(B364,"_",C364)</f>
        <v>fzd4_human__wt</v>
      </c>
      <c r="B364" s="9" t="s">
        <v>450</v>
      </c>
      <c r="C364" s="9" t="s">
        <v>100</v>
      </c>
      <c r="D364" s="9" t="str">
        <f>IFERROR(MID(VLOOKUP($B364,Seqs!$A:$B,2,0),E364,1),"")</f>
        <v>S</v>
      </c>
      <c r="E364" s="9">
        <v>212</v>
      </c>
      <c r="F364" s="9" t="str">
        <f>IFERROR(MID(VLOOKUP($B364,Seqs!$A:$B,2,0),G364,1),"")</f>
        <v>D</v>
      </c>
      <c r="G364" s="9">
        <v>244</v>
      </c>
      <c r="H364" s="9" t="str">
        <f>IFERROR(MID(VLOOKUP($B364,Seqs!$A:$B,2,0),I364,1),"")</f>
        <v>S</v>
      </c>
      <c r="I364" s="109">
        <v>245</v>
      </c>
      <c r="J364" s="9" t="str">
        <f>IFERROR(MID(VLOOKUP($B364,Seqs!$A:$B,2,0),K364,1),"")</f>
        <v>S</v>
      </c>
      <c r="K364" s="109">
        <v>249</v>
      </c>
      <c r="L364" s="9" t="str">
        <f>IFERROR(MID(VLOOKUP($B364,Seqs!$A:$B,2,0),M364,1),"")</f>
        <v>Y</v>
      </c>
      <c r="M364" s="9">
        <v>250</v>
      </c>
      <c r="N364" s="9" t="str">
        <f>IFERROR(MID(VLOOKUP($B364,Seqs!$A:$B,2,0),O364,1),"")</f>
        <v>G</v>
      </c>
      <c r="O364" s="9">
        <v>276</v>
      </c>
      <c r="P364" s="9" t="str">
        <f>IFERROR(MID(VLOOKUP($B364,Seqs!$A:$B,2,0),Q364,1),"")</f>
        <v/>
      </c>
      <c r="Q364" s="9" t="s">
        <v>23</v>
      </c>
      <c r="R364" s="9" t="str">
        <f>IFERROR(MID(VLOOKUP($B364,Seqs!$A:$B,2,0),S364,1),"")</f>
        <v/>
      </c>
      <c r="S364" s="9" t="s">
        <v>23</v>
      </c>
      <c r="T364" s="9" t="str">
        <f>IFERROR(MID(VLOOKUP($B364,Seqs!$A:$B,2,0),U364,1),"")</f>
        <v>N</v>
      </c>
      <c r="U364" s="9">
        <v>299</v>
      </c>
      <c r="V364" s="9" t="str">
        <f>IFERROR(MID(VLOOKUP($B364,Seqs!$A:$B,2,0),W364,1),"")</f>
        <v>G</v>
      </c>
      <c r="W364" s="9">
        <v>332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H</v>
      </c>
      <c r="AC364" s="9">
        <v>343</v>
      </c>
      <c r="AD364" s="9" t="str">
        <f>IFERROR(MID(VLOOKUP($B364,Seqs!$A:$B,2,0),AE364,1),"")</f>
        <v>R</v>
      </c>
      <c r="AE364" s="9">
        <v>366</v>
      </c>
      <c r="AF364" s="9" t="str">
        <f>IFERROR(MID(VLOOKUP($B364,Seqs!$A:$B,2,0),AG364,1),"")</f>
        <v>C</v>
      </c>
      <c r="AG364" s="9">
        <v>377</v>
      </c>
      <c r="AH364" s="9" t="str">
        <f>IFERROR(MID(VLOOKUP($B364,Seqs!$A:$B,2,0),AI364,1),"")</f>
        <v>V</v>
      </c>
      <c r="AI364" s="9">
        <v>379</v>
      </c>
      <c r="AJ364" s="9" t="str">
        <f>IFERROR(MID(VLOOKUP($B364,Seqs!$A:$B,2,0),AK364,1),"")</f>
        <v>N</v>
      </c>
      <c r="AK364" s="9">
        <v>383</v>
      </c>
      <c r="AL364" s="9" t="str">
        <f>IFERROR(MID(VLOOKUP($B364,Seqs!$A:$B,2,0),AM364,1),"")</f>
        <v>L</v>
      </c>
      <c r="AM364" s="9">
        <v>420</v>
      </c>
      <c r="AN364" s="9" t="str">
        <f>IFERROR(MID(VLOOKUP($B364,Seqs!$A:$B,2,0),AO364,1),"")</f>
        <v>E</v>
      </c>
      <c r="AO364" s="9">
        <v>431</v>
      </c>
      <c r="AP364" s="9" t="str">
        <f>IFERROR(MID(VLOOKUP($B364,Seqs!$A:$B,2,0),AQ364,1),"")</f>
        <v>N</v>
      </c>
      <c r="AQ364" s="9">
        <v>461</v>
      </c>
      <c r="AR364" s="9" t="str">
        <f>IFERROR(MID(VLOOKUP($B364,Seqs!$A:$B,2,0),AS364,1),"")</f>
        <v>N</v>
      </c>
      <c r="AS364" s="9">
        <v>473</v>
      </c>
      <c r="AT364" s="9" t="str">
        <f>IFERROR(MID(VLOOKUP($B364,Seqs!$A:$B,2,0),AU364,1),"")</f>
        <v>W</v>
      </c>
      <c r="AU364" s="9">
        <v>496</v>
      </c>
      <c r="AV364" s="9" t="str">
        <f>IFERROR(MID(VLOOKUP($B364,Seqs!$A:$B,2,0),AW364,1),"")</f>
        <v>S</v>
      </c>
      <c r="AW364" s="9">
        <v>497</v>
      </c>
      <c r="AX364" s="9" t="str">
        <f>IFERROR(MID(VLOOKUP($B364,Seqs!$A:$B,2,0),AY364,1),"")</f>
        <v>V</v>
      </c>
      <c r="AY364" s="9">
        <v>512</v>
      </c>
      <c r="AZ364" s="110" t="str">
        <f>VLOOKUP(B364,Classification!A:D,2,0)</f>
        <v>F</v>
      </c>
      <c r="BA364" s="98" t="str">
        <f>VLOOKUP(B364,Classification!A:D,4,0)</f>
        <v>Frizzled</v>
      </c>
      <c r="BB364" s="36" t="b">
        <f t="shared" ref="BB364:BB365" si="2291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109">
        <f t="shared" ref="BC364:BC365" si="2292">_xlfn.AGGREGATE(9,6,CH364:CS364)-_xlfn.AGGREGATE(9,6,BV364:CG364)+12</f>
        <v>237</v>
      </c>
      <c r="BD364" s="11" t="s">
        <v>23</v>
      </c>
      <c r="BE364" s="9" t="s">
        <v>23</v>
      </c>
      <c r="BF364" s="120" t="s">
        <v>23</v>
      </c>
      <c r="BG364" s="51" t="s">
        <v>23</v>
      </c>
      <c r="BH364" s="51" t="s">
        <v>23</v>
      </c>
      <c r="BI364" s="9"/>
      <c r="BJ364" s="111" t="s">
        <v>1287</v>
      </c>
      <c r="BK364" s="112" t="s">
        <v>1287</v>
      </c>
      <c r="BL364" s="112" t="s">
        <v>1287</v>
      </c>
      <c r="BM364" s="112" t="s">
        <v>1287</v>
      </c>
      <c r="BN364" s="112" t="s">
        <v>1287</v>
      </c>
      <c r="BO364" s="112" t="s">
        <v>1287</v>
      </c>
      <c r="BP364" s="112" t="s">
        <v>1287</v>
      </c>
      <c r="BQ364" s="112" t="s">
        <v>1287</v>
      </c>
      <c r="BR364" s="112" t="s">
        <v>1287</v>
      </c>
      <c r="BS364" s="112" t="s">
        <v>1287</v>
      </c>
      <c r="BT364" s="112" t="s">
        <v>1287</v>
      </c>
      <c r="BU364" s="112" t="s">
        <v>1287</v>
      </c>
      <c r="BV364" s="111">
        <f t="shared" ref="BV364:BV365" si="2293">E364</f>
        <v>212</v>
      </c>
      <c r="BW364" s="113">
        <f t="shared" ref="BW364:BW365" si="2294">I364</f>
        <v>245</v>
      </c>
      <c r="BX364" s="114">
        <f t="shared" ref="BX364:BX365" si="2295">M364</f>
        <v>250</v>
      </c>
      <c r="BY364" s="113" t="str">
        <f t="shared" ref="BY364:BY365" si="2296">Q364</f>
        <v>-</v>
      </c>
      <c r="BZ364" s="114">
        <f t="shared" ref="BZ364:BZ365" si="2297">U364</f>
        <v>299</v>
      </c>
      <c r="CA364" s="113" t="str">
        <f t="shared" ref="CA364:CA365" si="2298">Y364</f>
        <v>-</v>
      </c>
      <c r="CB364" s="114">
        <f t="shared" ref="CB364:CB365" si="2299">AC364</f>
        <v>343</v>
      </c>
      <c r="CC364" s="113">
        <f t="shared" ref="CC364:CC365" si="2300">AG364</f>
        <v>377</v>
      </c>
      <c r="CD364" s="114">
        <f t="shared" ref="CD364:CD365" si="2301">AK364</f>
        <v>383</v>
      </c>
      <c r="CE364" s="113">
        <f t="shared" ref="CE364:CE365" si="2302">AO364</f>
        <v>431</v>
      </c>
      <c r="CF364" s="114">
        <f t="shared" ref="CF364:CF365" si="2303">AS364</f>
        <v>473</v>
      </c>
      <c r="CG364" s="113">
        <f t="shared" ref="CG364:CG365" si="2304">AW364</f>
        <v>497</v>
      </c>
      <c r="CH364" s="111">
        <f t="shared" ref="CH364:CH365" si="2305">G364</f>
        <v>244</v>
      </c>
      <c r="CI364" s="113">
        <f t="shared" ref="CI364:CI365" si="2306">K364</f>
        <v>249</v>
      </c>
      <c r="CJ364" s="114">
        <f t="shared" ref="CJ364:CJ365" si="2307">O364</f>
        <v>276</v>
      </c>
      <c r="CK364" s="114" t="str">
        <f t="shared" ref="CK364:CK365" si="2308">S364</f>
        <v>-</v>
      </c>
      <c r="CL364" s="114">
        <f t="shared" ref="CL364:CL365" si="2309">W364</f>
        <v>332</v>
      </c>
      <c r="CM364" s="114" t="str">
        <f t="shared" ref="CM364:CM365" si="2310">AA364</f>
        <v>-</v>
      </c>
      <c r="CN364" s="114">
        <f t="shared" ref="CN364:CN365" si="2311">AE364</f>
        <v>366</v>
      </c>
      <c r="CO364" s="114">
        <f t="shared" ref="CO364:CO365" si="2312">AI364</f>
        <v>379</v>
      </c>
      <c r="CP364" s="114">
        <f t="shared" ref="CP364:CP365" si="2313">AM364</f>
        <v>420</v>
      </c>
      <c r="CQ364" s="114">
        <f t="shared" ref="CQ364:CQ365" si="2314">AQ364</f>
        <v>461</v>
      </c>
      <c r="CR364" s="114">
        <f t="shared" ref="CR364:CR365" si="2315">AU364</f>
        <v>496</v>
      </c>
      <c r="CS364" s="114">
        <f t="shared" ref="CS364:CS365" si="2316">AY364</f>
        <v>512</v>
      </c>
      <c r="CT364" s="109">
        <f t="shared" ref="CT364:CT365" si="2317">M364-K364</f>
        <v>1</v>
      </c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  <c r="ZX364" s="9"/>
      <c r="ZY364" s="9"/>
      <c r="ZZ364" s="9"/>
      <c r="AAA364" s="9"/>
      <c r="AAB364" s="9"/>
      <c r="AAC364" s="9"/>
      <c r="AAD364" s="9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/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/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  <c r="ACG364" s="9"/>
      <c r="ACH364" s="9"/>
      <c r="ACI364" s="9"/>
      <c r="ACJ364" s="9"/>
      <c r="ACK364" s="9"/>
      <c r="ACL364" s="9"/>
      <c r="ACM364" s="9"/>
      <c r="ACN364" s="9"/>
      <c r="ACO364" s="9"/>
      <c r="ACP364" s="9"/>
      <c r="ACQ364" s="9"/>
      <c r="ACR364" s="9"/>
      <c r="ACS364" s="9"/>
      <c r="ACT364" s="9"/>
      <c r="ACU364" s="9"/>
      <c r="ACV364" s="9"/>
      <c r="ACW364" s="9"/>
      <c r="ACX364" s="9"/>
      <c r="ACY364" s="9"/>
      <c r="ACZ364" s="9"/>
      <c r="ADA364" s="9"/>
      <c r="ADB364" s="9"/>
      <c r="ADC364" s="9"/>
      <c r="ADD364" s="9"/>
      <c r="ADE364" s="9"/>
      <c r="ADF364" s="9"/>
      <c r="ADG364" s="9"/>
      <c r="ADH364" s="9"/>
      <c r="ADI364" s="9"/>
      <c r="ADJ364" s="9"/>
      <c r="ADK364" s="9"/>
      <c r="ADL364" s="9"/>
      <c r="ADM364" s="9"/>
      <c r="ADN364" s="9"/>
      <c r="ADO364" s="9"/>
      <c r="ADP364" s="9"/>
      <c r="ADQ364" s="9"/>
      <c r="ADR364" s="9"/>
      <c r="ADS364" s="9"/>
      <c r="ADT364" s="9"/>
      <c r="ADU364" s="9"/>
      <c r="ADV364" s="9"/>
      <c r="ADW364" s="9"/>
      <c r="ADX364" s="9"/>
      <c r="ADY364" s="9"/>
      <c r="ADZ364" s="9"/>
      <c r="AEA364" s="9"/>
      <c r="AEB364" s="9"/>
      <c r="AEC364" s="9"/>
      <c r="AED364" s="9"/>
      <c r="AEE364" s="9"/>
      <c r="AEF364" s="9"/>
      <c r="AEG364" s="9"/>
      <c r="AEH364" s="9"/>
      <c r="AEI364" s="9"/>
      <c r="AEJ364" s="9"/>
      <c r="AEK364" s="9"/>
      <c r="AEL364" s="9"/>
      <c r="AEM364" s="9"/>
      <c r="AEN364" s="9"/>
      <c r="AEO364" s="9"/>
      <c r="AEP364" s="9"/>
      <c r="AEQ364" s="9"/>
      <c r="AER364" s="9"/>
      <c r="AES364" s="9"/>
      <c r="AET364" s="9"/>
      <c r="AEU364" s="9"/>
      <c r="AEV364" s="9"/>
      <c r="AEW364" s="9"/>
      <c r="AEX364" s="9"/>
      <c r="AEY364" s="9"/>
      <c r="AEZ364" s="9"/>
      <c r="AFA364" s="9"/>
      <c r="AFB364" s="9"/>
      <c r="AFC364" s="9"/>
      <c r="AFD364" s="9"/>
      <c r="AFE364" s="9"/>
      <c r="AFF364" s="9"/>
      <c r="AFG364" s="9"/>
      <c r="AFH364" s="9"/>
      <c r="AFI364" s="9"/>
      <c r="AFJ364" s="9"/>
      <c r="AFK364" s="9"/>
      <c r="AFL364" s="9"/>
      <c r="AFM364" s="9"/>
      <c r="AFN364" s="9"/>
      <c r="AFO364" s="9"/>
      <c r="AFP364" s="9"/>
      <c r="AFQ364" s="9"/>
      <c r="AFR364" s="9"/>
      <c r="AFS364" s="9"/>
      <c r="AFT364" s="9"/>
      <c r="AFU364" s="9"/>
      <c r="AFV364" s="9"/>
      <c r="AFW364" s="9"/>
      <c r="AFX364" s="9"/>
      <c r="AFY364" s="9"/>
      <c r="AFZ364" s="9"/>
      <c r="AGA364" s="9"/>
      <c r="AGB364" s="9"/>
      <c r="AGC364" s="9"/>
      <c r="AGD364" s="9"/>
      <c r="AGE364" s="9"/>
      <c r="AGF364" s="9"/>
      <c r="AGG364" s="9"/>
      <c r="AGH364" s="9"/>
      <c r="AGI364" s="9"/>
      <c r="AGJ364" s="9"/>
      <c r="AGK364" s="9"/>
      <c r="AGL364" s="9"/>
      <c r="AGM364" s="9"/>
      <c r="AGN364" s="9"/>
      <c r="AGO364" s="9"/>
      <c r="AGP364" s="9"/>
      <c r="AGQ364" s="9"/>
      <c r="AGR364" s="9"/>
      <c r="AGS364" s="9"/>
      <c r="AGT364" s="9"/>
      <c r="AGU364" s="9"/>
      <c r="AGV364" s="9"/>
      <c r="AGW364" s="9"/>
      <c r="AGX364" s="9"/>
      <c r="AGY364" s="9"/>
      <c r="AGZ364" s="9"/>
      <c r="AHA364" s="9"/>
      <c r="AHB364" s="9"/>
      <c r="AHC364" s="9"/>
      <c r="AHD364" s="9"/>
      <c r="AHE364" s="9"/>
      <c r="AHF364" s="9"/>
      <c r="AHG364" s="9"/>
      <c r="AHH364" s="9"/>
      <c r="AHI364" s="9"/>
      <c r="AHJ364" s="9"/>
      <c r="AHK364" s="9"/>
      <c r="AHL364" s="9"/>
      <c r="AHM364" s="9"/>
      <c r="AHN364" s="9"/>
      <c r="AHO364" s="9"/>
      <c r="AHP364" s="9"/>
      <c r="AHQ364" s="9"/>
      <c r="AHR364" s="9"/>
      <c r="AHS364" s="9"/>
      <c r="AHT364" s="9"/>
      <c r="AHU364" s="9"/>
      <c r="AHV364" s="9"/>
      <c r="AHW364" s="9"/>
      <c r="AHX364" s="9"/>
      <c r="AHY364" s="9"/>
      <c r="AHZ364" s="9"/>
      <c r="AIA364" s="9"/>
      <c r="AIB364" s="9"/>
      <c r="AIC364" s="9"/>
      <c r="AID364" s="9"/>
      <c r="AIE364" s="9"/>
      <c r="AIF364" s="9"/>
      <c r="AIG364" s="9"/>
      <c r="AIH364" s="9"/>
      <c r="AII364" s="9"/>
      <c r="AIJ364" s="9"/>
      <c r="AIK364" s="9"/>
      <c r="AIL364" s="9"/>
      <c r="AIM364" s="9"/>
      <c r="AIN364" s="9"/>
      <c r="AIO364" s="9"/>
      <c r="AIP364" s="9"/>
      <c r="AIQ364" s="9"/>
      <c r="AIR364" s="9"/>
      <c r="AIS364" s="9"/>
      <c r="AIT364" s="9"/>
      <c r="AIU364" s="9"/>
      <c r="AIV364" s="9"/>
      <c r="AIW364" s="9"/>
      <c r="AIX364" s="9"/>
      <c r="AIY364" s="9"/>
      <c r="AIZ364" s="9"/>
      <c r="AJA364" s="9"/>
      <c r="AJB364" s="9"/>
      <c r="AJC364" s="9"/>
      <c r="AJD364" s="9"/>
      <c r="AJE364" s="9"/>
      <c r="AJF364" s="9"/>
      <c r="AJG364" s="9"/>
      <c r="AJH364" s="9"/>
      <c r="AJI364" s="9"/>
      <c r="AJJ364" s="9"/>
      <c r="AJK364" s="9"/>
      <c r="AJL364" s="9"/>
      <c r="AJM364" s="9"/>
      <c r="AJN364" s="9"/>
      <c r="AJO364" s="9"/>
      <c r="AJP364" s="9"/>
      <c r="AJQ364" s="9"/>
      <c r="AJR364" s="9"/>
      <c r="AJS364" s="9"/>
      <c r="AJT364" s="9"/>
      <c r="AJU364" s="9"/>
      <c r="AJV364" s="9"/>
      <c r="AJW364" s="9"/>
      <c r="AJX364" s="9"/>
      <c r="AJY364" s="9"/>
      <c r="AJZ364" s="9"/>
      <c r="AKA364" s="9"/>
      <c r="AKB364" s="9"/>
      <c r="AKC364" s="9"/>
      <c r="AKD364" s="9"/>
      <c r="AKE364" s="9"/>
      <c r="AKF364" s="9"/>
      <c r="AKG364" s="9"/>
      <c r="AKH364" s="9"/>
      <c r="AKI364" s="9"/>
      <c r="AKJ364" s="9"/>
      <c r="AKK364" s="9"/>
      <c r="AKL364" s="9"/>
      <c r="AKM364" s="9"/>
      <c r="AKN364" s="9"/>
      <c r="AKO364" s="9"/>
      <c r="AKP364" s="9"/>
      <c r="AKQ364" s="9"/>
      <c r="AKR364" s="9"/>
      <c r="AKS364" s="9"/>
      <c r="AKT364" s="9"/>
      <c r="AKU364" s="9"/>
      <c r="AKV364" s="9"/>
      <c r="AKW364" s="9"/>
      <c r="AKX364" s="9"/>
      <c r="AKY364" s="9"/>
      <c r="AKZ364" s="9"/>
      <c r="ALA364" s="9"/>
      <c r="ALB364" s="9"/>
      <c r="ALC364" s="9"/>
      <c r="ALD364" s="9"/>
      <c r="ALE364" s="9"/>
      <c r="ALF364" s="9"/>
      <c r="ALG364" s="9"/>
      <c r="ALH364" s="9"/>
      <c r="ALI364" s="9"/>
      <c r="ALJ364" s="9"/>
      <c r="ALK364" s="9"/>
      <c r="ALL364" s="9"/>
      <c r="ALM364" s="9"/>
      <c r="ALN364" s="9"/>
      <c r="ALO364" s="9"/>
      <c r="ALP364" s="9"/>
      <c r="ALQ364" s="9"/>
      <c r="ALR364" s="9"/>
      <c r="ALS364" s="9"/>
      <c r="ALT364" s="9"/>
      <c r="ALU364" s="9"/>
      <c r="ALV364" s="9"/>
      <c r="ALW364" s="9"/>
      <c r="ALX364" s="9"/>
      <c r="ALY364" s="9"/>
      <c r="ALZ364" s="9"/>
      <c r="AMA364" s="9"/>
      <c r="AMB364" s="9"/>
      <c r="AMC364" s="9"/>
      <c r="AMD364" s="9"/>
      <c r="AME364" s="9"/>
      <c r="AMF364" s="9"/>
      <c r="AMG364" s="9"/>
      <c r="AMH364" s="9"/>
      <c r="AMI364" s="9"/>
      <c r="AMJ364" s="9"/>
      <c r="AMK364" s="9"/>
      <c r="AML364" s="9"/>
      <c r="AMM364" s="9"/>
      <c r="AMN364" s="9"/>
      <c r="AMO364" s="9"/>
      <c r="AMP364" s="9"/>
    </row>
    <row r="365" spans="1:1030" s="12" customFormat="1" x14ac:dyDescent="0.2">
      <c r="A365" s="9" t="str">
        <f t="shared" ref="A365" si="2318">CONCATENATE(B365,"_",C365)</f>
        <v>fzd4_human_6BD4</v>
      </c>
      <c r="B365" s="9" t="s">
        <v>450</v>
      </c>
      <c r="C365" s="9" t="s">
        <v>1554</v>
      </c>
      <c r="D365" s="9" t="str">
        <f>IFERROR(MID(VLOOKUP($B365,Seqs!$A:$B,2,0),E365,1),"")</f>
        <v>S</v>
      </c>
      <c r="E365" s="9">
        <v>212</v>
      </c>
      <c r="F365" s="9" t="str">
        <f>IFERROR(MID(VLOOKUP($B365,Seqs!$A:$B,2,0),G365,1),"")</f>
        <v>D</v>
      </c>
      <c r="G365" s="9">
        <v>244</v>
      </c>
      <c r="H365" s="9" t="str">
        <f>IFERROR(MID(VLOOKUP($B365,Seqs!$A:$B,2,0),I365,1),"")</f>
        <v>S</v>
      </c>
      <c r="I365" s="109">
        <v>245</v>
      </c>
      <c r="J365" s="9" t="str">
        <f>IFERROR(MID(VLOOKUP($B365,Seqs!$A:$B,2,0),K365,1),"")</f>
        <v>S</v>
      </c>
      <c r="K365" s="109">
        <v>249</v>
      </c>
      <c r="L365" s="9" t="str">
        <f>IFERROR(MID(VLOOKUP($B365,Seqs!$A:$B,2,0),M365,1),"")</f>
        <v>Y</v>
      </c>
      <c r="M365" s="9">
        <v>250</v>
      </c>
      <c r="N365" s="9" t="str">
        <f>IFERROR(MID(VLOOKUP($B365,Seqs!$A:$B,2,0),O365,1),"")</f>
        <v>G</v>
      </c>
      <c r="O365" s="9">
        <v>276</v>
      </c>
      <c r="P365" s="9" t="str">
        <f>IFERROR(MID(VLOOKUP($B365,Seqs!$A:$B,2,0),Q365,1),"")</f>
        <v/>
      </c>
      <c r="Q365" s="9" t="s">
        <v>23</v>
      </c>
      <c r="R365" s="9" t="str">
        <f>IFERROR(MID(VLOOKUP($B365,Seqs!$A:$B,2,0),S365,1),"")</f>
        <v/>
      </c>
      <c r="S365" s="9" t="s">
        <v>23</v>
      </c>
      <c r="T365" s="9" t="str">
        <f>IFERROR(MID(VLOOKUP($B365,Seqs!$A:$B,2,0),U365,1),"")</f>
        <v>N</v>
      </c>
      <c r="U365" s="9">
        <v>299</v>
      </c>
      <c r="V365" s="9" t="str">
        <f>IFERROR(MID(VLOOKUP($B365,Seqs!$A:$B,2,0),W365,1),"")</f>
        <v>G</v>
      </c>
      <c r="W365" s="9">
        <v>332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H</v>
      </c>
      <c r="AC365" s="9">
        <v>343</v>
      </c>
      <c r="AD365" s="9" t="str">
        <f>IFERROR(MID(VLOOKUP($B365,Seqs!$A:$B,2,0),AE365,1),"")</f>
        <v>R</v>
      </c>
      <c r="AE365" s="9">
        <v>366</v>
      </c>
      <c r="AF365" s="9" t="str">
        <f>IFERROR(MID(VLOOKUP($B365,Seqs!$A:$B,2,0),AG365,1),"")</f>
        <v>C</v>
      </c>
      <c r="AG365" s="9">
        <v>377</v>
      </c>
      <c r="AH365" s="9" t="str">
        <f>IFERROR(MID(VLOOKUP($B365,Seqs!$A:$B,2,0),AI365,1),"")</f>
        <v>V</v>
      </c>
      <c r="AI365" s="9">
        <v>379</v>
      </c>
      <c r="AJ365" s="9" t="str">
        <f>IFERROR(MID(VLOOKUP($B365,Seqs!$A:$B,2,0),AK365,1),"")</f>
        <v>N</v>
      </c>
      <c r="AK365" s="9">
        <v>383</v>
      </c>
      <c r="AL365" s="9" t="str">
        <f>IFERROR(MID(VLOOKUP($B365,Seqs!$A:$B,2,0),AM365,1),"")</f>
        <v>S</v>
      </c>
      <c r="AM365" s="9">
        <v>418</v>
      </c>
      <c r="AN365" s="9" t="str">
        <f>IFERROR(MID(VLOOKUP($B365,Seqs!$A:$B,2,0),AO365,1),"")</f>
        <v>E</v>
      </c>
      <c r="AO365" s="9">
        <v>431</v>
      </c>
      <c r="AP365" s="9" t="str">
        <f>IFERROR(MID(VLOOKUP($B365,Seqs!$A:$B,2,0),AQ365,1),"")</f>
        <v>N</v>
      </c>
      <c r="AQ365" s="9">
        <v>461</v>
      </c>
      <c r="AR365" s="9" t="str">
        <f>IFERROR(MID(VLOOKUP($B365,Seqs!$A:$B,2,0),AS365,1),"")</f>
        <v>N</v>
      </c>
      <c r="AS365" s="9">
        <v>473</v>
      </c>
      <c r="AT365" s="9" t="str">
        <f>IFERROR(MID(VLOOKUP($B365,Seqs!$A:$B,2,0),AU365,1),"")</f>
        <v>W</v>
      </c>
      <c r="AU365" s="9">
        <v>496</v>
      </c>
      <c r="AV365" s="9" t="str">
        <f>IFERROR(MID(VLOOKUP($B365,Seqs!$A:$B,2,0),AW365,1),"")</f>
        <v>S</v>
      </c>
      <c r="AW365" s="9">
        <v>497</v>
      </c>
      <c r="AX365" s="9" t="str">
        <f>IFERROR(MID(VLOOKUP($B365,Seqs!$A:$B,2,0),AY365,1),"")</f>
        <v>V</v>
      </c>
      <c r="AY365" s="9">
        <v>512</v>
      </c>
      <c r="AZ365" s="110" t="str">
        <f>VLOOKUP(B365,Classification!A:D,2,0)</f>
        <v>F</v>
      </c>
      <c r="BA365" s="98" t="str">
        <f>VLOOKUP(B365,Classification!A:D,4,0)</f>
        <v>Frizzled</v>
      </c>
      <c r="BB365" s="36" t="b">
        <f t="shared" si="2291"/>
        <v>1</v>
      </c>
      <c r="BC365" s="109">
        <f t="shared" si="2292"/>
        <v>235</v>
      </c>
      <c r="BD365" s="11" t="s">
        <v>1376</v>
      </c>
      <c r="BE365" s="9" t="s">
        <v>1374</v>
      </c>
      <c r="BF365" s="120">
        <v>2.4</v>
      </c>
      <c r="BG365" s="51" t="s">
        <v>1</v>
      </c>
      <c r="BH365" s="51" t="s">
        <v>1</v>
      </c>
      <c r="BI365" s="9"/>
      <c r="BJ365" s="111" t="s">
        <v>1287</v>
      </c>
      <c r="BK365" s="112" t="s">
        <v>1287</v>
      </c>
      <c r="BL365" s="112" t="s">
        <v>1287</v>
      </c>
      <c r="BM365" s="112" t="s">
        <v>1287</v>
      </c>
      <c r="BN365" s="112" t="s">
        <v>1287</v>
      </c>
      <c r="BO365" s="112" t="s">
        <v>1287</v>
      </c>
      <c r="BP365" s="112" t="s">
        <v>1287</v>
      </c>
      <c r="BQ365" s="112" t="s">
        <v>1287</v>
      </c>
      <c r="BR365" s="112" t="s">
        <v>1287</v>
      </c>
      <c r="BS365" s="112" t="s">
        <v>1287</v>
      </c>
      <c r="BT365" s="112" t="s">
        <v>1287</v>
      </c>
      <c r="BU365" s="112" t="s">
        <v>1287</v>
      </c>
      <c r="BV365" s="111">
        <f t="shared" si="2293"/>
        <v>212</v>
      </c>
      <c r="BW365" s="113">
        <f t="shared" si="2294"/>
        <v>245</v>
      </c>
      <c r="BX365" s="114">
        <f t="shared" si="2295"/>
        <v>250</v>
      </c>
      <c r="BY365" s="113" t="str">
        <f t="shared" si="2296"/>
        <v>-</v>
      </c>
      <c r="BZ365" s="114">
        <f t="shared" si="2297"/>
        <v>299</v>
      </c>
      <c r="CA365" s="113" t="str">
        <f t="shared" si="2298"/>
        <v>-</v>
      </c>
      <c r="CB365" s="114">
        <f t="shared" si="2299"/>
        <v>343</v>
      </c>
      <c r="CC365" s="113">
        <f t="shared" si="2300"/>
        <v>377</v>
      </c>
      <c r="CD365" s="114">
        <f t="shared" si="2301"/>
        <v>383</v>
      </c>
      <c r="CE365" s="113">
        <f t="shared" si="2302"/>
        <v>431</v>
      </c>
      <c r="CF365" s="114">
        <f t="shared" si="2303"/>
        <v>473</v>
      </c>
      <c r="CG365" s="113">
        <f t="shared" si="2304"/>
        <v>497</v>
      </c>
      <c r="CH365" s="111">
        <f t="shared" si="2305"/>
        <v>244</v>
      </c>
      <c r="CI365" s="113">
        <f t="shared" si="2306"/>
        <v>249</v>
      </c>
      <c r="CJ365" s="114">
        <f t="shared" si="2307"/>
        <v>276</v>
      </c>
      <c r="CK365" s="114" t="str">
        <f t="shared" si="2308"/>
        <v>-</v>
      </c>
      <c r="CL365" s="114">
        <f t="shared" si="2309"/>
        <v>332</v>
      </c>
      <c r="CM365" s="114" t="str">
        <f t="shared" si="2310"/>
        <v>-</v>
      </c>
      <c r="CN365" s="114">
        <f t="shared" si="2311"/>
        <v>366</v>
      </c>
      <c r="CO365" s="114">
        <f t="shared" si="2312"/>
        <v>379</v>
      </c>
      <c r="CP365" s="114">
        <f t="shared" si="2313"/>
        <v>418</v>
      </c>
      <c r="CQ365" s="114">
        <f t="shared" si="2314"/>
        <v>461</v>
      </c>
      <c r="CR365" s="114">
        <f t="shared" si="2315"/>
        <v>496</v>
      </c>
      <c r="CS365" s="114">
        <f t="shared" si="2316"/>
        <v>512</v>
      </c>
      <c r="CT365" s="109">
        <f t="shared" si="2317"/>
        <v>1</v>
      </c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/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/>
      <c r="AGK365" s="9"/>
      <c r="AGL365" s="9"/>
      <c r="AGM365" s="9"/>
      <c r="AGN365" s="9"/>
      <c r="AGO365" s="9"/>
      <c r="AGP365" s="9"/>
      <c r="AGQ365" s="9"/>
      <c r="AGR365" s="9"/>
      <c r="AGS365" s="9"/>
      <c r="AGT365" s="9"/>
      <c r="AGU365" s="9"/>
      <c r="AGV365" s="9"/>
      <c r="AGW365" s="9"/>
      <c r="AGX365" s="9"/>
      <c r="AGY365" s="9"/>
      <c r="AGZ365" s="9"/>
      <c r="AHA365" s="9"/>
      <c r="AHB365" s="9"/>
      <c r="AHC365" s="9"/>
      <c r="AHD365" s="9"/>
      <c r="AHE365" s="9"/>
      <c r="AHF365" s="9"/>
      <c r="AHG365" s="9"/>
      <c r="AHH365" s="9"/>
      <c r="AHI365" s="9"/>
      <c r="AHJ365" s="9"/>
      <c r="AHK365" s="9"/>
      <c r="AHL365" s="9"/>
      <c r="AHM365" s="9"/>
      <c r="AHN365" s="9"/>
      <c r="AHO365" s="9"/>
      <c r="AHP365" s="9"/>
      <c r="AHQ365" s="9"/>
      <c r="AHR365" s="9"/>
      <c r="AHS365" s="9"/>
      <c r="AHT365" s="9"/>
      <c r="AHU365" s="9"/>
      <c r="AHV365" s="9"/>
      <c r="AHW365" s="9"/>
      <c r="AHX365" s="9"/>
      <c r="AHY365" s="9"/>
      <c r="AHZ365" s="9"/>
      <c r="AIA365" s="9"/>
      <c r="AIB365" s="9"/>
      <c r="AIC365" s="9"/>
      <c r="AID365" s="9"/>
      <c r="AIE365" s="9"/>
      <c r="AIF365" s="9"/>
      <c r="AIG365" s="9"/>
      <c r="AIH365" s="9"/>
      <c r="AII365" s="9"/>
      <c r="AIJ365" s="9"/>
      <c r="AIK365" s="9"/>
      <c r="AIL365" s="9"/>
      <c r="AIM365" s="9"/>
      <c r="AIN365" s="9"/>
      <c r="AIO365" s="9"/>
      <c r="AIP365" s="9"/>
      <c r="AIQ365" s="9"/>
      <c r="AIR365" s="9"/>
      <c r="AIS365" s="9"/>
      <c r="AIT365" s="9"/>
      <c r="AIU365" s="9"/>
      <c r="AIV365" s="9"/>
      <c r="AIW365" s="9"/>
      <c r="AIX365" s="9"/>
      <c r="AIY365" s="9"/>
      <c r="AIZ365" s="9"/>
      <c r="AJA365" s="9"/>
      <c r="AJB365" s="9"/>
      <c r="AJC365" s="9"/>
      <c r="AJD365" s="9"/>
      <c r="AJE365" s="9"/>
      <c r="AJF365" s="9"/>
      <c r="AJG365" s="9"/>
      <c r="AJH365" s="9"/>
      <c r="AJI365" s="9"/>
      <c r="AJJ365" s="9"/>
      <c r="AJK365" s="9"/>
      <c r="AJL365" s="9"/>
      <c r="AJM365" s="9"/>
      <c r="AJN365" s="9"/>
      <c r="AJO365" s="9"/>
      <c r="AJP365" s="9"/>
      <c r="AJQ365" s="9"/>
      <c r="AJR365" s="9"/>
      <c r="AJS365" s="9"/>
      <c r="AJT365" s="9"/>
      <c r="AJU365" s="9"/>
      <c r="AJV365" s="9"/>
      <c r="AJW365" s="9"/>
      <c r="AJX365" s="9"/>
      <c r="AJY365" s="9"/>
      <c r="AJZ365" s="9"/>
      <c r="AKA365" s="9"/>
      <c r="AKB365" s="9"/>
      <c r="AKC365" s="9"/>
      <c r="AKD365" s="9"/>
      <c r="AKE365" s="9"/>
      <c r="AKF365" s="9"/>
      <c r="AKG365" s="9"/>
      <c r="AKH365" s="9"/>
      <c r="AKI365" s="9"/>
      <c r="AKJ365" s="9"/>
      <c r="AKK365" s="9"/>
      <c r="AKL365" s="9"/>
      <c r="AKM365" s="9"/>
      <c r="AKN365" s="9"/>
      <c r="AKO365" s="9"/>
      <c r="AKP365" s="9"/>
      <c r="AKQ365" s="9"/>
      <c r="AKR365" s="9"/>
      <c r="AKS365" s="9"/>
      <c r="AKT365" s="9"/>
      <c r="AKU365" s="9"/>
      <c r="AKV365" s="9"/>
      <c r="AKW365" s="9"/>
      <c r="AKX365" s="9"/>
      <c r="AKY365" s="9"/>
      <c r="AKZ365" s="9"/>
      <c r="ALA365" s="9"/>
      <c r="ALB365" s="9"/>
      <c r="ALC365" s="9"/>
      <c r="ALD365" s="9"/>
      <c r="ALE365" s="9"/>
      <c r="ALF365" s="9"/>
      <c r="ALG365" s="9"/>
      <c r="ALH365" s="9"/>
      <c r="ALI365" s="9"/>
      <c r="ALJ365" s="9"/>
      <c r="ALK365" s="9"/>
      <c r="ALL365" s="9"/>
      <c r="ALM365" s="9"/>
      <c r="ALN365" s="9"/>
      <c r="ALO365" s="9"/>
      <c r="ALP365" s="9"/>
      <c r="ALQ365" s="9"/>
      <c r="ALR365" s="9"/>
      <c r="ALS365" s="9"/>
      <c r="ALT365" s="9"/>
      <c r="ALU365" s="9"/>
      <c r="ALV365" s="9"/>
      <c r="ALW365" s="9"/>
      <c r="ALX365" s="9"/>
      <c r="ALY365" s="9"/>
      <c r="ALZ365" s="9"/>
      <c r="AMA365" s="9"/>
      <c r="AMB365" s="9"/>
      <c r="AMC365" s="9"/>
      <c r="AMD365" s="9"/>
      <c r="AME365" s="9"/>
      <c r="AMF365" s="9"/>
      <c r="AMG365" s="9"/>
      <c r="AMH365" s="9"/>
      <c r="AMI365" s="9"/>
      <c r="AMJ365" s="9"/>
      <c r="AMK365" s="9"/>
      <c r="AML365" s="9"/>
      <c r="AMM365" s="9"/>
      <c r="AMN365" s="9"/>
      <c r="AMO365" s="9"/>
      <c r="AMP365" s="9"/>
    </row>
    <row r="366" spans="1:1030" x14ac:dyDescent="0.2">
      <c r="A366" s="3" t="str">
        <f t="shared" si="2121"/>
        <v>smo_human__wt</v>
      </c>
      <c r="B366" s="3" t="s">
        <v>33</v>
      </c>
      <c r="C366" s="3" t="s">
        <v>100</v>
      </c>
      <c r="D366" s="3" t="str">
        <f>IFERROR(MID(VLOOKUP($B366,Seqs!$A:$B,2,0),E366,1),"")</f>
        <v>T</v>
      </c>
      <c r="E366" s="105">
        <v>223</v>
      </c>
      <c r="F366" s="3" t="str">
        <f>IFERROR(MID(VLOOKUP($B366,Seqs!$A:$B,2,0),G366,1),"")</f>
        <v>D</v>
      </c>
      <c r="G366" s="3">
        <v>255</v>
      </c>
      <c r="H366" s="3" t="str">
        <f>IFERROR(MID(VLOOKUP($B366,Seqs!$A:$B,2,0),I366,1),"")</f>
        <v>W</v>
      </c>
      <c r="I366" s="23">
        <v>256</v>
      </c>
      <c r="J366" s="3" t="str">
        <f>IFERROR(MID(VLOOKUP($B366,Seqs!$A:$B,2,0),K366,1),"")</f>
        <v>N</v>
      </c>
      <c r="K366" s="23">
        <v>260</v>
      </c>
      <c r="L366" s="3" t="str">
        <f>IFERROR(MID(VLOOKUP($B366,Seqs!$A:$B,2,0),M366,1),"")</f>
        <v>R</v>
      </c>
      <c r="M366" s="3">
        <v>261</v>
      </c>
      <c r="N366" s="3" t="str">
        <f>IFERROR(MID(VLOOKUP($B366,Seqs!$A:$B,2,0),O366,1),"")</f>
        <v>F</v>
      </c>
      <c r="O366" s="3">
        <v>285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L</v>
      </c>
      <c r="U366" s="3">
        <v>312</v>
      </c>
      <c r="V366" s="3" t="str">
        <f>IFERROR(MID(VLOOKUP($B366,Seqs!$A:$B,2,0),W366,1),"")</f>
        <v>A</v>
      </c>
      <c r="W366" s="105">
        <v>345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K</v>
      </c>
      <c r="AC366" s="9">
        <v>356</v>
      </c>
      <c r="AD366" s="3" t="str">
        <f>IFERROR(MID(VLOOKUP($B366,Seqs!$A:$B,2,0),AE366,1),"")</f>
        <v>V</v>
      </c>
      <c r="AE366" s="3">
        <v>378</v>
      </c>
      <c r="AF366" s="3" t="str">
        <f>IFERROR(MID(VLOOKUP($B366,Seqs!$A:$B,2,0),AG366,1),"")</f>
        <v>C</v>
      </c>
      <c r="AG366" s="3">
        <v>390</v>
      </c>
      <c r="AH366" s="3" t="str">
        <f>IFERROR(MID(VLOOKUP($B366,Seqs!$A:$B,2,0),AI366,1),"")</f>
        <v>V</v>
      </c>
      <c r="AI366" s="3">
        <v>392</v>
      </c>
      <c r="AJ366" s="3" t="str">
        <f>IFERROR(MID(VLOOKUP($B366,Seqs!$A:$B,2,0),AK366,1),"")</f>
        <v>N</v>
      </c>
      <c r="AK366" s="105">
        <v>396</v>
      </c>
      <c r="AL366" s="3" t="str">
        <f>IFERROR(MID(VLOOKUP($B366,Seqs!$A:$B,2,0),AM366,1),"")</f>
        <v>H</v>
      </c>
      <c r="AM366" s="3">
        <v>433</v>
      </c>
      <c r="AN366" s="3" t="str">
        <f>IFERROR(MID(VLOOKUP($B366,Seqs!$A:$B,2,0),AO366,1),"")</f>
        <v>A</v>
      </c>
      <c r="AO366" s="3">
        <v>442</v>
      </c>
      <c r="AP366" s="3" t="str">
        <f>IFERROR(MID(VLOOKUP($B366,Seqs!$A:$B,2,0),AQ366,1),"")</f>
        <v>I</v>
      </c>
      <c r="AQ366" s="3">
        <v>496</v>
      </c>
      <c r="AR366" s="3" t="str">
        <f>IFERROR(MID(VLOOKUP($B366,Seqs!$A:$B,2,0),AS366,1),"")</f>
        <v>S</v>
      </c>
      <c r="AS366" s="105">
        <v>514</v>
      </c>
      <c r="AT366" s="3" t="str">
        <f>IFERROR(MID(VLOOKUP($B366,Seqs!$A:$B,2,0),AU366,1),"")</f>
        <v>W</v>
      </c>
      <c r="AU366" s="3">
        <v>537</v>
      </c>
      <c r="AV366" s="3" t="str">
        <f>IFERROR(MID(VLOOKUP($B366,Seqs!$A:$B,2,0),AW366,1),"")</f>
        <v>T</v>
      </c>
      <c r="AW366" s="3">
        <v>538</v>
      </c>
      <c r="AX366" s="3" t="str">
        <f>IFERROR(MID(VLOOKUP($B366,Seqs!$A:$B,2,0),AY366,1),"")</f>
        <v>T</v>
      </c>
      <c r="AY366" s="3">
        <v>553</v>
      </c>
      <c r="AZ366" s="77" t="str">
        <f>VLOOKUP(B366,Classification!A:D,2,0)</f>
        <v>F</v>
      </c>
      <c r="BA366" s="94" t="str">
        <f>VLOOKUP(B366,Classification!A:D,4,0)</f>
        <v>Frizzled</v>
      </c>
      <c r="BB366" s="27" t="b">
        <f t="shared" si="2122"/>
        <v>1</v>
      </c>
      <c r="BC366" s="23">
        <f t="shared" si="2095"/>
        <v>258</v>
      </c>
      <c r="BD366" s="56" t="s">
        <v>23</v>
      </c>
      <c r="BE366" s="3" t="s">
        <v>23</v>
      </c>
      <c r="BF366" s="119" t="s">
        <v>23</v>
      </c>
      <c r="BG366" s="49" t="s">
        <v>1372</v>
      </c>
      <c r="BH366" s="49" t="s">
        <v>1377</v>
      </c>
      <c r="BJ366" s="70" t="s">
        <v>1287</v>
      </c>
      <c r="BK366" s="57" t="s">
        <v>1287</v>
      </c>
      <c r="BL366" s="57" t="s">
        <v>1287</v>
      </c>
      <c r="BM366" s="57" t="s">
        <v>1287</v>
      </c>
      <c r="BN366" s="57" t="s">
        <v>1287</v>
      </c>
      <c r="BO366" s="57" t="s">
        <v>1287</v>
      </c>
      <c r="BP366" s="57" t="s">
        <v>1287</v>
      </c>
      <c r="BQ366" s="57" t="s">
        <v>1287</v>
      </c>
      <c r="BR366" s="57" t="s">
        <v>1287</v>
      </c>
      <c r="BS366" s="57" t="s">
        <v>1287</v>
      </c>
      <c r="BT366" s="57" t="s">
        <v>1287</v>
      </c>
      <c r="BU366" s="57" t="s">
        <v>1287</v>
      </c>
      <c r="BV366" s="70">
        <f t="shared" si="2096"/>
        <v>223</v>
      </c>
      <c r="BW366" s="71">
        <f t="shared" si="2097"/>
        <v>256</v>
      </c>
      <c r="BX366" s="72">
        <f t="shared" si="2098"/>
        <v>261</v>
      </c>
      <c r="BY366" s="71" t="str">
        <f t="shared" si="2099"/>
        <v>-</v>
      </c>
      <c r="BZ366" s="72">
        <f t="shared" si="2100"/>
        <v>312</v>
      </c>
      <c r="CA366" s="71" t="str">
        <f t="shared" si="2101"/>
        <v>-</v>
      </c>
      <c r="CB366" s="72">
        <f t="shared" si="2102"/>
        <v>356</v>
      </c>
      <c r="CC366" s="71">
        <f t="shared" si="2103"/>
        <v>390</v>
      </c>
      <c r="CD366" s="72">
        <f t="shared" si="2104"/>
        <v>396</v>
      </c>
      <c r="CE366" s="71">
        <f t="shared" si="2105"/>
        <v>442</v>
      </c>
      <c r="CF366" s="72">
        <f t="shared" si="2106"/>
        <v>514</v>
      </c>
      <c r="CG366" s="71">
        <f t="shared" si="2107"/>
        <v>538</v>
      </c>
      <c r="CH366" s="70">
        <f t="shared" si="2108"/>
        <v>255</v>
      </c>
      <c r="CI366" s="71">
        <f t="shared" si="2109"/>
        <v>260</v>
      </c>
      <c r="CJ366" s="72">
        <f t="shared" si="2110"/>
        <v>285</v>
      </c>
      <c r="CK366" s="72" t="str">
        <f t="shared" si="2111"/>
        <v>-</v>
      </c>
      <c r="CL366" s="72">
        <f t="shared" si="2112"/>
        <v>345</v>
      </c>
      <c r="CM366" s="72" t="str">
        <f t="shared" si="2113"/>
        <v>-</v>
      </c>
      <c r="CN366" s="72">
        <f t="shared" si="2114"/>
        <v>378</v>
      </c>
      <c r="CO366" s="72">
        <f t="shared" si="2115"/>
        <v>392</v>
      </c>
      <c r="CP366" s="72">
        <f t="shared" si="2116"/>
        <v>433</v>
      </c>
      <c r="CQ366" s="72">
        <f t="shared" si="2117"/>
        <v>496</v>
      </c>
      <c r="CR366" s="72">
        <f t="shared" si="2118"/>
        <v>537</v>
      </c>
      <c r="CS366" s="72">
        <f t="shared" si="2119"/>
        <v>553</v>
      </c>
      <c r="CT366" s="23">
        <f t="shared" si="2120"/>
        <v>1</v>
      </c>
    </row>
    <row r="367" spans="1:1030" x14ac:dyDescent="0.2">
      <c r="A367" s="3" t="str">
        <f t="shared" si="2121"/>
        <v>smo_human_4JKV</v>
      </c>
      <c r="B367" s="3" t="s">
        <v>33</v>
      </c>
      <c r="C367" s="3" t="s">
        <v>86</v>
      </c>
      <c r="D367" s="3" t="str">
        <f>IFERROR(MID(VLOOKUP($B367,Seqs!$A:$B,2,0),E367,1),"")</f>
        <v>T</v>
      </c>
      <c r="E367" s="105">
        <v>223</v>
      </c>
      <c r="F367" s="3" t="str">
        <f>IFERROR(MID(VLOOKUP($B367,Seqs!$A:$B,2,0),G367,1),"")</f>
        <v>D</v>
      </c>
      <c r="G367" s="3">
        <v>255</v>
      </c>
      <c r="H367" s="3" t="str">
        <f>IFERROR(MID(VLOOKUP($B367,Seqs!$A:$B,2,0),I367,1),"")</f>
        <v>W</v>
      </c>
      <c r="I367" s="23">
        <v>256</v>
      </c>
      <c r="J367" s="3" t="str">
        <f>IFERROR(MID(VLOOKUP($B367,Seqs!$A:$B,2,0),K367,1),"")</f>
        <v>N</v>
      </c>
      <c r="K367" s="23">
        <v>260</v>
      </c>
      <c r="L367" s="3" t="str">
        <f>IFERROR(MID(VLOOKUP($B367,Seqs!$A:$B,2,0),M367,1),"")</f>
        <v>R</v>
      </c>
      <c r="M367" s="3">
        <v>261</v>
      </c>
      <c r="N367" s="3" t="str">
        <f>IFERROR(MID(VLOOKUP($B367,Seqs!$A:$B,2,0),O367,1),"")</f>
        <v>F</v>
      </c>
      <c r="O367" s="3">
        <v>285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L</v>
      </c>
      <c r="U367" s="3">
        <v>312</v>
      </c>
      <c r="V367" s="3" t="str">
        <f>IFERROR(MID(VLOOKUP($B367,Seqs!$A:$B,2,0),W367,1),"")</f>
        <v>T</v>
      </c>
      <c r="W367" s="3">
        <v>348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F</v>
      </c>
      <c r="AC367" s="9">
        <v>360</v>
      </c>
      <c r="AD367" s="3" t="str">
        <f>IFERROR(MID(VLOOKUP($B367,Seqs!$A:$B,2,0),AE367,1),"")</f>
        <v>V</v>
      </c>
      <c r="AE367" s="3">
        <v>378</v>
      </c>
      <c r="AF367" s="3" t="str">
        <f>IFERROR(MID(VLOOKUP($B367,Seqs!$A:$B,2,0),AG367,1),"")</f>
        <v>C</v>
      </c>
      <c r="AG367" s="3">
        <v>390</v>
      </c>
      <c r="AH367" s="3" t="str">
        <f>IFERROR(MID(VLOOKUP($B367,Seqs!$A:$B,2,0),AI367,1),"")</f>
        <v>V</v>
      </c>
      <c r="AI367" s="3">
        <v>392</v>
      </c>
      <c r="AJ367" s="3" t="str">
        <f>IFERROR(MID(VLOOKUP($B367,Seqs!$A:$B,2,0),AK367,1),"")</f>
        <v>N</v>
      </c>
      <c r="AK367" s="105">
        <v>396</v>
      </c>
      <c r="AL367" s="3" t="str">
        <f>IFERROR(MID(VLOOKUP($B367,Seqs!$A:$B,2,0),AM367,1),"")</f>
        <v>H</v>
      </c>
      <c r="AM367" s="3">
        <v>433</v>
      </c>
      <c r="AN367" s="3" t="str">
        <f>IFERROR(MID(VLOOKUP($B367,Seqs!$A:$B,2,0),AO367,1),"")</f>
        <v>A</v>
      </c>
      <c r="AO367" s="3">
        <v>442</v>
      </c>
      <c r="AP367" s="3" t="str">
        <f>IFERROR(MID(VLOOKUP($B367,Seqs!$A:$B,2,0),AQ367,1),"")</f>
        <v>N</v>
      </c>
      <c r="AQ367" s="3">
        <v>493</v>
      </c>
      <c r="AR367" s="3" t="str">
        <f>IFERROR(MID(VLOOKUP($B367,Seqs!$A:$B,2,0),AS367,1),"")</f>
        <v>S</v>
      </c>
      <c r="AS367" s="105">
        <v>514</v>
      </c>
      <c r="AT367" s="3" t="str">
        <f>IFERROR(MID(VLOOKUP($B367,Seqs!$A:$B,2,0),AU367,1),"")</f>
        <v>W</v>
      </c>
      <c r="AU367" s="3">
        <v>537</v>
      </c>
      <c r="AV367" s="3" t="str">
        <f>IFERROR(MID(VLOOKUP($B367,Seqs!$A:$B,2,0),AW367,1),"")</f>
        <v>T</v>
      </c>
      <c r="AW367" s="3">
        <v>538</v>
      </c>
      <c r="AX367" s="3" t="str">
        <f>IFERROR(MID(VLOOKUP($B367,Seqs!$A:$B,2,0),AY367,1),"")</f>
        <v>C</v>
      </c>
      <c r="AY367" s="3">
        <v>550</v>
      </c>
      <c r="AZ367" s="77" t="str">
        <f>VLOOKUP(B367,Classification!A:D,2,0)</f>
        <v>F</v>
      </c>
      <c r="BA367" s="94" t="str">
        <f>VLOOKUP(B367,Classification!A:D,4,0)</f>
        <v>Frizzled</v>
      </c>
      <c r="BB367" s="27" t="b">
        <f t="shared" si="2122"/>
        <v>1</v>
      </c>
      <c r="BC367" s="23">
        <f t="shared" si="2095"/>
        <v>251</v>
      </c>
      <c r="BD367" s="4" t="s">
        <v>23</v>
      </c>
      <c r="BE367" s="3" t="s">
        <v>1374</v>
      </c>
      <c r="BF367" s="119">
        <v>2.4500000000000002</v>
      </c>
      <c r="BG367" s="49" t="s">
        <v>1377</v>
      </c>
      <c r="BH367" s="49" t="s">
        <v>1377</v>
      </c>
      <c r="BJ367" s="70" t="s">
        <v>1287</v>
      </c>
      <c r="BK367" s="57" t="s">
        <v>1287</v>
      </c>
      <c r="BL367" s="57" t="s">
        <v>1287</v>
      </c>
      <c r="BM367" s="57" t="s">
        <v>1287</v>
      </c>
      <c r="BN367" s="57" t="s">
        <v>1287</v>
      </c>
      <c r="BO367" s="57" t="s">
        <v>1287</v>
      </c>
      <c r="BP367" s="57" t="s">
        <v>1287</v>
      </c>
      <c r="BQ367" s="57" t="s">
        <v>1287</v>
      </c>
      <c r="BR367" s="57" t="s">
        <v>1287</v>
      </c>
      <c r="BS367" s="57" t="s">
        <v>1287</v>
      </c>
      <c r="BT367" s="57" t="s">
        <v>1287</v>
      </c>
      <c r="BU367" s="57" t="s">
        <v>1287</v>
      </c>
      <c r="BV367" s="70">
        <f t="shared" si="2096"/>
        <v>223</v>
      </c>
      <c r="BW367" s="71">
        <f t="shared" si="2097"/>
        <v>256</v>
      </c>
      <c r="BX367" s="72">
        <f t="shared" si="2098"/>
        <v>261</v>
      </c>
      <c r="BY367" s="71" t="str">
        <f t="shared" si="2099"/>
        <v>-</v>
      </c>
      <c r="BZ367" s="72">
        <f t="shared" si="2100"/>
        <v>312</v>
      </c>
      <c r="CA367" s="71" t="str">
        <f t="shared" si="2101"/>
        <v>-</v>
      </c>
      <c r="CB367" s="72">
        <f t="shared" si="2102"/>
        <v>360</v>
      </c>
      <c r="CC367" s="71">
        <f t="shared" si="2103"/>
        <v>390</v>
      </c>
      <c r="CD367" s="72">
        <f t="shared" si="2104"/>
        <v>396</v>
      </c>
      <c r="CE367" s="71">
        <f t="shared" si="2105"/>
        <v>442</v>
      </c>
      <c r="CF367" s="72">
        <f t="shared" si="2106"/>
        <v>514</v>
      </c>
      <c r="CG367" s="71">
        <f t="shared" si="2107"/>
        <v>538</v>
      </c>
      <c r="CH367" s="70">
        <f t="shared" si="2108"/>
        <v>255</v>
      </c>
      <c r="CI367" s="71">
        <f t="shared" si="2109"/>
        <v>260</v>
      </c>
      <c r="CJ367" s="72">
        <f t="shared" si="2110"/>
        <v>285</v>
      </c>
      <c r="CK367" s="72" t="str">
        <f t="shared" si="2111"/>
        <v>-</v>
      </c>
      <c r="CL367" s="72">
        <f t="shared" si="2112"/>
        <v>348</v>
      </c>
      <c r="CM367" s="72" t="str">
        <f t="shared" si="2113"/>
        <v>-</v>
      </c>
      <c r="CN367" s="72">
        <f t="shared" si="2114"/>
        <v>378</v>
      </c>
      <c r="CO367" s="72">
        <f t="shared" si="2115"/>
        <v>392</v>
      </c>
      <c r="CP367" s="72">
        <f t="shared" si="2116"/>
        <v>433</v>
      </c>
      <c r="CQ367" s="72">
        <f t="shared" si="2117"/>
        <v>493</v>
      </c>
      <c r="CR367" s="72">
        <f t="shared" si="2118"/>
        <v>537</v>
      </c>
      <c r="CS367" s="72">
        <f t="shared" si="2119"/>
        <v>550</v>
      </c>
      <c r="CT367" s="23">
        <f t="shared" si="2120"/>
        <v>1</v>
      </c>
    </row>
    <row r="368" spans="1:1030" x14ac:dyDescent="0.2">
      <c r="A368" s="3" t="str">
        <f t="shared" si="2121"/>
        <v>smo_human_4N4W</v>
      </c>
      <c r="B368" s="3" t="s">
        <v>33</v>
      </c>
      <c r="C368" s="3" t="s">
        <v>1047</v>
      </c>
      <c r="D368" s="3" t="str">
        <f>IFERROR(MID(VLOOKUP($B368,Seqs!$A:$B,2,0),E368,1),"")</f>
        <v>T</v>
      </c>
      <c r="E368" s="105">
        <v>223</v>
      </c>
      <c r="F368" s="3" t="str">
        <f>IFERROR(MID(VLOOKUP($B368,Seqs!$A:$B,2,0),G368,1),"")</f>
        <v>D</v>
      </c>
      <c r="G368" s="3">
        <v>255</v>
      </c>
      <c r="H368" s="3" t="str">
        <f>IFERROR(MID(VLOOKUP($B368,Seqs!$A:$B,2,0),I368,1),"")</f>
        <v>W</v>
      </c>
      <c r="I368" s="23">
        <v>256</v>
      </c>
      <c r="J368" s="3" t="str">
        <f>IFERROR(MID(VLOOKUP($B368,Seqs!$A:$B,2,0),K368,1),"")</f>
        <v>N</v>
      </c>
      <c r="K368" s="23">
        <v>260</v>
      </c>
      <c r="L368" s="3" t="str">
        <f>IFERROR(MID(VLOOKUP($B368,Seqs!$A:$B,2,0),M368,1),"")</f>
        <v>R</v>
      </c>
      <c r="M368" s="3">
        <v>261</v>
      </c>
      <c r="N368" s="3" t="str">
        <f>IFERROR(MID(VLOOKUP($B368,Seqs!$A:$B,2,0),O368,1),"")</f>
        <v>F</v>
      </c>
      <c r="O368" s="3">
        <v>285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L</v>
      </c>
      <c r="U368" s="3">
        <v>312</v>
      </c>
      <c r="V368" s="3" t="str">
        <f>IFERROR(MID(VLOOKUP($B368,Seqs!$A:$B,2,0),W368,1),"")</f>
        <v>A</v>
      </c>
      <c r="W368" s="3">
        <v>345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K</v>
      </c>
      <c r="AC368" s="9">
        <v>356</v>
      </c>
      <c r="AD368" s="3" t="str">
        <f>IFERROR(MID(VLOOKUP($B368,Seqs!$A:$B,2,0),AE368,1),"")</f>
        <v>V</v>
      </c>
      <c r="AE368" s="3">
        <v>378</v>
      </c>
      <c r="AF368" s="3" t="str">
        <f>IFERROR(MID(VLOOKUP($B368,Seqs!$A:$B,2,0),AG368,1),"")</f>
        <v>C</v>
      </c>
      <c r="AG368" s="3">
        <v>390</v>
      </c>
      <c r="AH368" s="3" t="str">
        <f>IFERROR(MID(VLOOKUP($B368,Seqs!$A:$B,2,0),AI368,1),"")</f>
        <v>V</v>
      </c>
      <c r="AI368" s="3">
        <v>392</v>
      </c>
      <c r="AJ368" s="3" t="str">
        <f>IFERROR(MID(VLOOKUP($B368,Seqs!$A:$B,2,0),AK368,1),"")</f>
        <v>N</v>
      </c>
      <c r="AK368" s="105">
        <v>396</v>
      </c>
      <c r="AL368" s="3" t="str">
        <f>IFERROR(MID(VLOOKUP($B368,Seqs!$A:$B,2,0),AM368,1),"")</f>
        <v>H</v>
      </c>
      <c r="AM368" s="3">
        <v>433</v>
      </c>
      <c r="AN368" s="3" t="str">
        <f>IFERROR(MID(VLOOKUP($B368,Seqs!$A:$B,2,0),AO368,1),"")</f>
        <v>S</v>
      </c>
      <c r="AO368" s="3">
        <v>443</v>
      </c>
      <c r="AP368" s="3" t="str">
        <f>IFERROR(MID(VLOOKUP($B368,Seqs!$A:$B,2,0),AQ368,1),"")</f>
        <v>Q</v>
      </c>
      <c r="AQ368" s="3">
        <v>491</v>
      </c>
      <c r="AR368" s="3" t="str">
        <f>IFERROR(MID(VLOOKUP($B368,Seqs!$A:$B,2,0),AS368,1),"")</f>
        <v>S</v>
      </c>
      <c r="AS368" s="105">
        <v>514</v>
      </c>
      <c r="AT368" s="3" t="str">
        <f>IFERROR(MID(VLOOKUP($B368,Seqs!$A:$B,2,0),AU368,1),"")</f>
        <v>W</v>
      </c>
      <c r="AU368" s="3">
        <v>537</v>
      </c>
      <c r="AV368" s="3" t="str">
        <f>IFERROR(MID(VLOOKUP($B368,Seqs!$A:$B,2,0),AW368,1),"")</f>
        <v>T</v>
      </c>
      <c r="AW368" s="3">
        <v>538</v>
      </c>
      <c r="AX368" s="3" t="str">
        <f>IFERROR(MID(VLOOKUP($B368,Seqs!$A:$B,2,0),AY368,1),"")</f>
        <v>L</v>
      </c>
      <c r="AY368" s="3">
        <v>552</v>
      </c>
      <c r="AZ368" s="77" t="str">
        <f>VLOOKUP(B368,Classification!A:D,2,0)</f>
        <v>F</v>
      </c>
      <c r="BA368" s="94" t="str">
        <f>VLOOKUP(B368,Classification!A:D,4,0)</f>
        <v>Frizzled</v>
      </c>
      <c r="BB368" s="27" t="b">
        <f t="shared" si="2122"/>
        <v>1</v>
      </c>
      <c r="BC368" s="23">
        <f t="shared" si="2095"/>
        <v>251</v>
      </c>
      <c r="BD368" s="2" t="s">
        <v>23</v>
      </c>
      <c r="BE368" s="3" t="s">
        <v>1374</v>
      </c>
      <c r="BF368" s="119">
        <v>2.8</v>
      </c>
      <c r="BG368" s="49" t="s">
        <v>1377</v>
      </c>
      <c r="BH368" s="49" t="s">
        <v>1377</v>
      </c>
      <c r="BJ368" s="70" t="s">
        <v>1287</v>
      </c>
      <c r="BK368" s="57" t="s">
        <v>1287</v>
      </c>
      <c r="BL368" s="57" t="s">
        <v>1287</v>
      </c>
      <c r="BM368" s="57" t="s">
        <v>1287</v>
      </c>
      <c r="BN368" s="57" t="s">
        <v>1287</v>
      </c>
      <c r="BO368" s="57" t="s">
        <v>1287</v>
      </c>
      <c r="BP368" s="57" t="s">
        <v>1287</v>
      </c>
      <c r="BQ368" s="57" t="s">
        <v>1287</v>
      </c>
      <c r="BR368" s="57" t="s">
        <v>1287</v>
      </c>
      <c r="BS368" s="57" t="s">
        <v>1287</v>
      </c>
      <c r="BT368" s="57" t="s">
        <v>1287</v>
      </c>
      <c r="BU368" s="57" t="s">
        <v>1287</v>
      </c>
      <c r="BV368" s="70">
        <f t="shared" si="2096"/>
        <v>223</v>
      </c>
      <c r="BW368" s="71">
        <f t="shared" si="2097"/>
        <v>256</v>
      </c>
      <c r="BX368" s="72">
        <f t="shared" si="2098"/>
        <v>261</v>
      </c>
      <c r="BY368" s="71" t="str">
        <f t="shared" si="2099"/>
        <v>-</v>
      </c>
      <c r="BZ368" s="72">
        <f t="shared" si="2100"/>
        <v>312</v>
      </c>
      <c r="CA368" s="71" t="str">
        <f t="shared" si="2101"/>
        <v>-</v>
      </c>
      <c r="CB368" s="72">
        <f t="shared" si="2102"/>
        <v>356</v>
      </c>
      <c r="CC368" s="71">
        <f t="shared" si="2103"/>
        <v>390</v>
      </c>
      <c r="CD368" s="72">
        <f t="shared" si="2104"/>
        <v>396</v>
      </c>
      <c r="CE368" s="71">
        <f t="shared" si="2105"/>
        <v>443</v>
      </c>
      <c r="CF368" s="72">
        <f t="shared" si="2106"/>
        <v>514</v>
      </c>
      <c r="CG368" s="71">
        <f t="shared" si="2107"/>
        <v>538</v>
      </c>
      <c r="CH368" s="70">
        <f t="shared" si="2108"/>
        <v>255</v>
      </c>
      <c r="CI368" s="71">
        <f t="shared" si="2109"/>
        <v>260</v>
      </c>
      <c r="CJ368" s="72">
        <f t="shared" si="2110"/>
        <v>285</v>
      </c>
      <c r="CK368" s="72" t="str">
        <f t="shared" si="2111"/>
        <v>-</v>
      </c>
      <c r="CL368" s="72">
        <f t="shared" si="2112"/>
        <v>345</v>
      </c>
      <c r="CM368" s="72" t="str">
        <f t="shared" si="2113"/>
        <v>-</v>
      </c>
      <c r="CN368" s="72">
        <f t="shared" si="2114"/>
        <v>378</v>
      </c>
      <c r="CO368" s="72">
        <f t="shared" si="2115"/>
        <v>392</v>
      </c>
      <c r="CP368" s="72">
        <f t="shared" si="2116"/>
        <v>433</v>
      </c>
      <c r="CQ368" s="72">
        <f t="shared" si="2117"/>
        <v>491</v>
      </c>
      <c r="CR368" s="72">
        <f t="shared" si="2118"/>
        <v>537</v>
      </c>
      <c r="CS368" s="72">
        <f t="shared" si="2119"/>
        <v>552</v>
      </c>
      <c r="CT368" s="23">
        <f t="shared" si="2120"/>
        <v>1</v>
      </c>
    </row>
    <row r="369" spans="1:1030" x14ac:dyDescent="0.2">
      <c r="A369" s="3" t="str">
        <f t="shared" si="2121"/>
        <v>smo_human_4O9R</v>
      </c>
      <c r="B369" s="3" t="s">
        <v>33</v>
      </c>
      <c r="C369" s="3" t="s">
        <v>1049</v>
      </c>
      <c r="D369" s="3" t="str">
        <f>IFERROR(MID(VLOOKUP($B369,Seqs!$A:$B,2,0),E369,1),"")</f>
        <v>T</v>
      </c>
      <c r="E369" s="105">
        <v>223</v>
      </c>
      <c r="F369" s="3" t="str">
        <f>IFERROR(MID(VLOOKUP($B369,Seqs!$A:$B,2,0),G369,1),"")</f>
        <v>D</v>
      </c>
      <c r="G369" s="3">
        <v>255</v>
      </c>
      <c r="H369" s="3" t="str">
        <f>IFERROR(MID(VLOOKUP($B369,Seqs!$A:$B,2,0),I369,1),"")</f>
        <v>W</v>
      </c>
      <c r="I369" s="23">
        <v>256</v>
      </c>
      <c r="J369" s="3" t="str">
        <f>IFERROR(MID(VLOOKUP($B369,Seqs!$A:$B,2,0),K369,1),"")</f>
        <v>N</v>
      </c>
      <c r="K369" s="23">
        <v>260</v>
      </c>
      <c r="L369" s="3" t="str">
        <f>IFERROR(MID(VLOOKUP($B369,Seqs!$A:$B,2,0),M369,1),"")</f>
        <v>R</v>
      </c>
      <c r="M369" s="3">
        <v>261</v>
      </c>
      <c r="N369" s="3" t="str">
        <f>IFERROR(MID(VLOOKUP($B369,Seqs!$A:$B,2,0),O369,1),"")</f>
        <v>F</v>
      </c>
      <c r="O369" s="3">
        <v>285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312</v>
      </c>
      <c r="V369" s="3" t="str">
        <f>IFERROR(MID(VLOOKUP($B369,Seqs!$A:$B,2,0),W369,1),"")</f>
        <v>F</v>
      </c>
      <c r="W369" s="3">
        <v>343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F</v>
      </c>
      <c r="AC369" s="9">
        <v>360</v>
      </c>
      <c r="AD369" s="3" t="str">
        <f>IFERROR(MID(VLOOKUP($B369,Seqs!$A:$B,2,0),AE369,1),"")</f>
        <v>V</v>
      </c>
      <c r="AE369" s="3">
        <v>378</v>
      </c>
      <c r="AF369" s="3" t="str">
        <f>IFERROR(MID(VLOOKUP($B369,Seqs!$A:$B,2,0),AG369,1),"")</f>
        <v>C</v>
      </c>
      <c r="AG369" s="3">
        <v>390</v>
      </c>
      <c r="AH369" s="3" t="str">
        <f>IFERROR(MID(VLOOKUP($B369,Seqs!$A:$B,2,0),AI369,1),"")</f>
        <v>V</v>
      </c>
      <c r="AI369" s="3">
        <v>392</v>
      </c>
      <c r="AJ369" s="3" t="str">
        <f>IFERROR(MID(VLOOKUP($B369,Seqs!$A:$B,2,0),AK369,1),"")</f>
        <v>N</v>
      </c>
      <c r="AK369" s="105">
        <v>396</v>
      </c>
      <c r="AL369" s="3" t="str">
        <f>IFERROR(MID(VLOOKUP($B369,Seqs!$A:$B,2,0),AM369,1),"")</f>
        <v>H</v>
      </c>
      <c r="AM369" s="3">
        <v>433</v>
      </c>
      <c r="AN369" s="3" t="str">
        <f>IFERROR(MID(VLOOKUP($B369,Seqs!$A:$B,2,0),AO369,1),"")</f>
        <v>E</v>
      </c>
      <c r="AO369" s="3">
        <v>447</v>
      </c>
      <c r="AP369" s="3" t="str">
        <f>IFERROR(MID(VLOOKUP($B369,Seqs!$A:$B,2,0),AQ369,1),"")</f>
        <v>N</v>
      </c>
      <c r="AQ369" s="3">
        <v>493</v>
      </c>
      <c r="AR369" s="3" t="str">
        <f>IFERROR(MID(VLOOKUP($B369,Seqs!$A:$B,2,0),AS369,1),"")</f>
        <v>S</v>
      </c>
      <c r="AS369" s="105">
        <v>514</v>
      </c>
      <c r="AT369" s="3" t="str">
        <f>IFERROR(MID(VLOOKUP($B369,Seqs!$A:$B,2,0),AU369,1),"")</f>
        <v>W</v>
      </c>
      <c r="AU369" s="3">
        <v>537</v>
      </c>
      <c r="AV369" s="3" t="str">
        <f>IFERROR(MID(VLOOKUP($B369,Seqs!$A:$B,2,0),AW369,1),"")</f>
        <v>T</v>
      </c>
      <c r="AW369" s="3">
        <v>538</v>
      </c>
      <c r="AX369" s="3" t="str">
        <f>IFERROR(MID(VLOOKUP($B369,Seqs!$A:$B,2,0),AY369,1),"")</f>
        <v>W</v>
      </c>
      <c r="AY369" s="3">
        <v>549</v>
      </c>
      <c r="AZ369" s="78" t="str">
        <f>VLOOKUP(B369,Classification!A:D,2,0)</f>
        <v>F</v>
      </c>
      <c r="BA369" s="94" t="str">
        <f>VLOOKUP(B369,Classification!A:D,4,0)</f>
        <v>Frizzled</v>
      </c>
      <c r="BB369" s="92" t="b">
        <f t="shared" si="2122"/>
        <v>1</v>
      </c>
      <c r="BC369" s="23">
        <f t="shared" si="2095"/>
        <v>240</v>
      </c>
      <c r="BD369" s="74" t="s">
        <v>23</v>
      </c>
      <c r="BE369" s="3" t="s">
        <v>1374</v>
      </c>
      <c r="BF369" s="119">
        <v>3.2</v>
      </c>
      <c r="BG369" s="49" t="s">
        <v>1377</v>
      </c>
      <c r="BH369" s="49" t="s">
        <v>1377</v>
      </c>
      <c r="BJ369" s="75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5">
        <f t="shared" si="2096"/>
        <v>223</v>
      </c>
      <c r="BW369" s="71">
        <f t="shared" si="2097"/>
        <v>256</v>
      </c>
      <c r="BX369" s="72">
        <f t="shared" si="2098"/>
        <v>261</v>
      </c>
      <c r="BY369" s="71" t="str">
        <f t="shared" si="2099"/>
        <v>-</v>
      </c>
      <c r="BZ369" s="72">
        <f t="shared" si="2100"/>
        <v>312</v>
      </c>
      <c r="CA369" s="71" t="str">
        <f t="shared" si="2101"/>
        <v>-</v>
      </c>
      <c r="CB369" s="72">
        <f t="shared" si="2102"/>
        <v>360</v>
      </c>
      <c r="CC369" s="71">
        <f t="shared" si="2103"/>
        <v>390</v>
      </c>
      <c r="CD369" s="72">
        <f t="shared" si="2104"/>
        <v>396</v>
      </c>
      <c r="CE369" s="71">
        <f t="shared" si="2105"/>
        <v>447</v>
      </c>
      <c r="CF369" s="72">
        <f t="shared" si="2106"/>
        <v>514</v>
      </c>
      <c r="CG369" s="71">
        <f t="shared" si="2107"/>
        <v>538</v>
      </c>
      <c r="CH369" s="75">
        <f t="shared" si="2108"/>
        <v>255</v>
      </c>
      <c r="CI369" s="71">
        <f t="shared" si="2109"/>
        <v>260</v>
      </c>
      <c r="CJ369" s="72">
        <f t="shared" si="2110"/>
        <v>285</v>
      </c>
      <c r="CK369" s="72" t="str">
        <f t="shared" si="2111"/>
        <v>-</v>
      </c>
      <c r="CL369" s="72">
        <f t="shared" si="2112"/>
        <v>343</v>
      </c>
      <c r="CM369" s="72" t="str">
        <f t="shared" si="2113"/>
        <v>-</v>
      </c>
      <c r="CN369" s="72">
        <f t="shared" si="2114"/>
        <v>378</v>
      </c>
      <c r="CO369" s="72">
        <f t="shared" si="2115"/>
        <v>392</v>
      </c>
      <c r="CP369" s="72">
        <f t="shared" si="2116"/>
        <v>433</v>
      </c>
      <c r="CQ369" s="72">
        <f t="shared" si="2117"/>
        <v>493</v>
      </c>
      <c r="CR369" s="72">
        <f t="shared" si="2118"/>
        <v>537</v>
      </c>
      <c r="CS369" s="72">
        <f t="shared" si="2119"/>
        <v>549</v>
      </c>
      <c r="CT369" s="23">
        <f t="shared" si="2120"/>
        <v>1</v>
      </c>
    </row>
    <row r="370" spans="1:1030" s="6" customFormat="1" x14ac:dyDescent="0.2">
      <c r="A370" s="3" t="str">
        <f t="shared" si="2121"/>
        <v>smo_human_4QIM</v>
      </c>
      <c r="B370" s="3" t="s">
        <v>33</v>
      </c>
      <c r="C370" s="3" t="s">
        <v>1051</v>
      </c>
      <c r="D370" s="3" t="str">
        <f>IFERROR(MID(VLOOKUP($B370,Seqs!$A:$B,2,0),E370,1),"")</f>
        <v>T</v>
      </c>
      <c r="E370" s="105">
        <v>223</v>
      </c>
      <c r="F370" s="3" t="str">
        <f>IFERROR(MID(VLOOKUP($B370,Seqs!$A:$B,2,0),G370,1),"")</f>
        <v>D</v>
      </c>
      <c r="G370" s="3">
        <v>255</v>
      </c>
      <c r="H370" s="3" t="str">
        <f>IFERROR(MID(VLOOKUP($B370,Seqs!$A:$B,2,0),I370,1),"")</f>
        <v>W</v>
      </c>
      <c r="I370" s="23">
        <v>256</v>
      </c>
      <c r="J370" s="3" t="str">
        <f>IFERROR(MID(VLOOKUP($B370,Seqs!$A:$B,2,0),K370,1),"")</f>
        <v>N</v>
      </c>
      <c r="K370" s="23">
        <v>260</v>
      </c>
      <c r="L370" s="3" t="str">
        <f>IFERROR(MID(VLOOKUP($B370,Seqs!$A:$B,2,0),M370,1),"")</f>
        <v>R</v>
      </c>
      <c r="M370" s="3">
        <v>261</v>
      </c>
      <c r="N370" s="3" t="str">
        <f>IFERROR(MID(VLOOKUP($B370,Seqs!$A:$B,2,0),O370,1),"")</f>
        <v>F</v>
      </c>
      <c r="O370" s="3">
        <v>285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L</v>
      </c>
      <c r="U370" s="3">
        <v>312</v>
      </c>
      <c r="V370" s="3" t="str">
        <f>IFERROR(MID(VLOOKUP($B370,Seqs!$A:$B,2,0),W370,1),"")</f>
        <v>A</v>
      </c>
      <c r="W370" s="3">
        <v>345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K</v>
      </c>
      <c r="AC370" s="9">
        <v>356</v>
      </c>
      <c r="AD370" s="3" t="str">
        <f>IFERROR(MID(VLOOKUP($B370,Seqs!$A:$B,2,0),AE370,1),"")</f>
        <v>V</v>
      </c>
      <c r="AE370" s="3">
        <v>378</v>
      </c>
      <c r="AF370" s="3" t="str">
        <f>IFERROR(MID(VLOOKUP($B370,Seqs!$A:$B,2,0),AG370,1),"")</f>
        <v>C</v>
      </c>
      <c r="AG370" s="3">
        <v>390</v>
      </c>
      <c r="AH370" s="3" t="str">
        <f>IFERROR(MID(VLOOKUP($B370,Seqs!$A:$B,2,0),AI370,1),"")</f>
        <v>V</v>
      </c>
      <c r="AI370" s="3">
        <v>392</v>
      </c>
      <c r="AJ370" s="3" t="str">
        <f>IFERROR(MID(VLOOKUP($B370,Seqs!$A:$B,2,0),AK370,1),"")</f>
        <v>N</v>
      </c>
      <c r="AK370" s="105">
        <v>396</v>
      </c>
      <c r="AL370" s="3" t="str">
        <f>IFERROR(MID(VLOOKUP($B370,Seqs!$A:$B,2,0),AM370,1),"")</f>
        <v>H</v>
      </c>
      <c r="AM370" s="3">
        <v>433</v>
      </c>
      <c r="AN370" s="3" t="str">
        <f>IFERROR(MID(VLOOKUP($B370,Seqs!$A:$B,2,0),AO370,1),"")</f>
        <v>E</v>
      </c>
      <c r="AO370" s="3">
        <v>447</v>
      </c>
      <c r="AP370" s="3" t="str">
        <f>IFERROR(MID(VLOOKUP($B370,Seqs!$A:$B,2,0),AQ370,1),"")</f>
        <v>N</v>
      </c>
      <c r="AQ370" s="3">
        <v>493</v>
      </c>
      <c r="AR370" s="3" t="str">
        <f>IFERROR(MID(VLOOKUP($B370,Seqs!$A:$B,2,0),AS370,1),"")</f>
        <v>S</v>
      </c>
      <c r="AS370" s="105">
        <v>514</v>
      </c>
      <c r="AT370" s="3" t="str">
        <f>IFERROR(MID(VLOOKUP($B370,Seqs!$A:$B,2,0),AU370,1),"")</f>
        <v>W</v>
      </c>
      <c r="AU370" s="3">
        <v>537</v>
      </c>
      <c r="AV370" s="3" t="str">
        <f>IFERROR(MID(VLOOKUP($B370,Seqs!$A:$B,2,0),AW370,1),"")</f>
        <v>T</v>
      </c>
      <c r="AW370" s="3">
        <v>538</v>
      </c>
      <c r="AX370" s="3" t="str">
        <f>IFERROR(MID(VLOOKUP($B370,Seqs!$A:$B,2,0),AY370,1),"")</f>
        <v>T</v>
      </c>
      <c r="AY370" s="3">
        <v>553</v>
      </c>
      <c r="AZ370" s="78" t="str">
        <f>VLOOKUP(B370,Classification!A:D,2,0)</f>
        <v>F</v>
      </c>
      <c r="BA370" s="94" t="str">
        <f>VLOOKUP(B370,Classification!A:D,4,0)</f>
        <v>Frizzled</v>
      </c>
      <c r="BB370" s="92" t="b">
        <f t="shared" si="2122"/>
        <v>1</v>
      </c>
      <c r="BC370" s="23">
        <f t="shared" si="2095"/>
        <v>250</v>
      </c>
      <c r="BD370" s="74" t="s">
        <v>23</v>
      </c>
      <c r="BE370" s="3" t="s">
        <v>1374</v>
      </c>
      <c r="BF370" s="119">
        <v>2.61</v>
      </c>
      <c r="BG370" s="49" t="s">
        <v>1377</v>
      </c>
      <c r="BH370" s="49" t="s">
        <v>1377</v>
      </c>
      <c r="BI370" s="3"/>
      <c r="BJ370" s="75" t="s">
        <v>1287</v>
      </c>
      <c r="BK370" s="57" t="s">
        <v>1287</v>
      </c>
      <c r="BL370" s="57" t="s">
        <v>1287</v>
      </c>
      <c r="BM370" s="57" t="s">
        <v>1287</v>
      </c>
      <c r="BN370" s="57" t="s">
        <v>1287</v>
      </c>
      <c r="BO370" s="57" t="s">
        <v>1287</v>
      </c>
      <c r="BP370" s="57" t="s">
        <v>1287</v>
      </c>
      <c r="BQ370" s="57" t="s">
        <v>1287</v>
      </c>
      <c r="BR370" s="57" t="s">
        <v>1287</v>
      </c>
      <c r="BS370" s="57" t="s">
        <v>1287</v>
      </c>
      <c r="BT370" s="57" t="s">
        <v>1287</v>
      </c>
      <c r="BU370" s="57" t="s">
        <v>1287</v>
      </c>
      <c r="BV370" s="75">
        <f t="shared" si="2096"/>
        <v>223</v>
      </c>
      <c r="BW370" s="71">
        <f t="shared" si="2097"/>
        <v>256</v>
      </c>
      <c r="BX370" s="72">
        <f t="shared" si="2098"/>
        <v>261</v>
      </c>
      <c r="BY370" s="71" t="str">
        <f t="shared" si="2099"/>
        <v>-</v>
      </c>
      <c r="BZ370" s="72">
        <f t="shared" si="2100"/>
        <v>312</v>
      </c>
      <c r="CA370" s="71" t="str">
        <f t="shared" si="2101"/>
        <v>-</v>
      </c>
      <c r="CB370" s="72">
        <f t="shared" si="2102"/>
        <v>356</v>
      </c>
      <c r="CC370" s="71">
        <f t="shared" si="2103"/>
        <v>390</v>
      </c>
      <c r="CD370" s="72">
        <f t="shared" si="2104"/>
        <v>396</v>
      </c>
      <c r="CE370" s="71">
        <f t="shared" si="2105"/>
        <v>447</v>
      </c>
      <c r="CF370" s="72">
        <f t="shared" si="2106"/>
        <v>514</v>
      </c>
      <c r="CG370" s="71">
        <f t="shared" si="2107"/>
        <v>538</v>
      </c>
      <c r="CH370" s="75">
        <f t="shared" si="2108"/>
        <v>255</v>
      </c>
      <c r="CI370" s="71">
        <f t="shared" si="2109"/>
        <v>260</v>
      </c>
      <c r="CJ370" s="72">
        <f t="shared" si="2110"/>
        <v>285</v>
      </c>
      <c r="CK370" s="72" t="str">
        <f t="shared" si="2111"/>
        <v>-</v>
      </c>
      <c r="CL370" s="72">
        <f t="shared" si="2112"/>
        <v>345</v>
      </c>
      <c r="CM370" s="72" t="str">
        <f t="shared" si="2113"/>
        <v>-</v>
      </c>
      <c r="CN370" s="72">
        <f t="shared" si="2114"/>
        <v>378</v>
      </c>
      <c r="CO370" s="72">
        <f t="shared" si="2115"/>
        <v>392</v>
      </c>
      <c r="CP370" s="72">
        <f t="shared" si="2116"/>
        <v>433</v>
      </c>
      <c r="CQ370" s="72">
        <f t="shared" si="2117"/>
        <v>493</v>
      </c>
      <c r="CR370" s="72">
        <f t="shared" si="2118"/>
        <v>537</v>
      </c>
      <c r="CS370" s="72">
        <f t="shared" si="2119"/>
        <v>553</v>
      </c>
      <c r="CT370" s="23">
        <f t="shared" si="2120"/>
        <v>1</v>
      </c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/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  <c r="AKT370" s="3"/>
      <c r="AKU370" s="3"/>
      <c r="AKV370" s="3"/>
      <c r="AKW370" s="3"/>
      <c r="AKX370" s="3"/>
      <c r="AKY370" s="3"/>
      <c r="AKZ370" s="3"/>
      <c r="ALA370" s="3"/>
      <c r="ALB370" s="3"/>
      <c r="ALC370" s="3"/>
      <c r="ALD370" s="3"/>
      <c r="ALE370" s="3"/>
      <c r="ALF370" s="3"/>
      <c r="ALG370" s="3"/>
      <c r="ALH370" s="3"/>
      <c r="ALI370" s="3"/>
      <c r="ALJ370" s="3"/>
      <c r="ALK370" s="3"/>
      <c r="ALL370" s="3"/>
      <c r="ALM370" s="3"/>
      <c r="ALN370" s="3"/>
      <c r="ALO370" s="3"/>
      <c r="ALP370" s="3"/>
      <c r="ALQ370" s="3"/>
      <c r="ALR370" s="3"/>
      <c r="ALS370" s="3"/>
      <c r="ALT370" s="3"/>
      <c r="ALU370" s="3"/>
      <c r="ALV370" s="3"/>
      <c r="ALW370" s="3"/>
      <c r="ALX370" s="3"/>
      <c r="ALY370" s="3"/>
      <c r="ALZ370" s="3"/>
      <c r="AMA370" s="3"/>
      <c r="AMB370" s="3"/>
      <c r="AMC370" s="3"/>
      <c r="AMD370" s="3"/>
      <c r="AME370" s="3"/>
      <c r="AMF370" s="3"/>
      <c r="AMG370" s="3"/>
      <c r="AMH370" s="3"/>
      <c r="AMI370" s="3"/>
      <c r="AMJ370" s="3"/>
      <c r="AMK370" s="3"/>
      <c r="AML370" s="3"/>
      <c r="AMM370" s="3"/>
      <c r="AMN370" s="3"/>
      <c r="AMO370" s="3"/>
      <c r="AMP370" s="1"/>
    </row>
    <row r="371" spans="1:1030" s="6" customFormat="1" x14ac:dyDescent="0.2">
      <c r="A371" s="3" t="str">
        <f t="shared" si="2121"/>
        <v>smo_human_4QIN</v>
      </c>
      <c r="B371" s="3" t="s">
        <v>33</v>
      </c>
      <c r="C371" s="3" t="s">
        <v>56</v>
      </c>
      <c r="D371" s="3" t="str">
        <f>IFERROR(MID(VLOOKUP($B371,Seqs!$A:$B,2,0),E371,1),"")</f>
        <v>T</v>
      </c>
      <c r="E371" s="105">
        <v>223</v>
      </c>
      <c r="F371" s="3" t="str">
        <f>IFERROR(MID(VLOOKUP($B371,Seqs!$A:$B,2,0),G371,1),"")</f>
        <v>D</v>
      </c>
      <c r="G371" s="3">
        <v>255</v>
      </c>
      <c r="H371" s="3" t="str">
        <f>IFERROR(MID(VLOOKUP($B371,Seqs!$A:$B,2,0),I371,1),"")</f>
        <v>W</v>
      </c>
      <c r="I371" s="23">
        <v>256</v>
      </c>
      <c r="J371" s="3" t="str">
        <f>IFERROR(MID(VLOOKUP($B371,Seqs!$A:$B,2,0),K371,1),"")</f>
        <v>N</v>
      </c>
      <c r="K371" s="23">
        <v>260</v>
      </c>
      <c r="L371" s="3" t="str">
        <f>IFERROR(MID(VLOOKUP($B371,Seqs!$A:$B,2,0),M371,1),"")</f>
        <v>R</v>
      </c>
      <c r="M371" s="3">
        <v>261</v>
      </c>
      <c r="N371" s="3" t="str">
        <f>IFERROR(MID(VLOOKUP($B371,Seqs!$A:$B,2,0),O371,1),"")</f>
        <v>F</v>
      </c>
      <c r="O371" s="3">
        <v>285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L</v>
      </c>
      <c r="U371" s="3">
        <v>312</v>
      </c>
      <c r="V371" s="3" t="str">
        <f>IFERROR(MID(VLOOKUP($B371,Seqs!$A:$B,2,0),W371,1),"")</f>
        <v>A</v>
      </c>
      <c r="W371" s="3">
        <v>345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K</v>
      </c>
      <c r="AC371" s="9">
        <v>356</v>
      </c>
      <c r="AD371" s="3" t="str">
        <f>IFERROR(MID(VLOOKUP($B371,Seqs!$A:$B,2,0),AE371,1),"")</f>
        <v>V</v>
      </c>
      <c r="AE371" s="3">
        <v>378</v>
      </c>
      <c r="AF371" s="3" t="str">
        <f>IFERROR(MID(VLOOKUP($B371,Seqs!$A:$B,2,0),AG371,1),"")</f>
        <v>C</v>
      </c>
      <c r="AG371" s="3">
        <v>390</v>
      </c>
      <c r="AH371" s="3" t="str">
        <f>IFERROR(MID(VLOOKUP($B371,Seqs!$A:$B,2,0),AI371,1),"")</f>
        <v>V</v>
      </c>
      <c r="AI371" s="3">
        <v>392</v>
      </c>
      <c r="AJ371" s="3" t="str">
        <f>IFERROR(MID(VLOOKUP($B371,Seqs!$A:$B,2,0),AK371,1),"")</f>
        <v>N</v>
      </c>
      <c r="AK371" s="105">
        <v>396</v>
      </c>
      <c r="AL371" s="3" t="str">
        <f>IFERROR(MID(VLOOKUP($B371,Seqs!$A:$B,2,0),AM371,1),"")</f>
        <v>H</v>
      </c>
      <c r="AM371" s="3">
        <v>433</v>
      </c>
      <c r="AN371" s="3" t="str">
        <f>IFERROR(MID(VLOOKUP($B371,Seqs!$A:$B,2,0),AO371,1),"")</f>
        <v>E</v>
      </c>
      <c r="AO371" s="3">
        <v>447</v>
      </c>
      <c r="AP371" s="3" t="str">
        <f>IFERROR(MID(VLOOKUP($B371,Seqs!$A:$B,2,0),AQ371,1),"")</f>
        <v>A</v>
      </c>
      <c r="AQ371" s="3">
        <v>492</v>
      </c>
      <c r="AR371" s="3" t="str">
        <f>IFERROR(MID(VLOOKUP($B371,Seqs!$A:$B,2,0),AS371,1),"")</f>
        <v>S</v>
      </c>
      <c r="AS371" s="105">
        <v>514</v>
      </c>
      <c r="AT371" s="3" t="str">
        <f>IFERROR(MID(VLOOKUP($B371,Seqs!$A:$B,2,0),AU371,1),"")</f>
        <v>W</v>
      </c>
      <c r="AU371" s="3">
        <v>537</v>
      </c>
      <c r="AV371" s="3" t="str">
        <f>IFERROR(MID(VLOOKUP($B371,Seqs!$A:$B,2,0),AW371,1),"")</f>
        <v>T</v>
      </c>
      <c r="AW371" s="3">
        <v>538</v>
      </c>
      <c r="AX371" s="3" t="str">
        <f>IFERROR(MID(VLOOKUP($B371,Seqs!$A:$B,2,0),AY371,1),"")</f>
        <v>R</v>
      </c>
      <c r="AY371" s="3">
        <v>551</v>
      </c>
      <c r="AZ371" s="78" t="str">
        <f>VLOOKUP(B371,Classification!A:D,2,0)</f>
        <v>F</v>
      </c>
      <c r="BA371" s="94" t="str">
        <f>VLOOKUP(B371,Classification!A:D,4,0)</f>
        <v>Frizzled</v>
      </c>
      <c r="BB371" s="92" t="b">
        <f t="shared" si="2122"/>
        <v>1</v>
      </c>
      <c r="BC371" s="23">
        <f t="shared" si="2095"/>
        <v>247</v>
      </c>
      <c r="BD371" s="74" t="s">
        <v>23</v>
      </c>
      <c r="BE371" s="3" t="s">
        <v>1374</v>
      </c>
      <c r="BF371" s="119">
        <v>2.6</v>
      </c>
      <c r="BG371" s="49" t="s">
        <v>1377</v>
      </c>
      <c r="BH371" s="49" t="s">
        <v>1377</v>
      </c>
      <c r="BI371" s="3"/>
      <c r="BJ371" s="75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5">
        <f t="shared" si="2096"/>
        <v>223</v>
      </c>
      <c r="BW371" s="71">
        <f t="shared" si="2097"/>
        <v>256</v>
      </c>
      <c r="BX371" s="72">
        <f t="shared" si="2098"/>
        <v>261</v>
      </c>
      <c r="BY371" s="71" t="str">
        <f t="shared" si="2099"/>
        <v>-</v>
      </c>
      <c r="BZ371" s="72">
        <f t="shared" si="2100"/>
        <v>312</v>
      </c>
      <c r="CA371" s="71" t="str">
        <f t="shared" si="2101"/>
        <v>-</v>
      </c>
      <c r="CB371" s="72">
        <f t="shared" si="2102"/>
        <v>356</v>
      </c>
      <c r="CC371" s="71">
        <f t="shared" si="2103"/>
        <v>390</v>
      </c>
      <c r="CD371" s="72">
        <f t="shared" si="2104"/>
        <v>396</v>
      </c>
      <c r="CE371" s="71">
        <f t="shared" si="2105"/>
        <v>447</v>
      </c>
      <c r="CF371" s="72">
        <f t="shared" si="2106"/>
        <v>514</v>
      </c>
      <c r="CG371" s="71">
        <f t="shared" si="2107"/>
        <v>538</v>
      </c>
      <c r="CH371" s="75">
        <f t="shared" si="2108"/>
        <v>255</v>
      </c>
      <c r="CI371" s="71">
        <f t="shared" si="2109"/>
        <v>260</v>
      </c>
      <c r="CJ371" s="72">
        <f t="shared" si="2110"/>
        <v>285</v>
      </c>
      <c r="CK371" s="72" t="str">
        <f t="shared" si="2111"/>
        <v>-</v>
      </c>
      <c r="CL371" s="72">
        <f t="shared" si="2112"/>
        <v>345</v>
      </c>
      <c r="CM371" s="72" t="str">
        <f t="shared" si="2113"/>
        <v>-</v>
      </c>
      <c r="CN371" s="72">
        <f t="shared" si="2114"/>
        <v>378</v>
      </c>
      <c r="CO371" s="72">
        <f t="shared" si="2115"/>
        <v>392</v>
      </c>
      <c r="CP371" s="72">
        <f t="shared" si="2116"/>
        <v>433</v>
      </c>
      <c r="CQ371" s="72">
        <f t="shared" si="2117"/>
        <v>492</v>
      </c>
      <c r="CR371" s="72">
        <f t="shared" si="2118"/>
        <v>537</v>
      </c>
      <c r="CS371" s="72">
        <f t="shared" si="2119"/>
        <v>551</v>
      </c>
      <c r="CT371" s="23">
        <f t="shared" si="2120"/>
        <v>1</v>
      </c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/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  <c r="AKT371" s="3"/>
      <c r="AKU371" s="3"/>
      <c r="AKV371" s="3"/>
      <c r="AKW371" s="3"/>
      <c r="AKX371" s="3"/>
      <c r="AKY371" s="3"/>
      <c r="AKZ371" s="3"/>
      <c r="ALA371" s="3"/>
      <c r="ALB371" s="3"/>
      <c r="ALC371" s="3"/>
      <c r="ALD371" s="3"/>
      <c r="ALE371" s="3"/>
      <c r="ALF371" s="3"/>
      <c r="ALG371" s="3"/>
      <c r="ALH371" s="3"/>
      <c r="ALI371" s="3"/>
      <c r="ALJ371" s="3"/>
      <c r="ALK371" s="3"/>
      <c r="ALL371" s="3"/>
      <c r="ALM371" s="3"/>
      <c r="ALN371" s="3"/>
      <c r="ALO371" s="3"/>
      <c r="ALP371" s="3"/>
      <c r="ALQ371" s="3"/>
      <c r="ALR371" s="3"/>
      <c r="ALS371" s="3"/>
      <c r="ALT371" s="3"/>
      <c r="ALU371" s="3"/>
      <c r="ALV371" s="3"/>
      <c r="ALW371" s="3"/>
      <c r="ALX371" s="3"/>
      <c r="ALY371" s="3"/>
      <c r="ALZ371" s="3"/>
      <c r="AMA371" s="3"/>
      <c r="AMB371" s="3"/>
      <c r="AMC371" s="3"/>
      <c r="AMD371" s="3"/>
      <c r="AME371" s="3"/>
      <c r="AMF371" s="3"/>
      <c r="AMG371" s="3"/>
      <c r="AMH371" s="3"/>
      <c r="AMI371" s="3"/>
      <c r="AMJ371" s="3"/>
      <c r="AMK371" s="3"/>
      <c r="AML371" s="3"/>
      <c r="AMM371" s="3"/>
      <c r="AMN371" s="3"/>
      <c r="AMO371" s="3"/>
      <c r="AMP371" s="1"/>
    </row>
    <row r="372" spans="1:1030" s="6" customFormat="1" x14ac:dyDescent="0.2">
      <c r="A372" s="3" t="str">
        <f t="shared" si="2121"/>
        <v>smo_human_5L7D</v>
      </c>
      <c r="B372" s="3" t="s">
        <v>33</v>
      </c>
      <c r="C372" s="3" t="s">
        <v>1352</v>
      </c>
      <c r="D372" s="3" t="str">
        <f>IFERROR(MID(VLOOKUP($B372,Seqs!$A:$B,2,0),E372,1),"")</f>
        <v>T</v>
      </c>
      <c r="E372" s="105">
        <v>223</v>
      </c>
      <c r="F372" s="3" t="str">
        <f>IFERROR(MID(VLOOKUP($B372,Seqs!$A:$B,2,0),G372,1),"")</f>
        <v>D</v>
      </c>
      <c r="G372" s="3">
        <v>255</v>
      </c>
      <c r="H372" s="3" t="str">
        <f>IFERROR(MID(VLOOKUP($B372,Seqs!$A:$B,2,0),I372,1),"")</f>
        <v>W</v>
      </c>
      <c r="I372" s="23">
        <v>256</v>
      </c>
      <c r="J372" s="3" t="str">
        <f>IFERROR(MID(VLOOKUP($B372,Seqs!$A:$B,2,0),K372,1),"")</f>
        <v>N</v>
      </c>
      <c r="K372" s="23">
        <v>260</v>
      </c>
      <c r="L372" s="3" t="str">
        <f>IFERROR(MID(VLOOKUP($B372,Seqs!$A:$B,2,0),M372,1),"")</f>
        <v>R</v>
      </c>
      <c r="M372" s="3">
        <v>261</v>
      </c>
      <c r="N372" s="3" t="str">
        <f>IFERROR(MID(VLOOKUP($B372,Seqs!$A:$B,2,0),O372,1),"")</f>
        <v>F</v>
      </c>
      <c r="O372" s="3">
        <v>285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L</v>
      </c>
      <c r="U372" s="3">
        <v>312</v>
      </c>
      <c r="V372" s="3" t="str">
        <f>IFERROR(MID(VLOOKUP($B372,Seqs!$A:$B,2,0),W372,1),"")</f>
        <v>L</v>
      </c>
      <c r="W372" s="3">
        <v>346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K</v>
      </c>
      <c r="AC372" s="9">
        <v>356</v>
      </c>
      <c r="AD372" s="3" t="str">
        <f>IFERROR(MID(VLOOKUP($B372,Seqs!$A:$B,2,0),AE372,1),"")</f>
        <v>V</v>
      </c>
      <c r="AE372" s="3">
        <v>378</v>
      </c>
      <c r="AF372" s="3" t="str">
        <f>IFERROR(MID(VLOOKUP($B372,Seqs!$A:$B,2,0),AG372,1),"")</f>
        <v>C</v>
      </c>
      <c r="AG372" s="3">
        <v>390</v>
      </c>
      <c r="AH372" s="3" t="str">
        <f>IFERROR(MID(VLOOKUP($B372,Seqs!$A:$B,2,0),AI372,1),"")</f>
        <v>V</v>
      </c>
      <c r="AI372" s="3">
        <v>392</v>
      </c>
      <c r="AJ372" s="3" t="str">
        <f>IFERROR(MID(VLOOKUP($B372,Seqs!$A:$B,2,0),AK372,1),"")</f>
        <v>N</v>
      </c>
      <c r="AK372" s="105">
        <v>396</v>
      </c>
      <c r="AL372" s="3" t="str">
        <f>IFERROR(MID(VLOOKUP($B372,Seqs!$A:$B,2,0),AM372,1),"")</f>
        <v>S</v>
      </c>
      <c r="AM372" s="3">
        <v>428</v>
      </c>
      <c r="AN372" s="3" t="str">
        <f>IFERROR(MID(VLOOKUP($B372,Seqs!$A:$B,2,0),AO372,1),"")</f>
        <v>E</v>
      </c>
      <c r="AO372" s="3">
        <v>447</v>
      </c>
      <c r="AP372" s="3" t="str">
        <f>IFERROR(MID(VLOOKUP($B372,Seqs!$A:$B,2,0),AQ372,1),"")</f>
        <v>I</v>
      </c>
      <c r="AQ372" s="3">
        <v>496</v>
      </c>
      <c r="AR372" s="3" t="str">
        <f>IFERROR(MID(VLOOKUP($B372,Seqs!$A:$B,2,0),AS372,1),"")</f>
        <v>S</v>
      </c>
      <c r="AS372" s="105">
        <v>514</v>
      </c>
      <c r="AT372" s="3" t="str">
        <f>IFERROR(MID(VLOOKUP($B372,Seqs!$A:$B,2,0),AU372,1),"")</f>
        <v>W</v>
      </c>
      <c r="AU372" s="3">
        <v>537</v>
      </c>
      <c r="AV372" s="3" t="str">
        <f>IFERROR(MID(VLOOKUP($B372,Seqs!$A:$B,2,0),AW372,1),"")</f>
        <v>T</v>
      </c>
      <c r="AW372" s="3">
        <v>538</v>
      </c>
      <c r="AX372" s="3" t="str">
        <f>IFERROR(MID(VLOOKUP($B372,Seqs!$A:$B,2,0),AY372,1),"")</f>
        <v>T</v>
      </c>
      <c r="AY372" s="3">
        <v>553</v>
      </c>
      <c r="AZ372" s="78" t="str">
        <f>VLOOKUP(B372,Classification!A:D,2,0)</f>
        <v>F</v>
      </c>
      <c r="BA372" s="94" t="str">
        <f>VLOOKUP(B372,Classification!A:D,4,0)</f>
        <v>Frizzled</v>
      </c>
      <c r="BB372" s="92" t="b">
        <f t="shared" si="2122"/>
        <v>1</v>
      </c>
      <c r="BC372" s="23">
        <f t="shared" si="2095"/>
        <v>249</v>
      </c>
      <c r="BD372" s="74" t="s">
        <v>1376</v>
      </c>
      <c r="BE372" s="3" t="s">
        <v>1374</v>
      </c>
      <c r="BF372" s="119">
        <v>3.2</v>
      </c>
      <c r="BG372" s="49" t="s">
        <v>1281</v>
      </c>
      <c r="BH372" s="49" t="s">
        <v>1377</v>
      </c>
      <c r="BI372" s="3"/>
      <c r="BJ372" s="75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5">
        <f t="shared" si="2096"/>
        <v>223</v>
      </c>
      <c r="BW372" s="71">
        <f t="shared" si="2097"/>
        <v>256</v>
      </c>
      <c r="BX372" s="72">
        <f t="shared" si="2098"/>
        <v>261</v>
      </c>
      <c r="BY372" s="71" t="str">
        <f t="shared" si="2099"/>
        <v>-</v>
      </c>
      <c r="BZ372" s="72">
        <f t="shared" si="2100"/>
        <v>312</v>
      </c>
      <c r="CA372" s="71" t="str">
        <f t="shared" si="2101"/>
        <v>-</v>
      </c>
      <c r="CB372" s="72">
        <f t="shared" si="2102"/>
        <v>356</v>
      </c>
      <c r="CC372" s="71">
        <f t="shared" si="2103"/>
        <v>390</v>
      </c>
      <c r="CD372" s="72">
        <f t="shared" si="2104"/>
        <v>396</v>
      </c>
      <c r="CE372" s="71">
        <f t="shared" si="2105"/>
        <v>447</v>
      </c>
      <c r="CF372" s="72">
        <f t="shared" si="2106"/>
        <v>514</v>
      </c>
      <c r="CG372" s="71">
        <f t="shared" si="2107"/>
        <v>538</v>
      </c>
      <c r="CH372" s="75">
        <f t="shared" si="2108"/>
        <v>255</v>
      </c>
      <c r="CI372" s="71">
        <f t="shared" si="2109"/>
        <v>260</v>
      </c>
      <c r="CJ372" s="72">
        <f t="shared" si="2110"/>
        <v>285</v>
      </c>
      <c r="CK372" s="72" t="str">
        <f t="shared" si="2111"/>
        <v>-</v>
      </c>
      <c r="CL372" s="72">
        <f t="shared" si="2112"/>
        <v>346</v>
      </c>
      <c r="CM372" s="72" t="str">
        <f t="shared" si="2113"/>
        <v>-</v>
      </c>
      <c r="CN372" s="72">
        <f t="shared" si="2114"/>
        <v>378</v>
      </c>
      <c r="CO372" s="72">
        <f t="shared" si="2115"/>
        <v>392</v>
      </c>
      <c r="CP372" s="72">
        <f t="shared" si="2116"/>
        <v>428</v>
      </c>
      <c r="CQ372" s="72">
        <f t="shared" si="2117"/>
        <v>496</v>
      </c>
      <c r="CR372" s="72">
        <f t="shared" si="2118"/>
        <v>537</v>
      </c>
      <c r="CS372" s="72">
        <f t="shared" si="2119"/>
        <v>553</v>
      </c>
      <c r="CT372" s="23">
        <f t="shared" si="2120"/>
        <v>1</v>
      </c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  <c r="AKT372" s="3"/>
      <c r="AKU372" s="3"/>
      <c r="AKV372" s="3"/>
      <c r="AKW372" s="3"/>
      <c r="AKX372" s="3"/>
      <c r="AKY372" s="3"/>
      <c r="AKZ372" s="3"/>
      <c r="ALA372" s="3"/>
      <c r="ALB372" s="3"/>
      <c r="ALC372" s="3"/>
      <c r="ALD372" s="3"/>
      <c r="ALE372" s="3"/>
      <c r="ALF372" s="3"/>
      <c r="ALG372" s="3"/>
      <c r="ALH372" s="3"/>
      <c r="ALI372" s="3"/>
      <c r="ALJ372" s="3"/>
      <c r="ALK372" s="3"/>
      <c r="ALL372" s="3"/>
      <c r="ALM372" s="3"/>
      <c r="ALN372" s="3"/>
      <c r="ALO372" s="3"/>
      <c r="ALP372" s="3"/>
      <c r="ALQ372" s="3"/>
      <c r="ALR372" s="3"/>
      <c r="ALS372" s="3"/>
      <c r="ALT372" s="3"/>
      <c r="ALU372" s="3"/>
      <c r="ALV372" s="3"/>
      <c r="ALW372" s="3"/>
      <c r="ALX372" s="3"/>
      <c r="ALY372" s="3"/>
      <c r="ALZ372" s="3"/>
      <c r="AMA372" s="3"/>
      <c r="AMB372" s="3"/>
      <c r="AMC372" s="3"/>
      <c r="AMD372" s="3"/>
      <c r="AME372" s="3"/>
      <c r="AMF372" s="3"/>
      <c r="AMG372" s="3"/>
      <c r="AMH372" s="3"/>
      <c r="AMI372" s="3"/>
      <c r="AMJ372" s="3"/>
      <c r="AMK372" s="3"/>
      <c r="AML372" s="3"/>
      <c r="AMM372" s="3"/>
      <c r="AMN372" s="3"/>
      <c r="AMO372" s="3"/>
      <c r="AMP372" s="1"/>
    </row>
    <row r="373" spans="1:1030" s="6" customFormat="1" x14ac:dyDescent="0.2">
      <c r="A373" s="3" t="str">
        <f t="shared" si="2121"/>
        <v>smo_human_5L7I</v>
      </c>
      <c r="B373" s="3" t="s">
        <v>33</v>
      </c>
      <c r="C373" s="3" t="s">
        <v>1353</v>
      </c>
      <c r="D373" s="3" t="str">
        <f>IFERROR(MID(VLOOKUP($B373,Seqs!$A:$B,2,0),E373,1),"")</f>
        <v>T</v>
      </c>
      <c r="E373" s="105">
        <v>223</v>
      </c>
      <c r="F373" s="3" t="str">
        <f>IFERROR(MID(VLOOKUP($B373,Seqs!$A:$B,2,0),G373,1),"")</f>
        <v>D</v>
      </c>
      <c r="G373" s="3">
        <v>255</v>
      </c>
      <c r="H373" s="3" t="str">
        <f>IFERROR(MID(VLOOKUP($B373,Seqs!$A:$B,2,0),I373,1),"")</f>
        <v>W</v>
      </c>
      <c r="I373" s="23">
        <v>256</v>
      </c>
      <c r="J373" s="3" t="str">
        <f>IFERROR(MID(VLOOKUP($B373,Seqs!$A:$B,2,0),K373,1),"")</f>
        <v>N</v>
      </c>
      <c r="K373" s="23">
        <v>260</v>
      </c>
      <c r="L373" s="3" t="str">
        <f>IFERROR(MID(VLOOKUP($B373,Seqs!$A:$B,2,0),M373,1),"")</f>
        <v>R</v>
      </c>
      <c r="M373" s="3">
        <v>261</v>
      </c>
      <c r="N373" s="3" t="str">
        <f>IFERROR(MID(VLOOKUP($B373,Seqs!$A:$B,2,0),O373,1),"")</f>
        <v>F</v>
      </c>
      <c r="O373" s="3">
        <v>285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L</v>
      </c>
      <c r="U373" s="3">
        <v>312</v>
      </c>
      <c r="V373" s="3" t="str">
        <f>IFERROR(MID(VLOOKUP($B373,Seqs!$A:$B,2,0),W373,1),"")</f>
        <v>L</v>
      </c>
      <c r="W373" s="3">
        <v>346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K</v>
      </c>
      <c r="AC373" s="9">
        <v>356</v>
      </c>
      <c r="AD373" s="3" t="str">
        <f>IFERROR(MID(VLOOKUP($B373,Seqs!$A:$B,2,0),AE373,1),"")</f>
        <v>V</v>
      </c>
      <c r="AE373" s="3">
        <v>378</v>
      </c>
      <c r="AF373" s="3" t="str">
        <f>IFERROR(MID(VLOOKUP($B373,Seqs!$A:$B,2,0),AG373,1),"")</f>
        <v>C</v>
      </c>
      <c r="AG373" s="3">
        <v>390</v>
      </c>
      <c r="AH373" s="3" t="str">
        <f>IFERROR(MID(VLOOKUP($B373,Seqs!$A:$B,2,0),AI373,1),"")</f>
        <v>V</v>
      </c>
      <c r="AI373" s="3">
        <v>392</v>
      </c>
      <c r="AJ373" s="3" t="str">
        <f>IFERROR(MID(VLOOKUP($B373,Seqs!$A:$B,2,0),AK373,1),"")</f>
        <v>N</v>
      </c>
      <c r="AK373" s="105">
        <v>396</v>
      </c>
      <c r="AL373" s="3" t="str">
        <f>IFERROR(MID(VLOOKUP($B373,Seqs!$A:$B,2,0),AM373,1),"")</f>
        <v>S</v>
      </c>
      <c r="AM373" s="3">
        <v>428</v>
      </c>
      <c r="AN373" s="3" t="str">
        <f>IFERROR(MID(VLOOKUP($B373,Seqs!$A:$B,2,0),AO373,1),"")</f>
        <v>E</v>
      </c>
      <c r="AO373" s="3">
        <v>447</v>
      </c>
      <c r="AP373" s="3" t="str">
        <f>IFERROR(MID(VLOOKUP($B373,Seqs!$A:$B,2,0),AQ373,1),"")</f>
        <v>N</v>
      </c>
      <c r="AQ373" s="3">
        <v>493</v>
      </c>
      <c r="AR373" s="3" t="str">
        <f>IFERROR(MID(VLOOKUP($B373,Seqs!$A:$B,2,0),AS373,1),"")</f>
        <v>S</v>
      </c>
      <c r="AS373" s="105">
        <v>514</v>
      </c>
      <c r="AT373" s="3" t="str">
        <f>IFERROR(MID(VLOOKUP($B373,Seqs!$A:$B,2,0),AU373,1),"")</f>
        <v>W</v>
      </c>
      <c r="AU373" s="3">
        <v>537</v>
      </c>
      <c r="AV373" s="3" t="str">
        <f>IFERROR(MID(VLOOKUP($B373,Seqs!$A:$B,2,0),AW373,1),"")</f>
        <v>T</v>
      </c>
      <c r="AW373" s="3">
        <v>538</v>
      </c>
      <c r="AX373" s="3" t="str">
        <f>IFERROR(MID(VLOOKUP($B373,Seqs!$A:$B,2,0),AY373,1),"")</f>
        <v>R</v>
      </c>
      <c r="AY373" s="3">
        <v>551</v>
      </c>
      <c r="AZ373" s="78" t="str">
        <f>VLOOKUP(B373,Classification!A:D,2,0)</f>
        <v>F</v>
      </c>
      <c r="BA373" s="94" t="str">
        <f>VLOOKUP(B373,Classification!A:D,4,0)</f>
        <v>Frizzled</v>
      </c>
      <c r="BB373" s="92" t="b">
        <f t="shared" si="2122"/>
        <v>1</v>
      </c>
      <c r="BC373" s="23">
        <f t="shared" si="2095"/>
        <v>244</v>
      </c>
      <c r="BD373" s="74" t="s">
        <v>23</v>
      </c>
      <c r="BE373" s="3" t="s">
        <v>1374</v>
      </c>
      <c r="BF373" s="119">
        <v>3.3</v>
      </c>
      <c r="BG373" s="49" t="s">
        <v>1281</v>
      </c>
      <c r="BH373" s="49" t="s">
        <v>1377</v>
      </c>
      <c r="BI373" s="3" t="s">
        <v>1361</v>
      </c>
      <c r="BJ373" s="75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5">
        <f t="shared" si="2096"/>
        <v>223</v>
      </c>
      <c r="BW373" s="71">
        <f t="shared" si="2097"/>
        <v>256</v>
      </c>
      <c r="BX373" s="72">
        <f t="shared" si="2098"/>
        <v>261</v>
      </c>
      <c r="BY373" s="71" t="str">
        <f t="shared" si="2099"/>
        <v>-</v>
      </c>
      <c r="BZ373" s="72">
        <f t="shared" si="2100"/>
        <v>312</v>
      </c>
      <c r="CA373" s="71" t="str">
        <f t="shared" si="2101"/>
        <v>-</v>
      </c>
      <c r="CB373" s="72">
        <f t="shared" si="2102"/>
        <v>356</v>
      </c>
      <c r="CC373" s="71">
        <f t="shared" si="2103"/>
        <v>390</v>
      </c>
      <c r="CD373" s="72">
        <f t="shared" si="2104"/>
        <v>396</v>
      </c>
      <c r="CE373" s="71">
        <f t="shared" si="2105"/>
        <v>447</v>
      </c>
      <c r="CF373" s="72">
        <f t="shared" si="2106"/>
        <v>514</v>
      </c>
      <c r="CG373" s="71">
        <f t="shared" si="2107"/>
        <v>538</v>
      </c>
      <c r="CH373" s="75">
        <f t="shared" si="2108"/>
        <v>255</v>
      </c>
      <c r="CI373" s="71">
        <f t="shared" si="2109"/>
        <v>260</v>
      </c>
      <c r="CJ373" s="72">
        <f t="shared" si="2110"/>
        <v>285</v>
      </c>
      <c r="CK373" s="72" t="str">
        <f t="shared" si="2111"/>
        <v>-</v>
      </c>
      <c r="CL373" s="72">
        <f t="shared" si="2112"/>
        <v>346</v>
      </c>
      <c r="CM373" s="72" t="str">
        <f t="shared" si="2113"/>
        <v>-</v>
      </c>
      <c r="CN373" s="72">
        <f t="shared" si="2114"/>
        <v>378</v>
      </c>
      <c r="CO373" s="72">
        <f t="shared" si="2115"/>
        <v>392</v>
      </c>
      <c r="CP373" s="72">
        <f t="shared" si="2116"/>
        <v>428</v>
      </c>
      <c r="CQ373" s="72">
        <f t="shared" si="2117"/>
        <v>493</v>
      </c>
      <c r="CR373" s="72">
        <f t="shared" si="2118"/>
        <v>537</v>
      </c>
      <c r="CS373" s="72">
        <f t="shared" si="2119"/>
        <v>551</v>
      </c>
      <c r="CT373" s="23">
        <f t="shared" si="2120"/>
        <v>1</v>
      </c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  <c r="ALJ373" s="3"/>
      <c r="ALK373" s="3"/>
      <c r="ALL373" s="3"/>
      <c r="ALM373" s="3"/>
      <c r="ALN373" s="3"/>
      <c r="ALO373" s="3"/>
      <c r="ALP373" s="3"/>
      <c r="ALQ373" s="3"/>
      <c r="ALR373" s="3"/>
      <c r="ALS373" s="3"/>
      <c r="ALT373" s="3"/>
      <c r="ALU373" s="3"/>
      <c r="ALV373" s="3"/>
      <c r="ALW373" s="3"/>
      <c r="ALX373" s="3"/>
      <c r="ALY373" s="3"/>
      <c r="ALZ373" s="3"/>
      <c r="AMA373" s="3"/>
      <c r="AMB373" s="3"/>
      <c r="AMC373" s="3"/>
      <c r="AMD373" s="3"/>
      <c r="AME373" s="3"/>
      <c r="AMF373" s="3"/>
      <c r="AMG373" s="3"/>
      <c r="AMH373" s="3"/>
      <c r="AMI373" s="3"/>
      <c r="AMJ373" s="3"/>
      <c r="AMK373" s="3"/>
      <c r="AML373" s="3"/>
      <c r="AMM373" s="3"/>
      <c r="AMN373" s="3"/>
      <c r="AMO373" s="3"/>
      <c r="AMP373" s="1"/>
    </row>
    <row r="374" spans="1:1030" x14ac:dyDescent="0.2">
      <c r="A374" s="3" t="str">
        <f t="shared" ref="A374:A379" si="2319">CONCATENATE(B374,"_",C374)</f>
        <v>smo_human_5V56</v>
      </c>
      <c r="B374" s="3" t="s">
        <v>33</v>
      </c>
      <c r="C374" s="3" t="s">
        <v>1477</v>
      </c>
      <c r="D374" s="3" t="str">
        <f>IFERROR(MID(VLOOKUP($B374,Seqs!$A:$B,2,0),E374,1),"")</f>
        <v>T</v>
      </c>
      <c r="E374" s="3">
        <v>223</v>
      </c>
      <c r="F374" s="3" t="str">
        <f>IFERROR(MID(VLOOKUP($B374,Seqs!$A:$B,2,0),G374,1),"")</f>
        <v>D</v>
      </c>
      <c r="G374" s="3">
        <v>255</v>
      </c>
      <c r="H374" s="3" t="str">
        <f>IFERROR(MID(VLOOKUP($B374,Seqs!$A:$B,2,0),I374,1),"")</f>
        <v>W</v>
      </c>
      <c r="I374" s="23">
        <v>256</v>
      </c>
      <c r="J374" s="3" t="str">
        <f>IFERROR(MID(VLOOKUP($B374,Seqs!$A:$B,2,0),K374,1),"")</f>
        <v>N</v>
      </c>
      <c r="K374" s="23">
        <v>260</v>
      </c>
      <c r="L374" s="3" t="str">
        <f>IFERROR(MID(VLOOKUP($B374,Seqs!$A:$B,2,0),M374,1),"")</f>
        <v>R</v>
      </c>
      <c r="M374" s="3">
        <v>261</v>
      </c>
      <c r="N374" s="3" t="str">
        <f>IFERROR(MID(VLOOKUP($B374,Seqs!$A:$B,2,0),O374,1),"")</f>
        <v>F</v>
      </c>
      <c r="O374" s="3">
        <v>285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L</v>
      </c>
      <c r="U374" s="3">
        <v>312</v>
      </c>
      <c r="V374" s="3" t="str">
        <f>IFERROR(MID(VLOOKUP($B374,Seqs!$A:$B,2,0),W374,1),"")</f>
        <v>S</v>
      </c>
      <c r="W374" s="3">
        <v>342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K</v>
      </c>
      <c r="AC374" s="3">
        <v>356</v>
      </c>
      <c r="AD374" s="3" t="str">
        <f>IFERROR(MID(VLOOKUP($B374,Seqs!$A:$B,2,0),AE374,1),"")</f>
        <v>V</v>
      </c>
      <c r="AE374" s="3">
        <v>378</v>
      </c>
      <c r="AF374" s="3" t="str">
        <f>IFERROR(MID(VLOOKUP($B374,Seqs!$A:$B,2,0),AG374,1),"")</f>
        <v>C</v>
      </c>
      <c r="AG374" s="3">
        <v>390</v>
      </c>
      <c r="AH374" s="3" t="str">
        <f>IFERROR(MID(VLOOKUP($B374,Seqs!$A:$B,2,0),AI374,1),"")</f>
        <v>V</v>
      </c>
      <c r="AI374" s="3">
        <v>392</v>
      </c>
      <c r="AJ374" s="3" t="str">
        <f>IFERROR(MID(VLOOKUP($B374,Seqs!$A:$B,2,0),AK374,1),"")</f>
        <v>N</v>
      </c>
      <c r="AK374" s="3">
        <v>396</v>
      </c>
      <c r="AL374" s="3" t="str">
        <f>IFERROR(MID(VLOOKUP($B374,Seqs!$A:$B,2,0),AM374,1),"")</f>
        <v>I</v>
      </c>
      <c r="AM374" s="3">
        <v>429</v>
      </c>
      <c r="AN374" s="3" t="str">
        <f>IFERROR(MID(VLOOKUP($B374,Seqs!$A:$B,2,0),AO374,1),"")</f>
        <v>N</v>
      </c>
      <c r="AO374" s="3">
        <v>446</v>
      </c>
      <c r="AP374" s="3" t="str">
        <f>IFERROR(MID(VLOOKUP($B374,Seqs!$A:$B,2,0),AQ374,1),"")</f>
        <v>N</v>
      </c>
      <c r="AQ374" s="3">
        <v>493</v>
      </c>
      <c r="AR374" s="3" t="str">
        <f>IFERROR(MID(VLOOKUP($B374,Seqs!$A:$B,2,0),AS374,1),"")</f>
        <v>S</v>
      </c>
      <c r="AS374" s="3">
        <v>514</v>
      </c>
      <c r="AT374" s="3" t="str">
        <f>IFERROR(MID(VLOOKUP($B374,Seqs!$A:$B,2,0),AU374,1),"")</f>
        <v>W</v>
      </c>
      <c r="AU374" s="3">
        <v>537</v>
      </c>
      <c r="AV374" s="3" t="str">
        <f>IFERROR(MID(VLOOKUP($B374,Seqs!$A:$B,2,0),AW374,1),"")</f>
        <v>T</v>
      </c>
      <c r="AW374" s="3">
        <v>538</v>
      </c>
      <c r="AX374" s="3" t="str">
        <f>IFERROR(MID(VLOOKUP($B374,Seqs!$A:$B,2,0),AY374,1),"")</f>
        <v>T</v>
      </c>
      <c r="AY374" s="3">
        <v>553</v>
      </c>
      <c r="AZ374" s="78" t="str">
        <f>VLOOKUP(B374,Classification!A:D,2,0)</f>
        <v>F</v>
      </c>
      <c r="BA374" s="94" t="str">
        <f>VLOOKUP(B374,Classification!A:D,4,0)</f>
        <v>Frizzled</v>
      </c>
      <c r="BB374" s="92" t="b">
        <f t="shared" ref="BB374:BB379" si="2320"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 t="shared" ref="BC374:BC379" si="2321">_xlfn.AGGREGATE(9,6,CH374:CS374)-_xlfn.AGGREGATE(9,6,BV374:CG374)+12</f>
        <v>244</v>
      </c>
      <c r="BD374" s="74" t="s">
        <v>23</v>
      </c>
      <c r="BE374" s="3" t="s">
        <v>1374</v>
      </c>
      <c r="BF374" s="119">
        <v>2.9</v>
      </c>
      <c r="BG374" s="49" t="s">
        <v>1281</v>
      </c>
      <c r="BH374" s="49" t="s">
        <v>1281</v>
      </c>
      <c r="BJ374" s="75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5">
        <f t="shared" ref="BV374:BV379" si="2322">E374</f>
        <v>223</v>
      </c>
      <c r="BW374" s="71">
        <f t="shared" ref="BW374:BW379" si="2323">I374</f>
        <v>256</v>
      </c>
      <c r="BX374" s="72">
        <f t="shared" ref="BX374:BX379" si="2324">M374</f>
        <v>261</v>
      </c>
      <c r="BY374" s="71" t="str">
        <f t="shared" ref="BY374:BY379" si="2325">Q374</f>
        <v>-</v>
      </c>
      <c r="BZ374" s="72">
        <f t="shared" ref="BZ374:BZ379" si="2326">U374</f>
        <v>312</v>
      </c>
      <c r="CA374" s="71" t="str">
        <f t="shared" ref="CA374:CA379" si="2327">Y374</f>
        <v>-</v>
      </c>
      <c r="CB374" s="72">
        <f t="shared" ref="CB374:CB379" si="2328">AC374</f>
        <v>356</v>
      </c>
      <c r="CC374" s="71">
        <f t="shared" ref="CC374:CC379" si="2329">AG374</f>
        <v>390</v>
      </c>
      <c r="CD374" s="72">
        <f t="shared" ref="CD374:CD379" si="2330">AK374</f>
        <v>396</v>
      </c>
      <c r="CE374" s="71">
        <f t="shared" ref="CE374:CE379" si="2331">AO374</f>
        <v>446</v>
      </c>
      <c r="CF374" s="72">
        <f t="shared" ref="CF374:CF379" si="2332">AS374</f>
        <v>514</v>
      </c>
      <c r="CG374" s="71">
        <f t="shared" ref="CG374:CG379" si="2333">AW374</f>
        <v>538</v>
      </c>
      <c r="CH374" s="75">
        <f t="shared" ref="CH374:CH379" si="2334">G374</f>
        <v>255</v>
      </c>
      <c r="CI374" s="71">
        <f t="shared" ref="CI374:CI379" si="2335">K374</f>
        <v>260</v>
      </c>
      <c r="CJ374" s="72">
        <f t="shared" ref="CJ374:CJ379" si="2336">O374</f>
        <v>285</v>
      </c>
      <c r="CK374" s="72" t="str">
        <f t="shared" ref="CK374:CK379" si="2337">S374</f>
        <v>-</v>
      </c>
      <c r="CL374" s="72">
        <f t="shared" ref="CL374:CL379" si="2338">W374</f>
        <v>342</v>
      </c>
      <c r="CM374" s="72" t="str">
        <f t="shared" ref="CM374:CM379" si="2339">AA374</f>
        <v>-</v>
      </c>
      <c r="CN374" s="72">
        <f t="shared" ref="CN374:CN379" si="2340">AE374</f>
        <v>378</v>
      </c>
      <c r="CO374" s="72">
        <f t="shared" ref="CO374:CO379" si="2341">AI374</f>
        <v>392</v>
      </c>
      <c r="CP374" s="72">
        <f t="shared" ref="CP374:CP379" si="2342">AM374</f>
        <v>429</v>
      </c>
      <c r="CQ374" s="72">
        <f t="shared" ref="CQ374:CQ379" si="2343">AQ374</f>
        <v>493</v>
      </c>
      <c r="CR374" s="72">
        <f t="shared" ref="CR374:CR379" si="2344">AU374</f>
        <v>537</v>
      </c>
      <c r="CS374" s="72">
        <f t="shared" ref="CS374:CS379" si="2345">AY374</f>
        <v>553</v>
      </c>
      <c r="CT374" s="23">
        <f t="shared" ref="CT374:CT379" si="2346">M374-K374</f>
        <v>1</v>
      </c>
    </row>
    <row r="375" spans="1:1030" x14ac:dyDescent="0.2">
      <c r="A375" s="3" t="str">
        <f t="shared" si="2319"/>
        <v>smo_human_5V57</v>
      </c>
      <c r="B375" s="3" t="s">
        <v>33</v>
      </c>
      <c r="C375" s="3" t="s">
        <v>1478</v>
      </c>
      <c r="D375" s="3" t="str">
        <f>IFERROR(MID(VLOOKUP($B375,Seqs!$A:$B,2,0),E375,1),"")</f>
        <v>T</v>
      </c>
      <c r="E375" s="3">
        <v>223</v>
      </c>
      <c r="F375" s="3" t="str">
        <f>IFERROR(MID(VLOOKUP($B375,Seqs!$A:$B,2,0),G375,1),"")</f>
        <v>D</v>
      </c>
      <c r="G375" s="3">
        <v>255</v>
      </c>
      <c r="H375" s="3" t="str">
        <f>IFERROR(MID(VLOOKUP($B375,Seqs!$A:$B,2,0),I375,1),"")</f>
        <v>W</v>
      </c>
      <c r="I375" s="23">
        <v>256</v>
      </c>
      <c r="J375" s="3" t="str">
        <f>IFERROR(MID(VLOOKUP($B375,Seqs!$A:$B,2,0),K375,1),"")</f>
        <v>N</v>
      </c>
      <c r="K375" s="23">
        <v>260</v>
      </c>
      <c r="L375" s="3" t="str">
        <f>IFERROR(MID(VLOOKUP($B375,Seqs!$A:$B,2,0),M375,1),"")</f>
        <v>R</v>
      </c>
      <c r="M375" s="3">
        <v>261</v>
      </c>
      <c r="N375" s="3" t="str">
        <f>IFERROR(MID(VLOOKUP($B375,Seqs!$A:$B,2,0),O375,1),"")</f>
        <v>F</v>
      </c>
      <c r="O375" s="3">
        <v>285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L</v>
      </c>
      <c r="U375" s="3">
        <v>312</v>
      </c>
      <c r="V375" s="3" t="str">
        <f>IFERROR(MID(VLOOKUP($B375,Seqs!$A:$B,2,0),W375,1),"")</f>
        <v>S</v>
      </c>
      <c r="W375" s="3">
        <v>342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357</v>
      </c>
      <c r="AD375" s="3" t="str">
        <f>IFERROR(MID(VLOOKUP($B375,Seqs!$A:$B,2,0),AE375,1),"")</f>
        <v>V</v>
      </c>
      <c r="AE375" s="3">
        <v>378</v>
      </c>
      <c r="AF375" s="3" t="str">
        <f>IFERROR(MID(VLOOKUP($B375,Seqs!$A:$B,2,0),AG375,1),"")</f>
        <v>C</v>
      </c>
      <c r="AG375" s="3">
        <v>390</v>
      </c>
      <c r="AH375" s="3" t="str">
        <f>IFERROR(MID(VLOOKUP($B375,Seqs!$A:$B,2,0),AI375,1),"")</f>
        <v>V</v>
      </c>
      <c r="AI375" s="3">
        <v>392</v>
      </c>
      <c r="AJ375" s="3" t="str">
        <f>IFERROR(MID(VLOOKUP($B375,Seqs!$A:$B,2,0),AK375,1),"")</f>
        <v>N</v>
      </c>
      <c r="AK375" s="3">
        <v>396</v>
      </c>
      <c r="AL375" s="3" t="str">
        <f>IFERROR(MID(VLOOKUP($B375,Seqs!$A:$B,2,0),AM375,1),"")</f>
        <v>N</v>
      </c>
      <c r="AM375" s="3">
        <v>432</v>
      </c>
      <c r="AN375" s="3" t="str">
        <f>IFERROR(MID(VLOOKUP($B375,Seqs!$A:$B,2,0),AO375,1),"")</f>
        <v>E</v>
      </c>
      <c r="AO375" s="3">
        <v>447</v>
      </c>
      <c r="AP375" s="3" t="str">
        <f>IFERROR(MID(VLOOKUP($B375,Seqs!$A:$B,2,0),AQ375,1),"")</f>
        <v>N</v>
      </c>
      <c r="AQ375" s="3">
        <v>493</v>
      </c>
      <c r="AR375" s="3" t="str">
        <f>IFERROR(MID(VLOOKUP($B375,Seqs!$A:$B,2,0),AS375,1),"")</f>
        <v>S</v>
      </c>
      <c r="AS375" s="3">
        <v>514</v>
      </c>
      <c r="AT375" s="3" t="str">
        <f>IFERROR(MID(VLOOKUP($B375,Seqs!$A:$B,2,0),AU375,1),"")</f>
        <v>W</v>
      </c>
      <c r="AU375" s="3">
        <v>537</v>
      </c>
      <c r="AV375" s="3" t="str">
        <f>IFERROR(MID(VLOOKUP($B375,Seqs!$A:$B,2,0),AW375,1),"")</f>
        <v>T</v>
      </c>
      <c r="AW375" s="3">
        <v>538</v>
      </c>
      <c r="AX375" s="3" t="str">
        <f>IFERROR(MID(VLOOKUP($B375,Seqs!$A:$B,2,0),AY375,1),"")</f>
        <v>G</v>
      </c>
      <c r="AY375" s="3">
        <v>554</v>
      </c>
      <c r="AZ375" s="78" t="str">
        <f>VLOOKUP(B375,Classification!A:D,2,0)</f>
        <v>F</v>
      </c>
      <c r="BA375" s="94" t="str">
        <f>VLOOKUP(B375,Classification!A:D,4,0)</f>
        <v>Frizzled</v>
      </c>
      <c r="BB375" s="92" t="b">
        <f t="shared" si="2320"/>
        <v>1</v>
      </c>
      <c r="BC375" s="23">
        <f t="shared" si="2321"/>
        <v>246</v>
      </c>
      <c r="BD375" s="74" t="s">
        <v>23</v>
      </c>
      <c r="BE375" s="3" t="s">
        <v>1374</v>
      </c>
      <c r="BF375" s="119">
        <v>3</v>
      </c>
      <c r="BG375" s="49" t="s">
        <v>1</v>
      </c>
      <c r="BH375" s="49" t="s">
        <v>1</v>
      </c>
      <c r="BJ375" s="75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5">
        <f t="shared" si="2322"/>
        <v>223</v>
      </c>
      <c r="BW375" s="71">
        <f t="shared" si="2323"/>
        <v>256</v>
      </c>
      <c r="BX375" s="72">
        <f t="shared" si="2324"/>
        <v>261</v>
      </c>
      <c r="BY375" s="71" t="str">
        <f t="shared" si="2325"/>
        <v>-</v>
      </c>
      <c r="BZ375" s="72">
        <f t="shared" si="2326"/>
        <v>312</v>
      </c>
      <c r="CA375" s="71" t="str">
        <f t="shared" si="2327"/>
        <v>-</v>
      </c>
      <c r="CB375" s="72">
        <f t="shared" si="2328"/>
        <v>357</v>
      </c>
      <c r="CC375" s="71">
        <f t="shared" si="2329"/>
        <v>390</v>
      </c>
      <c r="CD375" s="72">
        <f t="shared" si="2330"/>
        <v>396</v>
      </c>
      <c r="CE375" s="71">
        <f t="shared" si="2331"/>
        <v>447</v>
      </c>
      <c r="CF375" s="72">
        <f t="shared" si="2332"/>
        <v>514</v>
      </c>
      <c r="CG375" s="71">
        <f t="shared" si="2333"/>
        <v>538</v>
      </c>
      <c r="CH375" s="75">
        <f t="shared" si="2334"/>
        <v>255</v>
      </c>
      <c r="CI375" s="71">
        <f t="shared" si="2335"/>
        <v>260</v>
      </c>
      <c r="CJ375" s="72">
        <f t="shared" si="2336"/>
        <v>285</v>
      </c>
      <c r="CK375" s="72" t="str">
        <f t="shared" si="2337"/>
        <v>-</v>
      </c>
      <c r="CL375" s="72">
        <f t="shared" si="2338"/>
        <v>342</v>
      </c>
      <c r="CM375" s="72" t="str">
        <f t="shared" si="2339"/>
        <v>-</v>
      </c>
      <c r="CN375" s="72">
        <f t="shared" si="2340"/>
        <v>378</v>
      </c>
      <c r="CO375" s="72">
        <f t="shared" si="2341"/>
        <v>392</v>
      </c>
      <c r="CP375" s="72">
        <f t="shared" si="2342"/>
        <v>432</v>
      </c>
      <c r="CQ375" s="72">
        <f t="shared" si="2343"/>
        <v>493</v>
      </c>
      <c r="CR375" s="72">
        <f t="shared" si="2344"/>
        <v>537</v>
      </c>
      <c r="CS375" s="72">
        <f t="shared" si="2345"/>
        <v>554</v>
      </c>
      <c r="CT375" s="23">
        <f t="shared" si="2346"/>
        <v>1</v>
      </c>
    </row>
    <row r="376" spans="1:1030" s="12" customFormat="1" x14ac:dyDescent="0.2">
      <c r="A376" s="9" t="str">
        <f t="shared" si="2319"/>
        <v>smo_human_6OT0</v>
      </c>
      <c r="B376" s="9" t="s">
        <v>33</v>
      </c>
      <c r="C376" s="9" t="s">
        <v>1580</v>
      </c>
      <c r="D376" s="9" t="str">
        <f>IFERROR(MID(VLOOKUP($B376,Seqs!$A:$B,2,0),E376,1),"")</f>
        <v>T</v>
      </c>
      <c r="E376" s="9">
        <v>223</v>
      </c>
      <c r="F376" s="9" t="str">
        <f>IFERROR(MID(VLOOKUP($B376,Seqs!$A:$B,2,0),G376,1),"")</f>
        <v>D</v>
      </c>
      <c r="G376" s="9">
        <v>255</v>
      </c>
      <c r="H376" s="9" t="str">
        <f>IFERROR(MID(VLOOKUP($B376,Seqs!$A:$B,2,0),I376,1),"")</f>
        <v>W</v>
      </c>
      <c r="I376" s="109">
        <v>256</v>
      </c>
      <c r="J376" s="9" t="str">
        <f>IFERROR(MID(VLOOKUP($B376,Seqs!$A:$B,2,0),K376,1),"")</f>
        <v>N</v>
      </c>
      <c r="K376" s="109">
        <v>260</v>
      </c>
      <c r="L376" s="9" t="str">
        <f>IFERROR(MID(VLOOKUP($B376,Seqs!$A:$B,2,0),M376,1),"")</f>
        <v>P</v>
      </c>
      <c r="M376" s="9">
        <v>263</v>
      </c>
      <c r="N376" s="9" t="str">
        <f>IFERROR(MID(VLOOKUP($B376,Seqs!$A:$B,2,0),O376,1),"")</f>
        <v>A</v>
      </c>
      <c r="O376" s="9">
        <v>283</v>
      </c>
      <c r="P376" s="9" t="str">
        <f>IFERROR(MID(VLOOKUP($B376,Seqs!$A:$B,2,0),Q376,1),"")</f>
        <v/>
      </c>
      <c r="Q376" s="9" t="s">
        <v>23</v>
      </c>
      <c r="R376" s="9" t="str">
        <f>IFERROR(MID(VLOOKUP($B376,Seqs!$A:$B,2,0),S376,1),"")</f>
        <v/>
      </c>
      <c r="S376" s="9" t="s">
        <v>23</v>
      </c>
      <c r="T376" s="9" t="str">
        <f>IFERROR(MID(VLOOKUP($B376,Seqs!$A:$B,2,0),U376,1),"")</f>
        <v>C</v>
      </c>
      <c r="U376" s="9">
        <v>314</v>
      </c>
      <c r="V376" s="9" t="str">
        <f>IFERROR(MID(VLOOKUP($B376,Seqs!$A:$B,2,0),W376,1),"")</f>
        <v>A</v>
      </c>
      <c r="W376" s="9">
        <v>345</v>
      </c>
      <c r="X376" s="9" t="str">
        <f>IFERROR(MID(VLOOKUP($B376,Seqs!$A:$B,2,0),Y376,1),"")</f>
        <v/>
      </c>
      <c r="Y376" s="9" t="s">
        <v>23</v>
      </c>
      <c r="Z376" s="9" t="str">
        <f>IFERROR(MID(VLOOKUP($B376,Seqs!$A:$B,2,0),AA376,1),"")</f>
        <v/>
      </c>
      <c r="AA376" s="9" t="s">
        <v>23</v>
      </c>
      <c r="AB376" s="9" t="str">
        <f>IFERROR(MID(VLOOKUP($B376,Seqs!$A:$B,2,0),AC376,1),"")</f>
        <v>K</v>
      </c>
      <c r="AC376" s="9">
        <v>356</v>
      </c>
      <c r="AD376" s="9" t="str">
        <f>IFERROR(MID(VLOOKUP($B376,Seqs!$A:$B,2,0),AE376,1),"")</f>
        <v>L</v>
      </c>
      <c r="AE376" s="9">
        <v>376</v>
      </c>
      <c r="AF376" s="9" t="str">
        <f>IFERROR(MID(VLOOKUP($B376,Seqs!$A:$B,2,0),AG376,1),"")</f>
        <v>C</v>
      </c>
      <c r="AG376" s="9">
        <v>390</v>
      </c>
      <c r="AH376" s="9" t="str">
        <f>IFERROR(MID(VLOOKUP($B376,Seqs!$A:$B,2,0),AI376,1),"")</f>
        <v>V</v>
      </c>
      <c r="AI376" s="9">
        <v>392</v>
      </c>
      <c r="AJ376" s="9" t="str">
        <f>IFERROR(MID(VLOOKUP($B376,Seqs!$A:$B,2,0),AK376,1),"")</f>
        <v>A</v>
      </c>
      <c r="AK376" s="9">
        <v>406</v>
      </c>
      <c r="AL376" s="9" t="str">
        <f>IFERROR(MID(VLOOKUP($B376,Seqs!$A:$B,2,0),AM376,1),"")</f>
        <v>S</v>
      </c>
      <c r="AM376" s="9">
        <v>428</v>
      </c>
      <c r="AN376" s="9" t="str">
        <f>IFERROR(MID(VLOOKUP($B376,Seqs!$A:$B,2,0),AO376,1),"")</f>
        <v>S</v>
      </c>
      <c r="AO376" s="9">
        <v>438</v>
      </c>
      <c r="AP376" s="9" t="str">
        <f>IFERROR(MID(VLOOKUP($B376,Seqs!$A:$B,2,0),AQ376,1),"")</f>
        <v>V</v>
      </c>
      <c r="AQ376" s="9">
        <v>494</v>
      </c>
      <c r="AR376" s="9" t="str">
        <f>IFERROR(MID(VLOOKUP($B376,Seqs!$A:$B,2,0),AS376,1),"")</f>
        <v>L</v>
      </c>
      <c r="AS376" s="9">
        <v>516</v>
      </c>
      <c r="AT376" s="9" t="str">
        <f>IFERROR(MID(VLOOKUP($B376,Seqs!$A:$B,2,0),AU376,1),"")</f>
        <v>W</v>
      </c>
      <c r="AU376" s="9">
        <v>537</v>
      </c>
      <c r="AV376" s="9" t="str">
        <f>IFERROR(MID(VLOOKUP($B376,Seqs!$A:$B,2,0),AW376,1),"")</f>
        <v>A</v>
      </c>
      <c r="AW376" s="9">
        <v>540</v>
      </c>
      <c r="AX376" s="9" t="str">
        <f>IFERROR(MID(VLOOKUP($B376,Seqs!$A:$B,2,0),AY376,1),"")</f>
        <v>L</v>
      </c>
      <c r="AY376" s="9">
        <v>552</v>
      </c>
      <c r="AZ376" s="135" t="str">
        <f>VLOOKUP(B376,Classification!A:D,2,0)</f>
        <v>F</v>
      </c>
      <c r="BA376" s="98" t="str">
        <f>VLOOKUP(B376,Classification!A:D,4,0)</f>
        <v>Frizzled</v>
      </c>
      <c r="BB376" s="136" t="b">
        <f t="shared" si="2320"/>
        <v>1</v>
      </c>
      <c r="BC376" s="109">
        <f t="shared" si="2321"/>
        <v>232</v>
      </c>
      <c r="BD376" s="124" t="s">
        <v>1375</v>
      </c>
      <c r="BE376" s="9" t="s">
        <v>1291</v>
      </c>
      <c r="BF376" s="120">
        <v>3.84</v>
      </c>
      <c r="BG376" s="51" t="s">
        <v>1422</v>
      </c>
      <c r="BH376" s="51" t="s">
        <v>1422</v>
      </c>
      <c r="BI376" s="9"/>
      <c r="BJ376" s="137" t="s">
        <v>1287</v>
      </c>
      <c r="BK376" s="112" t="s">
        <v>1287</v>
      </c>
      <c r="BL376" s="112" t="s">
        <v>1287</v>
      </c>
      <c r="BM376" s="112" t="s">
        <v>1287</v>
      </c>
      <c r="BN376" s="112" t="s">
        <v>1287</v>
      </c>
      <c r="BO376" s="112" t="s">
        <v>1287</v>
      </c>
      <c r="BP376" s="112" t="s">
        <v>1287</v>
      </c>
      <c r="BQ376" s="112" t="s">
        <v>1287</v>
      </c>
      <c r="BR376" s="112" t="s">
        <v>1287</v>
      </c>
      <c r="BS376" s="112" t="s">
        <v>1287</v>
      </c>
      <c r="BT376" s="112" t="s">
        <v>1287</v>
      </c>
      <c r="BU376" s="112" t="s">
        <v>1287</v>
      </c>
      <c r="BV376" s="137">
        <f t="shared" si="2322"/>
        <v>223</v>
      </c>
      <c r="BW376" s="113">
        <f t="shared" si="2323"/>
        <v>256</v>
      </c>
      <c r="BX376" s="114">
        <f t="shared" si="2324"/>
        <v>263</v>
      </c>
      <c r="BY376" s="113" t="str">
        <f t="shared" si="2325"/>
        <v>-</v>
      </c>
      <c r="BZ376" s="114">
        <f t="shared" si="2326"/>
        <v>314</v>
      </c>
      <c r="CA376" s="113" t="str">
        <f t="shared" si="2327"/>
        <v>-</v>
      </c>
      <c r="CB376" s="114">
        <f t="shared" si="2328"/>
        <v>356</v>
      </c>
      <c r="CC376" s="113">
        <f t="shared" si="2329"/>
        <v>390</v>
      </c>
      <c r="CD376" s="114">
        <f t="shared" si="2330"/>
        <v>406</v>
      </c>
      <c r="CE376" s="113">
        <f t="shared" si="2331"/>
        <v>438</v>
      </c>
      <c r="CF376" s="114">
        <f t="shared" si="2332"/>
        <v>516</v>
      </c>
      <c r="CG376" s="113">
        <f t="shared" si="2333"/>
        <v>540</v>
      </c>
      <c r="CH376" s="137">
        <f t="shared" si="2334"/>
        <v>255</v>
      </c>
      <c r="CI376" s="113">
        <f t="shared" si="2335"/>
        <v>260</v>
      </c>
      <c r="CJ376" s="114">
        <f t="shared" si="2336"/>
        <v>283</v>
      </c>
      <c r="CK376" s="114" t="str">
        <f t="shared" si="2337"/>
        <v>-</v>
      </c>
      <c r="CL376" s="114">
        <f t="shared" si="2338"/>
        <v>345</v>
      </c>
      <c r="CM376" s="114" t="str">
        <f t="shared" si="2339"/>
        <v>-</v>
      </c>
      <c r="CN376" s="114">
        <f t="shared" si="2340"/>
        <v>376</v>
      </c>
      <c r="CO376" s="114">
        <f t="shared" si="2341"/>
        <v>392</v>
      </c>
      <c r="CP376" s="114">
        <f t="shared" si="2342"/>
        <v>428</v>
      </c>
      <c r="CQ376" s="114">
        <f t="shared" si="2343"/>
        <v>494</v>
      </c>
      <c r="CR376" s="114">
        <f t="shared" si="2344"/>
        <v>537</v>
      </c>
      <c r="CS376" s="114">
        <f t="shared" si="2345"/>
        <v>552</v>
      </c>
      <c r="CT376" s="109">
        <f t="shared" si="2346"/>
        <v>3</v>
      </c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  <c r="AMO376" s="9"/>
    </row>
    <row r="377" spans="1:1030" x14ac:dyDescent="0.2">
      <c r="A377" s="3" t="str">
        <f t="shared" si="2319"/>
        <v>q98sw5_xenla__wt</v>
      </c>
      <c r="B377" s="3" t="s">
        <v>1495</v>
      </c>
      <c r="C377" s="3" t="s">
        <v>100</v>
      </c>
      <c r="D377" s="3" t="str">
        <f>IFERROR(MID(VLOOKUP($B377,Seqs!$A:$B,2,0),E377,1),"")</f>
        <v>T</v>
      </c>
      <c r="E377" s="3">
        <v>196</v>
      </c>
      <c r="F377" s="3" t="str">
        <f>IFERROR(MID(VLOOKUP($B377,Seqs!$A:$B,2,0),G377,1),"")</f>
        <v>D</v>
      </c>
      <c r="G377" s="3">
        <v>228</v>
      </c>
      <c r="H377" s="3" t="str">
        <f>IFERROR(MID(VLOOKUP($B377,Seqs!$A:$B,2,0),I377,1),"")</f>
        <v>W</v>
      </c>
      <c r="I377" s="23">
        <v>229</v>
      </c>
      <c r="J377" s="3" t="str">
        <f>IFERROR(MID(VLOOKUP($B377,Seqs!$A:$B,2,0),K377,1),"")</f>
        <v>N</v>
      </c>
      <c r="K377" s="23">
        <v>233</v>
      </c>
      <c r="L377" s="3" t="str">
        <f>IFERROR(MID(VLOOKUP($B377,Seqs!$A:$B,2,0),M377,1),"")</f>
        <v>R</v>
      </c>
      <c r="M377" s="3">
        <v>234</v>
      </c>
      <c r="N377" s="3" t="str">
        <f>IFERROR(MID(VLOOKUP($B377,Seqs!$A:$B,2,0),O377,1),"")</f>
        <v>A</v>
      </c>
      <c r="O377" s="3">
        <v>256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L</v>
      </c>
      <c r="U377" s="3">
        <v>285</v>
      </c>
      <c r="V377" s="3" t="str">
        <f>IFERROR(MID(VLOOKUP($B377,Seqs!$A:$B,2,0),W377,1),"")</f>
        <v>T</v>
      </c>
      <c r="W377" s="3">
        <v>321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L</v>
      </c>
      <c r="AC377" s="3">
        <v>326</v>
      </c>
      <c r="AD377" s="3" t="str">
        <f>IFERROR(MID(VLOOKUP($B377,Seqs!$A:$B,2,0),AE377,1),"")</f>
        <v>V</v>
      </c>
      <c r="AE377" s="3">
        <v>351</v>
      </c>
      <c r="AF377" s="3" t="str">
        <f>IFERROR(MID(VLOOKUP($B377,Seqs!$A:$B,2,0),AG377,1),"")</f>
        <v>C</v>
      </c>
      <c r="AG377" s="3">
        <v>363</v>
      </c>
      <c r="AH377" s="3" t="str">
        <f>IFERROR(MID(VLOOKUP($B377,Seqs!$A:$B,2,0),AI377,1),"")</f>
        <v>V</v>
      </c>
      <c r="AI377" s="3">
        <v>365</v>
      </c>
      <c r="AJ377" s="3" t="str">
        <f>IFERROR(MID(VLOOKUP($B377,Seqs!$A:$B,2,0),AK377,1),"")</f>
        <v>N</v>
      </c>
      <c r="AK377" s="3">
        <v>369</v>
      </c>
      <c r="AL377" s="3" t="str">
        <f>IFERROR(MID(VLOOKUP($B377,Seqs!$A:$B,2,0),AM377,1),"")</f>
        <v>H</v>
      </c>
      <c r="AM377" s="3">
        <v>406</v>
      </c>
      <c r="AN377" s="3" t="str">
        <f>IFERROR(MID(VLOOKUP($B377,Seqs!$A:$B,2,0),AO377,1),"")</f>
        <v>A</v>
      </c>
      <c r="AO377" s="3">
        <v>415</v>
      </c>
      <c r="AP377" s="3" t="str">
        <f>IFERROR(MID(VLOOKUP($B377,Seqs!$A:$B,2,0),AQ377,1),"")</f>
        <v>Q</v>
      </c>
      <c r="AQ377" s="3">
        <v>472</v>
      </c>
      <c r="AR377" s="3" t="str">
        <f>IFERROR(MID(VLOOKUP($B377,Seqs!$A:$B,2,0),AS377,1),"")</f>
        <v>S</v>
      </c>
      <c r="AS377" s="3">
        <v>487</v>
      </c>
      <c r="AT377" s="3" t="str">
        <f>IFERROR(MID(VLOOKUP($B377,Seqs!$A:$B,2,0),AU377,1),"")</f>
        <v>W</v>
      </c>
      <c r="AU377" s="3">
        <v>510</v>
      </c>
      <c r="AV377" s="3" t="str">
        <f>IFERROR(MID(VLOOKUP($B377,Seqs!$A:$B,2,0),AW377,1),"")</f>
        <v>T</v>
      </c>
      <c r="AW377" s="3">
        <v>511</v>
      </c>
      <c r="AX377" s="3" t="str">
        <f>IFERROR(MID(VLOOKUP($B377,Seqs!$A:$B,2,0),AY377,1),"")</f>
        <v>L</v>
      </c>
      <c r="AY377" s="3">
        <v>526</v>
      </c>
      <c r="AZ377" s="78" t="str">
        <f>VLOOKUP(B377,Classification!A:D,2,0)</f>
        <v>F</v>
      </c>
      <c r="BA377" s="94" t="str">
        <f>VLOOKUP(B377,Classification!A:D,4,0)</f>
        <v>Frizzled</v>
      </c>
      <c r="BB377" s="92" t="b">
        <f t="shared" si="2320"/>
        <v>1</v>
      </c>
      <c r="BC377" s="23">
        <f t="shared" si="2321"/>
        <v>265</v>
      </c>
      <c r="BD377" s="74" t="s">
        <v>23</v>
      </c>
      <c r="BE377" s="3" t="s">
        <v>1374</v>
      </c>
      <c r="BF377" s="119" t="s">
        <v>23</v>
      </c>
      <c r="BG377" s="49" t="s">
        <v>1</v>
      </c>
      <c r="BH377" s="49" t="s">
        <v>1</v>
      </c>
      <c r="BJ377" s="75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5">
        <f t="shared" si="2322"/>
        <v>196</v>
      </c>
      <c r="BW377" s="71">
        <f t="shared" si="2323"/>
        <v>229</v>
      </c>
      <c r="BX377" s="72">
        <f t="shared" si="2324"/>
        <v>234</v>
      </c>
      <c r="BY377" s="71" t="str">
        <f t="shared" si="2325"/>
        <v>-</v>
      </c>
      <c r="BZ377" s="72">
        <f t="shared" si="2326"/>
        <v>285</v>
      </c>
      <c r="CA377" s="71" t="str">
        <f t="shared" si="2327"/>
        <v>-</v>
      </c>
      <c r="CB377" s="72">
        <f t="shared" si="2328"/>
        <v>326</v>
      </c>
      <c r="CC377" s="71">
        <f t="shared" si="2329"/>
        <v>363</v>
      </c>
      <c r="CD377" s="72">
        <f t="shared" si="2330"/>
        <v>369</v>
      </c>
      <c r="CE377" s="71">
        <f t="shared" si="2331"/>
        <v>415</v>
      </c>
      <c r="CF377" s="72">
        <f t="shared" si="2332"/>
        <v>487</v>
      </c>
      <c r="CG377" s="71">
        <f t="shared" si="2333"/>
        <v>511</v>
      </c>
      <c r="CH377" s="75">
        <f t="shared" si="2334"/>
        <v>228</v>
      </c>
      <c r="CI377" s="71">
        <f t="shared" si="2335"/>
        <v>233</v>
      </c>
      <c r="CJ377" s="72">
        <f t="shared" si="2336"/>
        <v>256</v>
      </c>
      <c r="CK377" s="72" t="str">
        <f t="shared" si="2337"/>
        <v>-</v>
      </c>
      <c r="CL377" s="72">
        <f t="shared" si="2338"/>
        <v>321</v>
      </c>
      <c r="CM377" s="72" t="str">
        <f t="shared" si="2339"/>
        <v>-</v>
      </c>
      <c r="CN377" s="72">
        <f t="shared" si="2340"/>
        <v>351</v>
      </c>
      <c r="CO377" s="72">
        <f t="shared" si="2341"/>
        <v>365</v>
      </c>
      <c r="CP377" s="72">
        <f t="shared" si="2342"/>
        <v>406</v>
      </c>
      <c r="CQ377" s="72">
        <f t="shared" si="2343"/>
        <v>472</v>
      </c>
      <c r="CR377" s="72">
        <f t="shared" si="2344"/>
        <v>510</v>
      </c>
      <c r="CS377" s="72">
        <f t="shared" si="2345"/>
        <v>526</v>
      </c>
      <c r="CT377" s="23">
        <f t="shared" si="2346"/>
        <v>1</v>
      </c>
    </row>
    <row r="378" spans="1:1030" x14ac:dyDescent="0.2">
      <c r="A378" s="3" t="str">
        <f t="shared" si="2319"/>
        <v>q98sw5_xenla_6D32</v>
      </c>
      <c r="B378" s="3" t="s">
        <v>1495</v>
      </c>
      <c r="C378" s="3" t="s">
        <v>1494</v>
      </c>
      <c r="D378" s="3" t="str">
        <f>IFERROR(MID(VLOOKUP($B378,Seqs!$A:$B,2,0),E378,1),"")</f>
        <v>T</v>
      </c>
      <c r="E378" s="3">
        <v>196</v>
      </c>
      <c r="F378" s="3" t="str">
        <f>IFERROR(MID(VLOOKUP($B378,Seqs!$A:$B,2,0),G378,1),"")</f>
        <v>D</v>
      </c>
      <c r="G378" s="3">
        <v>228</v>
      </c>
      <c r="H378" s="3" t="str">
        <f>IFERROR(MID(VLOOKUP($B378,Seqs!$A:$B,2,0),I378,1),"")</f>
        <v>W</v>
      </c>
      <c r="I378" s="23">
        <v>229</v>
      </c>
      <c r="J378" s="3" t="str">
        <f>IFERROR(MID(VLOOKUP($B378,Seqs!$A:$B,2,0),K378,1),"")</f>
        <v>N</v>
      </c>
      <c r="K378" s="23">
        <v>233</v>
      </c>
      <c r="L378" s="3" t="str">
        <f>IFERROR(MID(VLOOKUP($B378,Seqs!$A:$B,2,0),M378,1),"")</f>
        <v>R</v>
      </c>
      <c r="M378" s="3">
        <v>234</v>
      </c>
      <c r="N378" s="3" t="str">
        <f>IFERROR(MID(VLOOKUP($B378,Seqs!$A:$B,2,0),O378,1),"")</f>
        <v>A</v>
      </c>
      <c r="O378" s="3">
        <v>256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L</v>
      </c>
      <c r="U378" s="3">
        <v>285</v>
      </c>
      <c r="V378" s="3" t="str">
        <f>IFERROR(MID(VLOOKUP($B378,Seqs!$A:$B,2,0),W378,1),"")</f>
        <v>K</v>
      </c>
      <c r="W378" s="3">
        <v>317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K</v>
      </c>
      <c r="AC378" s="3">
        <v>329</v>
      </c>
      <c r="AD378" s="3" t="str">
        <f>IFERROR(MID(VLOOKUP($B378,Seqs!$A:$B,2,0),AE378,1),"")</f>
        <v>V</v>
      </c>
      <c r="AE378" s="3">
        <v>351</v>
      </c>
      <c r="AF378" s="3" t="str">
        <f>IFERROR(MID(VLOOKUP($B378,Seqs!$A:$B,2,0),AG378,1),"")</f>
        <v>C</v>
      </c>
      <c r="AG378" s="3">
        <v>363</v>
      </c>
      <c r="AH378" s="3" t="str">
        <f>IFERROR(MID(VLOOKUP($B378,Seqs!$A:$B,2,0),AI378,1),"")</f>
        <v>V</v>
      </c>
      <c r="AI378" s="3">
        <v>365</v>
      </c>
      <c r="AJ378" s="3" t="str">
        <f>IFERROR(MID(VLOOKUP($B378,Seqs!$A:$B,2,0),AK378,1),"")</f>
        <v>N</v>
      </c>
      <c r="AK378" s="3">
        <v>369</v>
      </c>
      <c r="AL378" s="3" t="str">
        <f>IFERROR(MID(VLOOKUP($B378,Seqs!$A:$B,2,0),AM378,1),"")</f>
        <v>S</v>
      </c>
      <c r="AM378" s="3">
        <v>401</v>
      </c>
      <c r="AN378" s="3" t="str">
        <f>IFERROR(MID(VLOOKUP($B378,Seqs!$A:$B,2,0),AO378,1),"")</f>
        <v>S</v>
      </c>
      <c r="AO378" s="3">
        <v>416</v>
      </c>
      <c r="AP378" s="3" t="str">
        <f>IFERROR(MID(VLOOKUP($B378,Seqs!$A:$B,2,0),AQ378,1),"")</f>
        <v>Q</v>
      </c>
      <c r="AQ378" s="3">
        <v>472</v>
      </c>
      <c r="AR378" s="3" t="str">
        <f>IFERROR(MID(VLOOKUP($B378,Seqs!$A:$B,2,0),AS378,1),"")</f>
        <v>S</v>
      </c>
      <c r="AS378" s="3">
        <v>487</v>
      </c>
      <c r="AT378" s="3" t="str">
        <f>IFERROR(MID(VLOOKUP($B378,Seqs!$A:$B,2,0),AU378,1),"")</f>
        <v>W</v>
      </c>
      <c r="AU378" s="3">
        <v>510</v>
      </c>
      <c r="AV378" s="3" t="str">
        <f>IFERROR(MID(VLOOKUP($B378,Seqs!$A:$B,2,0),AW378,1),"")</f>
        <v>T</v>
      </c>
      <c r="AW378" s="3">
        <v>511</v>
      </c>
      <c r="AX378" s="3" t="str">
        <f>IFERROR(MID(VLOOKUP($B378,Seqs!$A:$B,2,0),AY378,1),"")</f>
        <v>R</v>
      </c>
      <c r="AY378" s="3">
        <v>520</v>
      </c>
      <c r="AZ378" s="78" t="str">
        <f>VLOOKUP(B378,Classification!A:D,2,0)</f>
        <v>F</v>
      </c>
      <c r="BA378" s="94" t="str">
        <f>VLOOKUP(B378,Classification!A:D,4,0)</f>
        <v>Frizzled</v>
      </c>
      <c r="BB378" s="92" t="b">
        <f t="shared" si="2320"/>
        <v>1</v>
      </c>
      <c r="BC378" s="23">
        <f t="shared" si="2321"/>
        <v>246</v>
      </c>
      <c r="BD378" s="74" t="s">
        <v>1376</v>
      </c>
      <c r="BE378" s="3" t="s">
        <v>1374</v>
      </c>
      <c r="BF378" s="119">
        <v>3.7509999999999999</v>
      </c>
      <c r="BG378" s="49" t="s">
        <v>1</v>
      </c>
      <c r="BH378" s="49" t="s">
        <v>1</v>
      </c>
      <c r="BJ378" s="75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5">
        <f t="shared" si="2322"/>
        <v>196</v>
      </c>
      <c r="BW378" s="71">
        <f t="shared" si="2323"/>
        <v>229</v>
      </c>
      <c r="BX378" s="72">
        <f t="shared" si="2324"/>
        <v>234</v>
      </c>
      <c r="BY378" s="71" t="str">
        <f t="shared" si="2325"/>
        <v>-</v>
      </c>
      <c r="BZ378" s="72">
        <f t="shared" si="2326"/>
        <v>285</v>
      </c>
      <c r="CA378" s="71" t="str">
        <f t="shared" si="2327"/>
        <v>-</v>
      </c>
      <c r="CB378" s="72">
        <f t="shared" si="2328"/>
        <v>329</v>
      </c>
      <c r="CC378" s="71">
        <f t="shared" si="2329"/>
        <v>363</v>
      </c>
      <c r="CD378" s="72">
        <f t="shared" si="2330"/>
        <v>369</v>
      </c>
      <c r="CE378" s="71">
        <f t="shared" si="2331"/>
        <v>416</v>
      </c>
      <c r="CF378" s="72">
        <f t="shared" si="2332"/>
        <v>487</v>
      </c>
      <c r="CG378" s="71">
        <f t="shared" si="2333"/>
        <v>511</v>
      </c>
      <c r="CH378" s="75">
        <f t="shared" si="2334"/>
        <v>228</v>
      </c>
      <c r="CI378" s="71">
        <f t="shared" si="2335"/>
        <v>233</v>
      </c>
      <c r="CJ378" s="72">
        <f t="shared" si="2336"/>
        <v>256</v>
      </c>
      <c r="CK378" s="72" t="str">
        <f t="shared" si="2337"/>
        <v>-</v>
      </c>
      <c r="CL378" s="72">
        <f t="shared" si="2338"/>
        <v>317</v>
      </c>
      <c r="CM378" s="72" t="str">
        <f t="shared" si="2339"/>
        <v>-</v>
      </c>
      <c r="CN378" s="72">
        <f t="shared" si="2340"/>
        <v>351</v>
      </c>
      <c r="CO378" s="72">
        <f t="shared" si="2341"/>
        <v>365</v>
      </c>
      <c r="CP378" s="72">
        <f t="shared" si="2342"/>
        <v>401</v>
      </c>
      <c r="CQ378" s="72">
        <f t="shared" si="2343"/>
        <v>472</v>
      </c>
      <c r="CR378" s="72">
        <f t="shared" si="2344"/>
        <v>510</v>
      </c>
      <c r="CS378" s="72">
        <f t="shared" si="2345"/>
        <v>520</v>
      </c>
      <c r="CT378" s="23">
        <f t="shared" si="2346"/>
        <v>1</v>
      </c>
    </row>
    <row r="379" spans="1:1030" x14ac:dyDescent="0.2">
      <c r="A379" s="3" t="str">
        <f t="shared" si="2319"/>
        <v>q98sw5_xenla_6D35</v>
      </c>
      <c r="B379" s="3" t="s">
        <v>1495</v>
      </c>
      <c r="C379" s="3" t="s">
        <v>1497</v>
      </c>
      <c r="D379" s="3" t="str">
        <f>IFERROR(MID(VLOOKUP($B379,Seqs!$A:$B,2,0),E379,1),"")</f>
        <v>T</v>
      </c>
      <c r="E379" s="3">
        <v>196</v>
      </c>
      <c r="F379" s="3" t="str">
        <f>IFERROR(MID(VLOOKUP($B379,Seqs!$A:$B,2,0),G379,1),"")</f>
        <v>D</v>
      </c>
      <c r="G379" s="3">
        <v>228</v>
      </c>
      <c r="H379" s="3" t="str">
        <f>IFERROR(MID(VLOOKUP($B379,Seqs!$A:$B,2,0),I379,1),"")</f>
        <v>W</v>
      </c>
      <c r="I379" s="23">
        <v>229</v>
      </c>
      <c r="J379" s="3" t="str">
        <f>IFERROR(MID(VLOOKUP($B379,Seqs!$A:$B,2,0),K379,1),"")</f>
        <v>N</v>
      </c>
      <c r="K379" s="23">
        <v>233</v>
      </c>
      <c r="L379" s="3" t="str">
        <f>IFERROR(MID(VLOOKUP($B379,Seqs!$A:$B,2,0),M379,1),"")</f>
        <v>R</v>
      </c>
      <c r="M379" s="3">
        <v>234</v>
      </c>
      <c r="N379" s="3" t="str">
        <f>IFERROR(MID(VLOOKUP($B379,Seqs!$A:$B,2,0),O379,1),"")</f>
        <v>A</v>
      </c>
      <c r="O379" s="3">
        <v>256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L</v>
      </c>
      <c r="U379" s="3">
        <v>285</v>
      </c>
      <c r="V379" s="3" t="str">
        <f>IFERROR(MID(VLOOKUP($B379,Seqs!$A:$B,2,0),W379,1),"")</f>
        <v>K</v>
      </c>
      <c r="W379" s="3">
        <v>317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K</v>
      </c>
      <c r="AC379" s="3">
        <v>329</v>
      </c>
      <c r="AD379" s="3" t="str">
        <f>IFERROR(MID(VLOOKUP($B379,Seqs!$A:$B,2,0),AE379,1),"")</f>
        <v>V</v>
      </c>
      <c r="AE379" s="3">
        <v>351</v>
      </c>
      <c r="AF379" s="3" t="str">
        <f>IFERROR(MID(VLOOKUP($B379,Seqs!$A:$B,2,0),AG379,1),"")</f>
        <v>C</v>
      </c>
      <c r="AG379" s="3">
        <v>363</v>
      </c>
      <c r="AH379" s="3" t="str">
        <f>IFERROR(MID(VLOOKUP($B379,Seqs!$A:$B,2,0),AI379,1),"")</f>
        <v>V</v>
      </c>
      <c r="AI379" s="3">
        <v>365</v>
      </c>
      <c r="AJ379" s="3" t="str">
        <f>IFERROR(MID(VLOOKUP($B379,Seqs!$A:$B,2,0),AK379,1),"")</f>
        <v>N</v>
      </c>
      <c r="AK379" s="3">
        <v>369</v>
      </c>
      <c r="AL379" s="3" t="str">
        <f>IFERROR(MID(VLOOKUP($B379,Seqs!$A:$B,2,0),AM379,1),"")</f>
        <v>S</v>
      </c>
      <c r="AM379" s="3">
        <v>401</v>
      </c>
      <c r="AN379" s="3" t="str">
        <f>IFERROR(MID(VLOOKUP($B379,Seqs!$A:$B,2,0),AO379,1),"")</f>
        <v>S</v>
      </c>
      <c r="AO379" s="3">
        <v>416</v>
      </c>
      <c r="AP379" s="3" t="str">
        <f>IFERROR(MID(VLOOKUP($B379,Seqs!$A:$B,2,0),AQ379,1),"")</f>
        <v>Q</v>
      </c>
      <c r="AQ379" s="3">
        <v>472</v>
      </c>
      <c r="AR379" s="3" t="str">
        <f>IFERROR(MID(VLOOKUP($B379,Seqs!$A:$B,2,0),AS379,1),"")</f>
        <v>S</v>
      </c>
      <c r="AS379" s="3">
        <v>487</v>
      </c>
      <c r="AT379" s="3" t="str">
        <f>IFERROR(MID(VLOOKUP($B379,Seqs!$A:$B,2,0),AU379,1),"")</f>
        <v>W</v>
      </c>
      <c r="AU379" s="3">
        <v>510</v>
      </c>
      <c r="AV379" s="3" t="str">
        <f>IFERROR(MID(VLOOKUP($B379,Seqs!$A:$B,2,0),AW379,1),"")</f>
        <v>T</v>
      </c>
      <c r="AW379" s="3">
        <v>511</v>
      </c>
      <c r="AX379" s="3" t="str">
        <f>IFERROR(MID(VLOOKUP($B379,Seqs!$A:$B,2,0),AY379,1),"")</f>
        <v>R</v>
      </c>
      <c r="AY379" s="3">
        <v>520</v>
      </c>
      <c r="AZ379" s="78" t="str">
        <f>VLOOKUP(B379,Classification!A:D,2,0)</f>
        <v>F</v>
      </c>
      <c r="BA379" s="94" t="str">
        <f>VLOOKUP(B379,Classification!A:D,4,0)</f>
        <v>Frizzled</v>
      </c>
      <c r="BB379" s="92" t="b">
        <f t="shared" si="2320"/>
        <v>1</v>
      </c>
      <c r="BC379" s="23">
        <f t="shared" si="2321"/>
        <v>246</v>
      </c>
      <c r="BD379" s="74" t="s">
        <v>23</v>
      </c>
      <c r="BE379" s="3" t="s">
        <v>1374</v>
      </c>
      <c r="BF379" s="119">
        <v>3.9</v>
      </c>
      <c r="BG379" s="49" t="s">
        <v>1</v>
      </c>
      <c r="BH379" s="49" t="s">
        <v>1</v>
      </c>
      <c r="BJ379" s="75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5">
        <f t="shared" si="2322"/>
        <v>196</v>
      </c>
      <c r="BW379" s="71">
        <f t="shared" si="2323"/>
        <v>229</v>
      </c>
      <c r="BX379" s="72">
        <f t="shared" si="2324"/>
        <v>234</v>
      </c>
      <c r="BY379" s="71" t="str">
        <f t="shared" si="2325"/>
        <v>-</v>
      </c>
      <c r="BZ379" s="72">
        <f t="shared" si="2326"/>
        <v>285</v>
      </c>
      <c r="CA379" s="71" t="str">
        <f t="shared" si="2327"/>
        <v>-</v>
      </c>
      <c r="CB379" s="72">
        <f t="shared" si="2328"/>
        <v>329</v>
      </c>
      <c r="CC379" s="71">
        <f t="shared" si="2329"/>
        <v>363</v>
      </c>
      <c r="CD379" s="72">
        <f t="shared" si="2330"/>
        <v>369</v>
      </c>
      <c r="CE379" s="71">
        <f t="shared" si="2331"/>
        <v>416</v>
      </c>
      <c r="CF379" s="72">
        <f t="shared" si="2332"/>
        <v>487</v>
      </c>
      <c r="CG379" s="71">
        <f t="shared" si="2333"/>
        <v>511</v>
      </c>
      <c r="CH379" s="75">
        <f t="shared" si="2334"/>
        <v>228</v>
      </c>
      <c r="CI379" s="71">
        <f t="shared" si="2335"/>
        <v>233</v>
      </c>
      <c r="CJ379" s="72">
        <f t="shared" si="2336"/>
        <v>256</v>
      </c>
      <c r="CK379" s="72" t="str">
        <f t="shared" si="2337"/>
        <v>-</v>
      </c>
      <c r="CL379" s="72">
        <f t="shared" si="2338"/>
        <v>317</v>
      </c>
      <c r="CM379" s="72" t="str">
        <f t="shared" si="2339"/>
        <v>-</v>
      </c>
      <c r="CN379" s="72">
        <f t="shared" si="2340"/>
        <v>351</v>
      </c>
      <c r="CO379" s="72">
        <f t="shared" si="2341"/>
        <v>365</v>
      </c>
      <c r="CP379" s="72">
        <f t="shared" si="2342"/>
        <v>401</v>
      </c>
      <c r="CQ379" s="72">
        <f t="shared" si="2343"/>
        <v>472</v>
      </c>
      <c r="CR379" s="72">
        <f t="shared" si="2344"/>
        <v>510</v>
      </c>
      <c r="CS379" s="72">
        <f t="shared" si="2345"/>
        <v>520</v>
      </c>
      <c r="CT379" s="23">
        <f t="shared" si="2346"/>
        <v>1</v>
      </c>
    </row>
    <row r="453" spans="52:86" x14ac:dyDescent="0.2">
      <c r="AZ453" s="77"/>
      <c r="BA453" s="28"/>
      <c r="BB453" s="16"/>
      <c r="BD453" s="2"/>
      <c r="BJ453" s="70"/>
      <c r="BV453" s="70"/>
      <c r="CH453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2 BB72 BB29:BB33 BB36:BB40">
    <cfRule type="cellIs" dxfId="76" priority="10" operator="equal">
      <formula>0</formula>
    </cfRule>
  </conditionalFormatting>
  <conditionalFormatting sqref="BB289:BB290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14">
    <cfRule type="cellIs" dxfId="73" priority="13" operator="equal">
      <formula>0</formula>
    </cfRule>
  </conditionalFormatting>
  <conditionalFormatting sqref="E314 AW314 AU314 AS314 AQ314 AO314 AM314 AK314 AI314 AG314 AE314 AC314 AA314 Y314 W314 U314 S314 Q314 O314 M314 K314 I314 G314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11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BE2:BE453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"/>
  <sheetViews>
    <sheetView workbookViewId="0">
      <pane ySplit="1" topLeftCell="A36" activePane="bottomLeft" state="frozenSplit"/>
      <selection pane="bottomLeft" activeCell="C72" sqref="C7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>CONCATENATE(B72,"__wt",)</f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49"/>
      <c r="AB73" s="96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2"/>
      <c r="AN73" s="38"/>
      <c r="AO73" s="30" t="s">
        <v>1060</v>
      </c>
      <c r="AP73" s="30" t="s">
        <v>1061</v>
      </c>
      <c r="AQ73" s="30" t="s">
        <v>1077</v>
      </c>
      <c r="AR73" s="30" t="s">
        <v>1078</v>
      </c>
      <c r="AS73" s="30" t="s">
        <v>1062</v>
      </c>
      <c r="AT73" s="30" t="s">
        <v>1063</v>
      </c>
      <c r="AU73" s="30" t="s">
        <v>1079</v>
      </c>
      <c r="AV73" s="30" t="s">
        <v>1080</v>
      </c>
      <c r="AW73" s="30" t="s">
        <v>1064</v>
      </c>
      <c r="AX73" s="30" t="s">
        <v>1065</v>
      </c>
      <c r="AY73" s="30" t="s">
        <v>1092</v>
      </c>
      <c r="AZ73" s="30" t="s">
        <v>1093</v>
      </c>
      <c r="BA73" s="30" t="s">
        <v>1066</v>
      </c>
      <c r="BB73" s="30" t="s">
        <v>1067</v>
      </c>
      <c r="BC73" s="30" t="s">
        <v>1095</v>
      </c>
      <c r="BD73" s="30" t="s">
        <v>1096</v>
      </c>
      <c r="BE73" s="30" t="s">
        <v>1068</v>
      </c>
      <c r="BF73" s="30" t="s">
        <v>1069</v>
      </c>
      <c r="BG73" s="30" t="s">
        <v>1070</v>
      </c>
      <c r="BH73" s="30" t="s">
        <v>1071</v>
      </c>
      <c r="BI73" s="30" t="s">
        <v>1072</v>
      </c>
      <c r="BJ73" s="30" t="s">
        <v>1073</v>
      </c>
      <c r="BK73" s="30" t="s">
        <v>1074</v>
      </c>
      <c r="BL73" s="30" t="s">
        <v>1075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</v>
      </c>
      <c r="AO74" s="4">
        <f t="shared" ref="AO74:BL74" si="1">MAX(C2:C42)</f>
        <v>34</v>
      </c>
      <c r="AP74" s="4">
        <f t="shared" si="1"/>
        <v>64</v>
      </c>
      <c r="AQ74" s="4">
        <f t="shared" si="1"/>
        <v>48</v>
      </c>
      <c r="AR74" s="4">
        <f t="shared" si="1"/>
        <v>52</v>
      </c>
      <c r="AS74" s="4">
        <f t="shared" si="1"/>
        <v>38</v>
      </c>
      <c r="AT74" s="4">
        <f t="shared" si="1"/>
        <v>69</v>
      </c>
      <c r="AU74" s="4">
        <f t="shared" si="1"/>
        <v>50</v>
      </c>
      <c r="AV74" s="4">
        <f t="shared" si="1"/>
        <v>53</v>
      </c>
      <c r="AW74" s="4">
        <f t="shared" si="1"/>
        <v>21</v>
      </c>
      <c r="AX74" s="4">
        <f t="shared" si="1"/>
        <v>56</v>
      </c>
      <c r="AY74" s="4">
        <f t="shared" si="1"/>
        <v>50</v>
      </c>
      <c r="AZ74" s="4">
        <f t="shared" si="1"/>
        <v>58</v>
      </c>
      <c r="BA74" s="4">
        <f t="shared" si="1"/>
        <v>38</v>
      </c>
      <c r="BB74" s="4">
        <f t="shared" si="1"/>
        <v>69</v>
      </c>
      <c r="BC74" s="4">
        <f t="shared" si="1"/>
        <v>50</v>
      </c>
      <c r="BD74" s="4">
        <f t="shared" si="1"/>
        <v>52</v>
      </c>
      <c r="BE74" s="4">
        <f t="shared" si="1"/>
        <v>36</v>
      </c>
      <c r="BF74" s="4">
        <f t="shared" si="1"/>
        <v>77</v>
      </c>
      <c r="BG74" s="4">
        <f t="shared" si="1"/>
        <v>30</v>
      </c>
      <c r="BH74" s="4">
        <f t="shared" si="1"/>
        <v>65</v>
      </c>
      <c r="BI74" s="4">
        <f t="shared" si="1"/>
        <v>32</v>
      </c>
      <c r="BJ74" s="4">
        <f t="shared" si="1"/>
        <v>56</v>
      </c>
      <c r="BK74" s="4">
        <f t="shared" si="1"/>
        <v>47</v>
      </c>
      <c r="BL74" s="4">
        <f t="shared" si="1"/>
        <v>69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2">MIN(C2:C42)</f>
        <v>22</v>
      </c>
      <c r="AP75" s="4">
        <f t="shared" si="2"/>
        <v>60</v>
      </c>
      <c r="AQ75" s="4">
        <f t="shared" si="2"/>
        <v>48</v>
      </c>
      <c r="AR75" s="4">
        <f t="shared" si="2"/>
        <v>51</v>
      </c>
      <c r="AS75" s="4">
        <f t="shared" si="2"/>
        <v>34</v>
      </c>
      <c r="AT75" s="4">
        <f t="shared" si="2"/>
        <v>63</v>
      </c>
      <c r="AU75" s="4">
        <f t="shared" si="2"/>
        <v>47</v>
      </c>
      <c r="AV75" s="4">
        <f t="shared" si="2"/>
        <v>52</v>
      </c>
      <c r="AW75" s="4">
        <f t="shared" si="2"/>
        <v>18</v>
      </c>
      <c r="AX75" s="4">
        <f t="shared" si="2"/>
        <v>55</v>
      </c>
      <c r="AY75" s="4">
        <f t="shared" si="2"/>
        <v>50</v>
      </c>
      <c r="AZ75" s="4">
        <f t="shared" si="2"/>
        <v>53</v>
      </c>
      <c r="BA75" s="4">
        <f t="shared" si="2"/>
        <v>35</v>
      </c>
      <c r="BB75" s="4">
        <f t="shared" si="2"/>
        <v>62</v>
      </c>
      <c r="BC75" s="4">
        <f t="shared" si="2"/>
        <v>50</v>
      </c>
      <c r="BD75" s="4">
        <f t="shared" si="2"/>
        <v>52</v>
      </c>
      <c r="BE75" s="4">
        <f t="shared" si="2"/>
        <v>28</v>
      </c>
      <c r="BF75" s="4">
        <f t="shared" si="2"/>
        <v>67</v>
      </c>
      <c r="BG75" s="4">
        <f t="shared" si="2"/>
        <v>18</v>
      </c>
      <c r="BH75" s="4">
        <f t="shared" si="2"/>
        <v>60</v>
      </c>
      <c r="BI75" s="4">
        <f t="shared" si="2"/>
        <v>24</v>
      </c>
      <c r="BJ75" s="4">
        <f t="shared" si="2"/>
        <v>55</v>
      </c>
      <c r="BK75" s="4">
        <f t="shared" si="2"/>
        <v>47</v>
      </c>
      <c r="BL75" s="4">
        <f t="shared" si="2"/>
        <v>57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3">AO74-AO75</f>
        <v>12</v>
      </c>
      <c r="AP76" s="4">
        <f t="shared" si="3"/>
        <v>4</v>
      </c>
      <c r="AQ76" s="4">
        <f t="shared" si="3"/>
        <v>0</v>
      </c>
      <c r="AR76" s="4">
        <f t="shared" si="3"/>
        <v>1</v>
      </c>
      <c r="AS76" s="4">
        <f t="shared" si="3"/>
        <v>4</v>
      </c>
      <c r="AT76" s="4">
        <f t="shared" si="3"/>
        <v>6</v>
      </c>
      <c r="AU76" s="4">
        <f t="shared" si="3"/>
        <v>3</v>
      </c>
      <c r="AV76" s="4">
        <f t="shared" si="3"/>
        <v>1</v>
      </c>
      <c r="AW76" s="4">
        <f t="shared" si="3"/>
        <v>3</v>
      </c>
      <c r="AX76" s="4">
        <f t="shared" si="3"/>
        <v>1</v>
      </c>
      <c r="AY76" s="4">
        <f t="shared" si="3"/>
        <v>0</v>
      </c>
      <c r="AZ76" s="4">
        <f t="shared" si="3"/>
        <v>5</v>
      </c>
      <c r="BA76" s="4">
        <f t="shared" si="3"/>
        <v>3</v>
      </c>
      <c r="BB76" s="4">
        <f t="shared" si="3"/>
        <v>7</v>
      </c>
      <c r="BC76" s="4">
        <f t="shared" si="3"/>
        <v>0</v>
      </c>
      <c r="BD76" s="4">
        <f t="shared" si="3"/>
        <v>0</v>
      </c>
      <c r="BE76" s="4">
        <f t="shared" si="3"/>
        <v>8</v>
      </c>
      <c r="BF76" s="4">
        <f t="shared" si="3"/>
        <v>10</v>
      </c>
      <c r="BG76" s="4">
        <f t="shared" si="3"/>
        <v>12</v>
      </c>
      <c r="BH76" s="4">
        <f t="shared" si="3"/>
        <v>5</v>
      </c>
      <c r="BI76" s="4">
        <f t="shared" si="3"/>
        <v>8</v>
      </c>
      <c r="BJ76" s="4">
        <f t="shared" si="3"/>
        <v>1</v>
      </c>
      <c r="BK76" s="4">
        <f t="shared" si="3"/>
        <v>0</v>
      </c>
      <c r="BL76" s="4">
        <f t="shared" si="3"/>
        <v>12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1281</v>
      </c>
      <c r="AO77" s="4">
        <f t="shared" ref="AO77:BL77" si="4">MAX(C43:C46)</f>
        <v>29</v>
      </c>
      <c r="AP77" s="4">
        <f t="shared" si="4"/>
        <v>60</v>
      </c>
      <c r="AQ77" s="4">
        <f t="shared" si="4"/>
        <v>48</v>
      </c>
      <c r="AR77" s="4">
        <f t="shared" si="4"/>
        <v>51</v>
      </c>
      <c r="AS77" s="4">
        <f t="shared" si="4"/>
        <v>37</v>
      </c>
      <c r="AT77" s="4">
        <f t="shared" si="4"/>
        <v>66</v>
      </c>
      <c r="AU77" s="4">
        <f t="shared" si="4"/>
        <v>49</v>
      </c>
      <c r="AV77" s="4">
        <f t="shared" si="4"/>
        <v>52</v>
      </c>
      <c r="AW77" s="4">
        <f t="shared" si="4"/>
        <v>23</v>
      </c>
      <c r="AX77" s="4">
        <f t="shared" si="4"/>
        <v>56</v>
      </c>
      <c r="AY77" s="4">
        <f t="shared" si="4"/>
        <v>50</v>
      </c>
      <c r="AZ77" s="4">
        <f t="shared" si="4"/>
        <v>57</v>
      </c>
      <c r="BA77" s="4">
        <f t="shared" si="4"/>
        <v>41</v>
      </c>
      <c r="BB77" s="4">
        <f t="shared" si="4"/>
        <v>68</v>
      </c>
      <c r="BC77" s="4">
        <f t="shared" si="4"/>
        <v>50</v>
      </c>
      <c r="BD77" s="4">
        <f t="shared" si="4"/>
        <v>52</v>
      </c>
      <c r="BE77" s="4">
        <f t="shared" si="4"/>
        <v>40</v>
      </c>
      <c r="BF77" s="4">
        <f t="shared" si="4"/>
        <v>70</v>
      </c>
      <c r="BG77" s="4">
        <f t="shared" si="4"/>
        <v>30</v>
      </c>
      <c r="BH77" s="4">
        <f t="shared" si="4"/>
        <v>65</v>
      </c>
      <c r="BI77" s="4">
        <f t="shared" si="4"/>
        <v>31</v>
      </c>
      <c r="BJ77" s="4">
        <f t="shared" si="4"/>
        <v>56</v>
      </c>
      <c r="BK77" s="4">
        <f t="shared" si="4"/>
        <v>47</v>
      </c>
      <c r="BL77" s="4">
        <f t="shared" si="4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5">MIN(C43:C46)</f>
        <v>19</v>
      </c>
      <c r="AP78" s="4">
        <f t="shared" si="5"/>
        <v>60</v>
      </c>
      <c r="AQ78" s="4">
        <f t="shared" si="5"/>
        <v>48</v>
      </c>
      <c r="AR78" s="4">
        <f t="shared" si="5"/>
        <v>51</v>
      </c>
      <c r="AS78" s="4">
        <f t="shared" si="5"/>
        <v>37</v>
      </c>
      <c r="AT78" s="4">
        <f t="shared" si="5"/>
        <v>63</v>
      </c>
      <c r="AU78" s="4">
        <f t="shared" si="5"/>
        <v>47</v>
      </c>
      <c r="AV78" s="4">
        <f t="shared" si="5"/>
        <v>52</v>
      </c>
      <c r="AW78" s="4">
        <f t="shared" si="5"/>
        <v>21</v>
      </c>
      <c r="AX78" s="4">
        <f t="shared" si="5"/>
        <v>56</v>
      </c>
      <c r="AY78" s="4">
        <f t="shared" si="5"/>
        <v>50</v>
      </c>
      <c r="AZ78" s="4">
        <f t="shared" si="5"/>
        <v>56</v>
      </c>
      <c r="BA78" s="4">
        <f t="shared" si="5"/>
        <v>38</v>
      </c>
      <c r="BB78" s="4">
        <f t="shared" si="5"/>
        <v>62</v>
      </c>
      <c r="BC78" s="4">
        <f t="shared" si="5"/>
        <v>50</v>
      </c>
      <c r="BD78" s="4">
        <f t="shared" si="5"/>
        <v>52</v>
      </c>
      <c r="BE78" s="4">
        <f t="shared" si="5"/>
        <v>31</v>
      </c>
      <c r="BF78" s="4">
        <f t="shared" si="5"/>
        <v>67</v>
      </c>
      <c r="BG78" s="4">
        <f t="shared" si="5"/>
        <v>25</v>
      </c>
      <c r="BH78" s="4">
        <f t="shared" si="5"/>
        <v>53</v>
      </c>
      <c r="BI78" s="4">
        <f t="shared" si="5"/>
        <v>28</v>
      </c>
      <c r="BJ78" s="4">
        <f t="shared" si="5"/>
        <v>56</v>
      </c>
      <c r="BK78" s="4">
        <f t="shared" si="5"/>
        <v>47</v>
      </c>
      <c r="BL78" s="4">
        <f t="shared" si="5"/>
        <v>61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6">AO77-AO78</f>
        <v>10</v>
      </c>
      <c r="AP79" s="4">
        <f t="shared" si="6"/>
        <v>0</v>
      </c>
      <c r="AQ79" s="4">
        <f t="shared" si="6"/>
        <v>0</v>
      </c>
      <c r="AR79" s="4">
        <f t="shared" si="6"/>
        <v>0</v>
      </c>
      <c r="AS79" s="4">
        <f t="shared" si="6"/>
        <v>0</v>
      </c>
      <c r="AT79" s="4">
        <f t="shared" si="6"/>
        <v>3</v>
      </c>
      <c r="AU79" s="4">
        <f t="shared" si="6"/>
        <v>2</v>
      </c>
      <c r="AV79" s="4">
        <f t="shared" si="6"/>
        <v>0</v>
      </c>
      <c r="AW79" s="4">
        <f t="shared" si="6"/>
        <v>2</v>
      </c>
      <c r="AX79" s="4">
        <f t="shared" si="6"/>
        <v>0</v>
      </c>
      <c r="AY79" s="4">
        <f t="shared" si="6"/>
        <v>0</v>
      </c>
      <c r="AZ79" s="4">
        <f t="shared" si="6"/>
        <v>1</v>
      </c>
      <c r="BA79" s="4">
        <f t="shared" si="6"/>
        <v>3</v>
      </c>
      <c r="BB79" s="4">
        <f t="shared" si="6"/>
        <v>6</v>
      </c>
      <c r="BC79" s="4">
        <f t="shared" si="6"/>
        <v>0</v>
      </c>
      <c r="BD79" s="4">
        <f t="shared" si="6"/>
        <v>0</v>
      </c>
      <c r="BE79" s="4">
        <f t="shared" si="6"/>
        <v>9</v>
      </c>
      <c r="BF79" s="4">
        <f t="shared" si="6"/>
        <v>3</v>
      </c>
      <c r="BG79" s="4">
        <f t="shared" si="6"/>
        <v>5</v>
      </c>
      <c r="BH79" s="4">
        <f t="shared" si="6"/>
        <v>12</v>
      </c>
      <c r="BI79" s="4">
        <f t="shared" si="6"/>
        <v>3</v>
      </c>
      <c r="BJ79" s="4">
        <f t="shared" si="6"/>
        <v>0</v>
      </c>
      <c r="BK79" s="4">
        <f t="shared" si="6"/>
        <v>0</v>
      </c>
      <c r="BL79" s="4">
        <f t="shared" si="6"/>
        <v>11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27</v>
      </c>
      <c r="AO80" s="4">
        <f t="shared" ref="AO80:BL80" si="7">MAX(C47:C50)</f>
        <v>34</v>
      </c>
      <c r="AP80" s="4">
        <f t="shared" si="7"/>
        <v>60</v>
      </c>
      <c r="AQ80" s="4">
        <f t="shared" si="7"/>
        <v>48</v>
      </c>
      <c r="AR80" s="4">
        <f t="shared" si="7"/>
        <v>53</v>
      </c>
      <c r="AS80" s="4">
        <f t="shared" si="7"/>
        <v>39</v>
      </c>
      <c r="AT80" s="4">
        <f t="shared" si="7"/>
        <v>74</v>
      </c>
      <c r="AU80" s="4">
        <f t="shared" si="7"/>
        <v>0</v>
      </c>
      <c r="AV80" s="4">
        <f t="shared" si="7"/>
        <v>0</v>
      </c>
      <c r="AW80" s="4">
        <f t="shared" si="7"/>
        <v>23</v>
      </c>
      <c r="AX80" s="4">
        <f t="shared" si="7"/>
        <v>56</v>
      </c>
      <c r="AY80" s="4">
        <f t="shared" si="7"/>
        <v>0</v>
      </c>
      <c r="AZ80" s="4">
        <f t="shared" si="7"/>
        <v>0</v>
      </c>
      <c r="BA80" s="4">
        <f t="shared" si="7"/>
        <v>40</v>
      </c>
      <c r="BB80" s="4">
        <f t="shared" si="7"/>
        <v>68</v>
      </c>
      <c r="BC80" s="4">
        <f t="shared" si="7"/>
        <v>50</v>
      </c>
      <c r="BD80" s="4">
        <f t="shared" si="7"/>
        <v>52</v>
      </c>
      <c r="BE80" s="4">
        <f t="shared" si="7"/>
        <v>39</v>
      </c>
      <c r="BF80" s="4">
        <f t="shared" si="7"/>
        <v>71</v>
      </c>
      <c r="BG80" s="4">
        <f t="shared" si="7"/>
        <v>33</v>
      </c>
      <c r="BH80" s="4">
        <f t="shared" si="7"/>
        <v>57</v>
      </c>
      <c r="BI80" s="4">
        <f t="shared" si="7"/>
        <v>33</v>
      </c>
      <c r="BJ80" s="4">
        <f t="shared" si="7"/>
        <v>64</v>
      </c>
      <c r="BK80" s="4">
        <f t="shared" si="7"/>
        <v>47</v>
      </c>
      <c r="BL80" s="4">
        <f t="shared" si="7"/>
        <v>72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8">MIN(C47:C50)</f>
        <v>25</v>
      </c>
      <c r="AP81" s="4">
        <f t="shared" si="8"/>
        <v>60</v>
      </c>
      <c r="AQ81" s="4">
        <f t="shared" si="8"/>
        <v>47</v>
      </c>
      <c r="AR81" s="4">
        <f t="shared" si="8"/>
        <v>51</v>
      </c>
      <c r="AS81" s="4">
        <f t="shared" si="8"/>
        <v>37</v>
      </c>
      <c r="AT81" s="4">
        <f t="shared" si="8"/>
        <v>61</v>
      </c>
      <c r="AU81" s="4">
        <f t="shared" si="8"/>
        <v>0</v>
      </c>
      <c r="AV81" s="4">
        <f t="shared" si="8"/>
        <v>0</v>
      </c>
      <c r="AW81" s="4">
        <f t="shared" si="8"/>
        <v>21</v>
      </c>
      <c r="AX81" s="4">
        <f t="shared" si="8"/>
        <v>54</v>
      </c>
      <c r="AY81" s="4">
        <f t="shared" si="8"/>
        <v>0</v>
      </c>
      <c r="AZ81" s="4">
        <f t="shared" si="8"/>
        <v>0</v>
      </c>
      <c r="BA81" s="4">
        <f t="shared" si="8"/>
        <v>37</v>
      </c>
      <c r="BB81" s="4">
        <f t="shared" si="8"/>
        <v>64</v>
      </c>
      <c r="BC81" s="4">
        <f t="shared" si="8"/>
        <v>50</v>
      </c>
      <c r="BD81" s="4">
        <f t="shared" si="8"/>
        <v>52</v>
      </c>
      <c r="BE81" s="4">
        <f t="shared" si="8"/>
        <v>36</v>
      </c>
      <c r="BF81" s="4">
        <f t="shared" si="8"/>
        <v>61</v>
      </c>
      <c r="BG81" s="4">
        <f t="shared" si="8"/>
        <v>28</v>
      </c>
      <c r="BH81" s="4">
        <f t="shared" si="8"/>
        <v>53</v>
      </c>
      <c r="BI81" s="4">
        <f t="shared" si="8"/>
        <v>27</v>
      </c>
      <c r="BJ81" s="4">
        <f t="shared" si="8"/>
        <v>56</v>
      </c>
      <c r="BK81" s="4">
        <f t="shared" si="8"/>
        <v>46</v>
      </c>
      <c r="BL81" s="4">
        <f t="shared" si="8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9">AO80-AO81</f>
        <v>9</v>
      </c>
      <c r="AP82" s="4">
        <f t="shared" si="9"/>
        <v>0</v>
      </c>
      <c r="AQ82" s="4">
        <f t="shared" si="9"/>
        <v>1</v>
      </c>
      <c r="AR82" s="4">
        <f t="shared" si="9"/>
        <v>2</v>
      </c>
      <c r="AS82" s="4">
        <f t="shared" si="9"/>
        <v>2</v>
      </c>
      <c r="AT82" s="4">
        <f t="shared" si="9"/>
        <v>13</v>
      </c>
      <c r="AU82" s="4">
        <f t="shared" si="9"/>
        <v>0</v>
      </c>
      <c r="AV82" s="4">
        <f t="shared" si="9"/>
        <v>0</v>
      </c>
      <c r="AW82" s="4">
        <f t="shared" si="9"/>
        <v>2</v>
      </c>
      <c r="AX82" s="4">
        <f t="shared" si="9"/>
        <v>2</v>
      </c>
      <c r="AY82" s="4">
        <f t="shared" si="9"/>
        <v>0</v>
      </c>
      <c r="AZ82" s="4">
        <f t="shared" si="9"/>
        <v>0</v>
      </c>
      <c r="BA82" s="4">
        <f t="shared" si="9"/>
        <v>3</v>
      </c>
      <c r="BB82" s="4">
        <f t="shared" si="9"/>
        <v>4</v>
      </c>
      <c r="BC82" s="4">
        <f t="shared" si="9"/>
        <v>0</v>
      </c>
      <c r="BD82" s="4">
        <f t="shared" si="9"/>
        <v>0</v>
      </c>
      <c r="BE82" s="4">
        <f t="shared" si="9"/>
        <v>3</v>
      </c>
      <c r="BF82" s="4">
        <f t="shared" si="9"/>
        <v>10</v>
      </c>
      <c r="BG82" s="4">
        <f t="shared" si="9"/>
        <v>5</v>
      </c>
      <c r="BH82" s="4">
        <f t="shared" si="9"/>
        <v>4</v>
      </c>
      <c r="BI82" s="4">
        <f t="shared" si="9"/>
        <v>6</v>
      </c>
      <c r="BJ82" s="4">
        <f t="shared" si="9"/>
        <v>8</v>
      </c>
      <c r="BK82" s="4">
        <f t="shared" si="9"/>
        <v>1</v>
      </c>
      <c r="BL82" s="4">
        <f t="shared" si="9"/>
        <v>15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28</v>
      </c>
      <c r="AO83" s="4">
        <f t="shared" ref="AO83:BL83" si="10">MAX(C51)</f>
        <v>34</v>
      </c>
      <c r="AP83" s="4">
        <f t="shared" si="10"/>
        <v>60</v>
      </c>
      <c r="AQ83" s="4">
        <f t="shared" si="10"/>
        <v>47</v>
      </c>
      <c r="AR83" s="4">
        <f t="shared" si="10"/>
        <v>53</v>
      </c>
      <c r="AS83" s="4">
        <f t="shared" si="10"/>
        <v>39</v>
      </c>
      <c r="AT83" s="4">
        <f t="shared" si="10"/>
        <v>61</v>
      </c>
      <c r="AU83" s="4">
        <f t="shared" si="10"/>
        <v>0</v>
      </c>
      <c r="AV83" s="4">
        <f t="shared" si="10"/>
        <v>0</v>
      </c>
      <c r="AW83" s="4">
        <f t="shared" si="10"/>
        <v>22</v>
      </c>
      <c r="AX83" s="4">
        <f t="shared" si="10"/>
        <v>54</v>
      </c>
      <c r="AY83" s="4">
        <f t="shared" si="10"/>
        <v>0</v>
      </c>
      <c r="AZ83" s="4">
        <f t="shared" si="10"/>
        <v>0</v>
      </c>
      <c r="BA83" s="4">
        <f t="shared" si="10"/>
        <v>38</v>
      </c>
      <c r="BB83" s="4">
        <f t="shared" si="10"/>
        <v>64</v>
      </c>
      <c r="BC83" s="4">
        <f t="shared" si="10"/>
        <v>50</v>
      </c>
      <c r="BD83" s="4">
        <f t="shared" si="10"/>
        <v>52</v>
      </c>
      <c r="BE83" s="4">
        <f t="shared" si="10"/>
        <v>36</v>
      </c>
      <c r="BF83" s="4">
        <f t="shared" si="10"/>
        <v>61</v>
      </c>
      <c r="BG83" s="4">
        <f t="shared" si="10"/>
        <v>33</v>
      </c>
      <c r="BH83" s="4">
        <f t="shared" si="10"/>
        <v>57</v>
      </c>
      <c r="BI83" s="4">
        <f t="shared" si="10"/>
        <v>33</v>
      </c>
      <c r="BJ83" s="4">
        <f t="shared" si="10"/>
        <v>64</v>
      </c>
      <c r="BK83" s="4">
        <f t="shared" si="10"/>
        <v>46</v>
      </c>
      <c r="BL83" s="4">
        <f t="shared" si="10"/>
        <v>57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11">MIN(C51)</f>
        <v>34</v>
      </c>
      <c r="AP84" s="4">
        <f t="shared" si="11"/>
        <v>60</v>
      </c>
      <c r="AQ84" s="4">
        <f t="shared" si="11"/>
        <v>47</v>
      </c>
      <c r="AR84" s="4">
        <f t="shared" si="11"/>
        <v>53</v>
      </c>
      <c r="AS84" s="4">
        <f t="shared" si="11"/>
        <v>39</v>
      </c>
      <c r="AT84" s="4">
        <f t="shared" si="11"/>
        <v>61</v>
      </c>
      <c r="AU84" s="4">
        <f t="shared" si="11"/>
        <v>0</v>
      </c>
      <c r="AV84" s="4">
        <f t="shared" si="11"/>
        <v>0</v>
      </c>
      <c r="AW84" s="4">
        <f t="shared" si="11"/>
        <v>22</v>
      </c>
      <c r="AX84" s="4">
        <f t="shared" si="11"/>
        <v>54</v>
      </c>
      <c r="AY84" s="4">
        <f t="shared" si="11"/>
        <v>0</v>
      </c>
      <c r="AZ84" s="4">
        <f t="shared" si="11"/>
        <v>0</v>
      </c>
      <c r="BA84" s="4">
        <f t="shared" si="11"/>
        <v>38</v>
      </c>
      <c r="BB84" s="4">
        <f t="shared" si="11"/>
        <v>64</v>
      </c>
      <c r="BC84" s="4">
        <f t="shared" si="11"/>
        <v>50</v>
      </c>
      <c r="BD84" s="4">
        <f t="shared" si="11"/>
        <v>52</v>
      </c>
      <c r="BE84" s="4">
        <f t="shared" si="11"/>
        <v>36</v>
      </c>
      <c r="BF84" s="4">
        <f t="shared" si="11"/>
        <v>61</v>
      </c>
      <c r="BG84" s="4">
        <f t="shared" si="11"/>
        <v>33</v>
      </c>
      <c r="BH84" s="4">
        <f t="shared" si="11"/>
        <v>57</v>
      </c>
      <c r="BI84" s="4">
        <f t="shared" si="11"/>
        <v>33</v>
      </c>
      <c r="BJ84" s="4">
        <f t="shared" si="11"/>
        <v>64</v>
      </c>
      <c r="BK84" s="4">
        <f t="shared" si="11"/>
        <v>46</v>
      </c>
      <c r="BL84" s="4">
        <f t="shared" si="11"/>
        <v>57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2">AO83-AO84</f>
        <v>0</v>
      </c>
      <c r="AP85" s="4">
        <f t="shared" si="12"/>
        <v>0</v>
      </c>
      <c r="AQ85" s="4">
        <f t="shared" si="12"/>
        <v>0</v>
      </c>
      <c r="AR85" s="4">
        <f t="shared" si="12"/>
        <v>0</v>
      </c>
      <c r="AS85" s="4">
        <f t="shared" si="12"/>
        <v>0</v>
      </c>
      <c r="AT85" s="4">
        <f t="shared" si="12"/>
        <v>0</v>
      </c>
      <c r="AU85" s="4">
        <f t="shared" si="12"/>
        <v>0</v>
      </c>
      <c r="AV85" s="4">
        <f t="shared" si="12"/>
        <v>0</v>
      </c>
      <c r="AW85" s="4">
        <f t="shared" si="12"/>
        <v>0</v>
      </c>
      <c r="AX85" s="4">
        <f t="shared" si="12"/>
        <v>0</v>
      </c>
      <c r="AY85" s="4">
        <f t="shared" si="12"/>
        <v>0</v>
      </c>
      <c r="AZ85" s="4">
        <f t="shared" si="12"/>
        <v>0</v>
      </c>
      <c r="BA85" s="4">
        <f t="shared" si="12"/>
        <v>0</v>
      </c>
      <c r="BB85" s="4">
        <f t="shared" si="12"/>
        <v>0</v>
      </c>
      <c r="BC85" s="4">
        <f t="shared" si="12"/>
        <v>0</v>
      </c>
      <c r="BD85" s="4">
        <f t="shared" si="12"/>
        <v>0</v>
      </c>
      <c r="BE85" s="4">
        <f t="shared" si="12"/>
        <v>0</v>
      </c>
      <c r="BF85" s="4">
        <f t="shared" si="12"/>
        <v>0</v>
      </c>
      <c r="BG85" s="4">
        <f t="shared" si="12"/>
        <v>0</v>
      </c>
      <c r="BH85" s="4">
        <f t="shared" si="12"/>
        <v>0</v>
      </c>
      <c r="BI85" s="4">
        <f t="shared" si="12"/>
        <v>0</v>
      </c>
      <c r="BJ85" s="4">
        <f t="shared" si="12"/>
        <v>0</v>
      </c>
      <c r="BK85" s="4">
        <f t="shared" si="12"/>
        <v>0</v>
      </c>
      <c r="BL85" s="4">
        <f t="shared" si="12"/>
        <v>0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3">AO76+AO79+AO82+AO85</f>
        <v>31</v>
      </c>
      <c r="AP86" s="4">
        <f t="shared" si="13"/>
        <v>4</v>
      </c>
      <c r="AQ86" s="4">
        <f t="shared" si="13"/>
        <v>1</v>
      </c>
      <c r="AR86" s="4">
        <f t="shared" si="13"/>
        <v>3</v>
      </c>
      <c r="AS86" s="4">
        <f t="shared" si="13"/>
        <v>6</v>
      </c>
      <c r="AT86" s="4">
        <f t="shared" si="13"/>
        <v>22</v>
      </c>
      <c r="AU86" s="4">
        <f t="shared" si="13"/>
        <v>5</v>
      </c>
      <c r="AV86" s="4">
        <f t="shared" si="13"/>
        <v>1</v>
      </c>
      <c r="AW86" s="4">
        <f t="shared" si="13"/>
        <v>7</v>
      </c>
      <c r="AX86" s="4">
        <f t="shared" si="13"/>
        <v>3</v>
      </c>
      <c r="AY86" s="4">
        <f t="shared" si="13"/>
        <v>0</v>
      </c>
      <c r="AZ86" s="4">
        <f t="shared" si="13"/>
        <v>6</v>
      </c>
      <c r="BA86" s="4">
        <f t="shared" si="13"/>
        <v>9</v>
      </c>
      <c r="BB86" s="4">
        <f t="shared" si="13"/>
        <v>17</v>
      </c>
      <c r="BC86" s="4">
        <f t="shared" si="13"/>
        <v>0</v>
      </c>
      <c r="BD86" s="4">
        <f t="shared" si="13"/>
        <v>0</v>
      </c>
      <c r="BE86" s="4">
        <f t="shared" si="13"/>
        <v>20</v>
      </c>
      <c r="BF86" s="4">
        <f t="shared" si="13"/>
        <v>23</v>
      </c>
      <c r="BG86" s="4">
        <f t="shared" si="13"/>
        <v>22</v>
      </c>
      <c r="BH86" s="4">
        <f t="shared" si="13"/>
        <v>21</v>
      </c>
      <c r="BI86" s="4">
        <f t="shared" si="13"/>
        <v>17</v>
      </c>
      <c r="BJ86" s="4">
        <f t="shared" si="13"/>
        <v>9</v>
      </c>
      <c r="BK86" s="4">
        <f t="shared" si="13"/>
        <v>1</v>
      </c>
      <c r="BL86" s="4">
        <f t="shared" si="13"/>
        <v>38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92" activePane="bottomLeft" state="frozenSplit"/>
      <selection pane="bottomLeft" activeCell="A309" sqref="A309:XFD30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2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pd2r2_human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26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64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2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2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c5ar1_human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2">
        <f>VLOOKUP($B13&amp;"__wt",'SegEnds_Xtal_BW#'!$A:$Z,23,FALSE)</f>
        <v>25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56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2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2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ccr5_human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30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ccr9_human</v>
      </c>
      <c r="C25" s="13">
        <f>VLOOKUP($B25&amp;"__wt",'SegEnds_Xtal_BW#'!$A:$Z,3,FALSE)</f>
        <v>27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67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NoXtal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1171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2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oprd_human</v>
      </c>
      <c r="C40" s="5">
        <f>VLOOKUP($B40&amp;"__wt",'SegEnds_Xtal_BW#'!$A:$Z,3,FALSE)</f>
        <v>22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31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60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1507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1451</v>
      </c>
      <c r="B46" s="1" t="s">
        <v>1451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923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hrh1_human</v>
      </c>
      <c r="C54" s="5">
        <f>VLOOKUP($B54&amp;"__wt",'SegEnds_Xtal_BW#'!$A:$Z,3,FALSE)</f>
        <v>34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agtr1_human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34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61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1172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adrb2_human</v>
      </c>
      <c r="C61" s="5">
        <f>VLOOKUP($B61&amp;"__wt",'SegEnds_Xtal_BW#'!$A:$Z,3,FALSE)</f>
        <v>25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p2ry1_human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32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2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2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agtr2_human</v>
      </c>
      <c r="C75" s="5">
        <f>VLOOKUP($B75&amp;"__wt",'SegEnds_Xtal_BW#'!$A:$Z,3,FALSE)</f>
        <v>33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p2ry1_human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2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2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2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2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2">
        <f>VLOOKUP($B97&amp;"__wt",'SegEnds_Xtal_BW#'!$A:$Z,23,FALSE)</f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2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2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agtr1_human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1440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2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adrb2_human</v>
      </c>
      <c r="C124" s="5">
        <f>VLOOKUP($B124&amp;"__wt",'SegEnds_Xtal_BW#'!$A:$Z,3,FALSE)</f>
        <v>25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2">
        <f>VLOOKUP($B124&amp;"__wt",'SegEnds_Xtal_BW#'!$A:$Z,23,FALSE)</f>
        <v>31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ccr5_human</v>
      </c>
      <c r="C127" s="5">
        <f>VLOOKUP($B127&amp;"__wt",'SegEnds_Xtal_BW#'!$A:$Z,3,FALSE)</f>
        <v>24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oprm_mouse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oprd_mouse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2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2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2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915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2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917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1173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23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mtr1a_human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32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63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ox2r_human</v>
      </c>
      <c r="C146" s="5">
        <f>VLOOKUP($B146&amp;"__wt",'SegEnds_Xtal_BW#'!$A:$Z,3,FALSE)</f>
        <v>31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33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23</v>
      </c>
      <c r="V146" s="1">
        <v>61</v>
      </c>
      <c r="W146" s="132">
        <f>VLOOKUP($B146&amp;"__wt",'SegEnds_Xtal_BW#'!$A:$Z,23,FALSE)</f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23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919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23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23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opsd_human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23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23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23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2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31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62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2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62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mtr1a_human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2">
        <f>VLOOKUP($B162&amp;"__wt",'SegEnds_Xtal_BW#'!$A:$Z,23,FALSE)</f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63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Xtal</v>
      </c>
    </row>
    <row r="163" spans="1:38" x14ac:dyDescent="0.2">
      <c r="A163" s="1" t="s">
        <v>312</v>
      </c>
      <c r="B163" s="1" t="str">
        <f>VLOOKUP(A163,Xtal_Templ!A:B,2,FALSE)</f>
        <v>mtr1b_human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2">
        <f>VLOOKUP($B163&amp;"__wt",'SegEnds_Xtal_BW#'!$A:$Z,23,FALSE)</f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63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2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2">
        <f>VLOOKUP($B168&amp;"__wt",'SegEnds_Xtal_BW#'!$A:$Z,23,FALSE)</f>
        <v>30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62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2">
        <f>VLOOKUP($B181&amp;"__wt",'SegEnds_Xtal_BW#'!$A:$Z,23,FALSE)</f>
        <v>30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2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drd2_human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mtr1a_human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2">
        <f>VLOOKUP($B190&amp;"__wt",'SegEnds_Xtal_BW#'!$A:$Z,23,FALSE)</f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63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2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5ht2a_human</v>
      </c>
      <c r="C212" s="5">
        <f>VLOOKUP($B212&amp;"__wt",'SegEnds_Xtal_BW#'!$A:$Z,3,FALSE)</f>
        <v>27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67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921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5ht2b_human</v>
      </c>
      <c r="C220" s="5">
        <f>VLOOKUP($B220&amp;"__wt",'SegEnds_Xtal_BW#'!$A:$Z,3,FALSE)</f>
        <v>31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58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2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5ht2a_human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67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2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aa1r_human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50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 t="str">
        <f>VLOOKUP($B229&amp;"__wt",'SegEnds_Xtal_BW#'!$A:$Z,5,FALSE)</f>
        <v>-</v>
      </c>
      <c r="F229" s="4" t="str">
        <f>VLOOKUP($B229&amp;"__wt",'SegEnds_Xtal_BW#'!$A:$Z,6,FALSE)</f>
        <v>-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drd2_human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ntr1_human</v>
      </c>
      <c r="C232" s="5">
        <f>VLOOKUP($B232&amp;"__wt",'SegEnds_Xtal_BW#'!$A:$Z,3,FALSE)</f>
        <v>28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62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913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drd2_human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58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2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5ht2c_human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67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2">
        <f>VLOOKUP($B241&amp;"__wt",'SegEnds_Xtal_BW#'!$A:$Z,23,FALSE)</f>
        <v>27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60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2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drd4_human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ox2r_human</v>
      </c>
      <c r="C245" s="5">
        <f>VLOOKUP($B245&amp;"__wt",'SegEnds_Xtal_BW#'!$A:$Z,3,FALSE)</f>
        <v>31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33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2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1175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ntr1_human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2">
        <f>VLOOKUP($B253&amp;"__wt",'SegEnds_Xtal_BW#'!$A:$Z,23,FALSE)</f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62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911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1174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2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drd2_human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2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2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5ht2a_human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2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hrh1_human</v>
      </c>
      <c r="C270" s="5">
        <f>VLOOKUP($B270&amp;"__wt",'SegEnds_Xtal_BW#'!$A:$Z,3,FALSE)</f>
        <v>34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2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2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2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2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5ht2c_human</v>
      </c>
      <c r="C294" s="5">
        <f>VLOOKUP($B294&amp;"__wt",'SegEnds_Xtal_BW#'!$A:$Z,3,FALSE)</f>
        <v>33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67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60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60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909</v>
      </c>
      <c r="B298" s="4" t="str">
        <f>VLOOKUP(A298,Xtal_Templ!A:B,2,FALSE)</f>
        <v>acm3_rat</v>
      </c>
      <c r="C298" s="5">
        <f>VLOOKUP($B298&amp;"__wt",'SegEnds_Xtal_BW#'!$A:$Z,3,FALSE)</f>
        <v>28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pth1r_human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1192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54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1196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1195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1190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1193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1413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1197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1183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1184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1185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1186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1187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1189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1198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1199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1194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1188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1182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1179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1180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1178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1176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1177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grm1_human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08"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1495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929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370" activePane="bottomLeft" state="frozenSplit"/>
      <selection pane="bottomLeft" activeCell="AN291" sqref="AN291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59" si="118">IF(ISERROR(F196-E196),"-",F196-E196)</f>
        <v>-</v>
      </c>
      <c r="AQ196" s="3" t="str">
        <f t="shared" ref="AQ196:AQ259" si="119">IF(ISERROR(I196-H196),"-",I196-H196)</f>
        <v>-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3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27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256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3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1306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923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1507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128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1176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1177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1178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1179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1180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1181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1182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1183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1184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1185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1186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1187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1188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1306</v>
      </c>
    </row>
    <row r="328" spans="1:59" s="3" customFormat="1" x14ac:dyDescent="0.2">
      <c r="A328" s="3" t="s">
        <v>1189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1190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1191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1192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1193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1194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1195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1196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1197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1198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1199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1200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1201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1495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929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128" activePane="bottomLeft" state="frozenSplit"/>
      <selection pane="bottomLeft" activeCell="A148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1322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1322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1322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1322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5ht2a_human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1322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923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1507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1323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1323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1323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1323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1176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1177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1178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1179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1180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1181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1182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1183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1184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1185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1186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1187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1188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1189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1190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1191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1192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1193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1194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1195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1196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1197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1198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1199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1200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1201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1324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1324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1324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1324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1324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1324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1324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1324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1324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1323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1323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1323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1323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1323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1323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1323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1323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1495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1323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929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0" activePane="bottomLeft" state="frozenSplit"/>
      <selection pane="bottomLeft" activeCell="H110" sqref="H110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1495</v>
      </c>
      <c r="B44" s="121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VQVVLILAYCSIILLGVIGNSLVIHVVIKFTVTNFFIANLAVADLLVNTLCLPFTLTYTLMGGPVLCHLVPYAQGLAVQVSTITLTVIALDRHRCIVYSKRISFLIIGLAWGISALLASPLAIFRIYGTVYSLSSLLILYVLPLGIISFSYTRIWSKLKNHVSPGNDHYHQRRQKTTKMLVCVVVVFAVSWLPLHAFQLAVDIDDLKEYKLIFTVFHIIAMCSTFANPLLYGWMNSNYRKAFLSAF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NDSSNEKRHSYLLKLKVMYTVGYSSSLVMLLVALGILCAFCTRNYIHMHLFVSFILRALSNFIKDAVLAGCKLVMVLFQYCIMANYSWLLVEGLYLHTLLAISERKYLQGFVAFGWGSPAIFVALWAIARHFLEIWWIIRGPVILSILINFILFINILRILMRKLNEVSHYKRLARSTLLLIPLFGIHYIVFAFSMEIQLFFELALGSFQGLVVAVLYCFLNGEVQLEVQKKWQQWHLREFPLHPVA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J8" sqref="J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909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1171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1171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1175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1175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193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1440</v>
      </c>
      <c r="B346" s="1" t="s">
        <v>1440</v>
      </c>
      <c r="C346" t="s">
        <v>1440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1451</v>
      </c>
      <c r="B347" s="1" t="s">
        <v>1451</v>
      </c>
      <c r="C347" t="s">
        <v>1451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1171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3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923</v>
      </c>
      <c r="B407" s="1" t="s">
        <v>923</v>
      </c>
      <c r="C407" t="s">
        <v>923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923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1420</v>
      </c>
      <c r="B409" s="1" t="s">
        <v>1420</v>
      </c>
      <c r="C409" t="s">
        <v>1420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1495</v>
      </c>
      <c r="B410" s="1" t="s">
        <v>1495</v>
      </c>
      <c r="C410" s="122" t="s">
        <v>1495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1507</v>
      </c>
      <c r="B411" s="1" t="s">
        <v>1507</v>
      </c>
      <c r="C411" s="122" t="s">
        <v>1507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122" t="s">
        <v>1495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3" t="s">
        <v>106</v>
      </c>
      <c r="B231" s="3" t="s">
        <v>27</v>
      </c>
      <c r="C231" s="3" t="s">
        <v>966</v>
      </c>
      <c r="D231" s="3" t="s">
        <v>967</v>
      </c>
    </row>
    <row r="232" spans="1:4" x14ac:dyDescent="0.2">
      <c r="A232" s="3" t="s">
        <v>107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968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970</v>
      </c>
    </row>
    <row r="237" spans="1:4" x14ac:dyDescent="0.2">
      <c r="A237" s="3" t="s">
        <v>404</v>
      </c>
      <c r="B237" s="3" t="s">
        <v>949</v>
      </c>
      <c r="C237" s="3" t="s">
        <v>17</v>
      </c>
      <c r="D237" s="3" t="s">
        <v>969</v>
      </c>
    </row>
    <row r="238" spans="1:4" x14ac:dyDescent="0.2">
      <c r="A238" s="3" t="s">
        <v>405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406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407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32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411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1420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963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971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972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980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275</v>
      </c>
      <c r="B256" s="3" t="s">
        <v>1</v>
      </c>
      <c r="C256" s="3" t="s">
        <v>978</v>
      </c>
      <c r="D256" s="3" t="s">
        <v>979</v>
      </c>
    </row>
    <row r="257" spans="1:4" x14ac:dyDescent="0.2">
      <c r="A257" s="3" t="s">
        <v>276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277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981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954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1451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982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1440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1008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983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939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311</v>
      </c>
      <c r="B285" s="3" t="s">
        <v>1</v>
      </c>
      <c r="C285" s="3" t="s">
        <v>985</v>
      </c>
      <c r="D285" s="3" t="s">
        <v>985</v>
      </c>
    </row>
    <row r="286" spans="1:4" x14ac:dyDescent="0.2">
      <c r="A286" s="3" t="s">
        <v>312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40</v>
      </c>
      <c r="B287" s="3" t="s">
        <v>27</v>
      </c>
      <c r="C287" s="3" t="s">
        <v>966</v>
      </c>
      <c r="D287" s="3" t="s">
        <v>977</v>
      </c>
    </row>
    <row r="288" spans="1:4" x14ac:dyDescent="0.2">
      <c r="A288" s="3" t="s">
        <v>115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116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117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41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118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119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120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984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987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990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988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991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992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933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1153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332</v>
      </c>
      <c r="B317" s="3" t="s">
        <v>1</v>
      </c>
      <c r="C317" s="3" t="s">
        <v>993</v>
      </c>
      <c r="D317" s="3" t="s">
        <v>994</v>
      </c>
    </row>
    <row r="318" spans="1:4" x14ac:dyDescent="0.2">
      <c r="A318" s="3" t="s">
        <v>333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334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338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43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339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98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340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341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1154</v>
      </c>
      <c r="B326" s="3" t="s">
        <v>1</v>
      </c>
      <c r="C326" s="3" t="s">
        <v>17</v>
      </c>
      <c r="D326" s="3" t="s">
        <v>995</v>
      </c>
    </row>
    <row r="327" spans="1:4" x14ac:dyDescent="0.2">
      <c r="A327" s="3" t="s">
        <v>1155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481</v>
      </c>
      <c r="B328" s="3" t="s">
        <v>930</v>
      </c>
      <c r="C328" s="3" t="s">
        <v>944</v>
      </c>
      <c r="D328" s="3" t="s">
        <v>965</v>
      </c>
    </row>
    <row r="329" spans="1:4" x14ac:dyDescent="0.2">
      <c r="A329" s="3" t="s">
        <v>482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485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486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483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484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343</v>
      </c>
      <c r="B334" s="3" t="s">
        <v>1</v>
      </c>
      <c r="C334" s="3" t="s">
        <v>978</v>
      </c>
      <c r="D334" s="3" t="s">
        <v>996</v>
      </c>
    </row>
    <row r="335" spans="1:4" x14ac:dyDescent="0.2">
      <c r="A335" s="3" t="s">
        <v>345</v>
      </c>
      <c r="B335" s="3" t="s">
        <v>1</v>
      </c>
      <c r="C335" s="3" t="s">
        <v>937</v>
      </c>
      <c r="D335" s="3" t="s">
        <v>998</v>
      </c>
    </row>
    <row r="336" spans="1:4" x14ac:dyDescent="0.2">
      <c r="A336" s="3" t="s">
        <v>346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347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348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351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352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353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354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409</v>
      </c>
      <c r="B343" s="3" t="s">
        <v>949</v>
      </c>
      <c r="C343" s="3" t="s">
        <v>17</v>
      </c>
      <c r="D343" s="3" t="s">
        <v>1005</v>
      </c>
    </row>
    <row r="344" spans="1:4" x14ac:dyDescent="0.2">
      <c r="A344" s="3" t="s">
        <v>410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1006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1004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1002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1003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1001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1000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1007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1009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386</v>
      </c>
      <c r="B372" s="3" t="s">
        <v>1</v>
      </c>
      <c r="C372" s="3" t="s">
        <v>978</v>
      </c>
      <c r="D372" s="3" t="s">
        <v>1010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986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986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122</v>
      </c>
      <c r="B376" s="3" t="s">
        <v>27</v>
      </c>
      <c r="C376" s="3" t="s">
        <v>993</v>
      </c>
      <c r="D376" s="3" t="s">
        <v>1014</v>
      </c>
    </row>
    <row r="377" spans="1:4" x14ac:dyDescent="0.2">
      <c r="A377" s="3" t="s">
        <v>123</v>
      </c>
      <c r="B377" s="3" t="s">
        <v>27</v>
      </c>
      <c r="C377" s="3" t="s">
        <v>993</v>
      </c>
      <c r="D377" s="3" t="s">
        <v>1014</v>
      </c>
    </row>
    <row r="378" spans="1:4" x14ac:dyDescent="0.2">
      <c r="A378" s="3" t="s">
        <v>124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456</v>
      </c>
      <c r="B379" s="3" t="s">
        <v>1158</v>
      </c>
      <c r="C379" s="3" t="s">
        <v>993</v>
      </c>
      <c r="D379" s="3" t="s">
        <v>1011</v>
      </c>
    </row>
    <row r="380" spans="1:4" x14ac:dyDescent="0.2">
      <c r="A380" s="3" t="s">
        <v>457</v>
      </c>
      <c r="B380" s="3" t="s">
        <v>1158</v>
      </c>
      <c r="C380" s="3" t="s">
        <v>993</v>
      </c>
      <c r="D380" s="3" t="s">
        <v>1011</v>
      </c>
    </row>
    <row r="381" spans="1:4" x14ac:dyDescent="0.2">
      <c r="A381" s="3" t="s">
        <v>458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459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461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462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463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464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465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466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467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468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469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929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470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471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472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474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475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476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7" t="s">
        <v>477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478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3" t="s">
        <v>479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480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928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927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1013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1012</v>
      </c>
    </row>
    <row r="407" spans="1:4" x14ac:dyDescent="0.2">
      <c r="A407" s="3" t="s">
        <v>925</v>
      </c>
      <c r="B407" s="3" t="s">
        <v>1</v>
      </c>
      <c r="C407" s="3" t="s">
        <v>22</v>
      </c>
      <c r="D407" s="3" t="s">
        <v>1016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1015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997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997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408</v>
      </c>
      <c r="B413" s="3" t="s">
        <v>949</v>
      </c>
      <c r="C413" s="3" t="s">
        <v>17</v>
      </c>
      <c r="D413" s="3" t="s">
        <v>999</v>
      </c>
    </row>
    <row r="414" spans="1:4" x14ac:dyDescent="0.2">
      <c r="A414" s="3" t="s">
        <v>926</v>
      </c>
      <c r="B414" s="3" t="s">
        <v>949</v>
      </c>
      <c r="C414" s="3" t="s">
        <v>17</v>
      </c>
      <c r="D414" s="3" t="s">
        <v>999</v>
      </c>
    </row>
    <row r="415" spans="1:4" x14ac:dyDescent="0.2">
      <c r="A415" s="25" t="s">
        <v>412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413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883</v>
      </c>
      <c r="B417" s="3" t="s">
        <v>943</v>
      </c>
      <c r="C417" s="3" t="s">
        <v>944</v>
      </c>
      <c r="D417" s="3" t="s">
        <v>945</v>
      </c>
    </row>
    <row r="418" spans="1:4" x14ac:dyDescent="0.2">
      <c r="A418" s="7" t="s">
        <v>884</v>
      </c>
      <c r="B418" s="3" t="s">
        <v>943</v>
      </c>
      <c r="C418" s="3" t="s">
        <v>944</v>
      </c>
      <c r="D418" s="3" t="s">
        <v>945</v>
      </c>
    </row>
    <row r="419" spans="1:4" x14ac:dyDescent="0.2">
      <c r="A419" s="1" t="s">
        <v>885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1" t="s">
        <v>886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887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888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889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890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7" t="s">
        <v>891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7" t="s">
        <v>892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1" t="s">
        <v>893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1" t="s">
        <v>894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895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896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897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898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899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900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901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902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903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904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905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906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907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908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7" t="s">
        <v>460</v>
      </c>
      <c r="B443" s="3" t="s">
        <v>1158</v>
      </c>
      <c r="C443" s="3" t="s">
        <v>993</v>
      </c>
      <c r="D443" s="3" t="s">
        <v>1011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2019-08-20T08:13:21Z</dcterms:modified>
  <cp:category/>
  <cp:contentStatus/>
</cp:coreProperties>
</file>